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AFD279B0-9598-574B-8017-6562EBB28776}"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F4" i="1"/>
  <c r="BT4" i="1"/>
  <c r="BF5" i="1"/>
  <c r="BT5" i="1"/>
  <c r="BF6" i="1"/>
  <c r="BT6" i="1"/>
  <c r="BF7" i="1"/>
  <c r="BT7" i="1"/>
  <c r="BF8" i="1"/>
  <c r="BT8" i="1"/>
  <c r="BF9" i="1"/>
  <c r="BT9" i="1"/>
  <c r="BF10" i="1"/>
  <c r="BT10" i="1"/>
  <c r="BF11" i="1"/>
  <c r="BT11" i="1"/>
  <c r="BF12" i="1"/>
  <c r="BT12" i="1"/>
  <c r="BF13" i="1"/>
  <c r="BT13" i="1"/>
  <c r="BF14" i="1"/>
  <c r="BT14" i="1"/>
  <c r="BF15" i="1"/>
  <c r="BT15" i="1"/>
  <c r="BF16" i="1"/>
  <c r="BT16" i="1"/>
  <c r="BF17" i="1"/>
  <c r="BT17" i="1"/>
  <c r="BF18" i="1"/>
  <c r="BT18" i="1"/>
  <c r="BF19" i="1"/>
  <c r="BT19" i="1"/>
  <c r="BF20" i="1"/>
  <c r="BT20" i="1"/>
  <c r="BF21" i="1"/>
  <c r="BT21" i="1"/>
  <c r="BF22" i="1"/>
  <c r="BT22" i="1"/>
  <c r="BF23" i="1"/>
  <c r="BT23" i="1"/>
  <c r="BF24" i="1"/>
  <c r="BT24" i="1"/>
  <c r="BF25" i="1"/>
  <c r="BT25" i="1"/>
  <c r="BF26" i="1"/>
  <c r="BT26" i="1"/>
  <c r="BF27" i="1"/>
  <c r="BT27" i="1"/>
  <c r="BF28" i="1"/>
  <c r="BT28" i="1"/>
  <c r="BF29" i="1"/>
  <c r="BT29" i="1"/>
  <c r="BF30" i="1"/>
  <c r="BT30" i="1"/>
  <c r="BF31" i="1"/>
  <c r="BT31" i="1"/>
  <c r="BF32" i="1"/>
  <c r="BT32" i="1"/>
  <c r="BF33" i="1"/>
  <c r="BT33" i="1"/>
  <c r="BF34" i="1"/>
  <c r="BT34" i="1"/>
  <c r="BF35" i="1"/>
  <c r="BT35" i="1"/>
  <c r="BF36" i="1"/>
  <c r="BT36" i="1"/>
  <c r="BF37" i="1"/>
  <c r="BT37" i="1"/>
  <c r="BF38" i="1"/>
  <c r="BT38" i="1"/>
  <c r="BF39" i="1"/>
  <c r="BT39" i="1"/>
  <c r="BF40" i="1"/>
  <c r="BT40" i="1"/>
  <c r="BF41" i="1"/>
  <c r="BT41" i="1"/>
  <c r="BF42" i="1"/>
  <c r="BT42" i="1"/>
  <c r="BF43" i="1"/>
  <c r="BT43" i="1"/>
  <c r="BF44" i="1"/>
  <c r="BT44" i="1"/>
  <c r="BF45" i="1"/>
  <c r="BT45" i="1"/>
  <c r="BF46" i="1"/>
  <c r="BT46" i="1"/>
  <c r="BF47" i="1"/>
  <c r="BT47" i="1"/>
  <c r="BF48" i="1"/>
  <c r="BT48" i="1"/>
  <c r="BF49" i="1"/>
  <c r="BT49" i="1"/>
  <c r="BF50" i="1"/>
  <c r="BT50" i="1"/>
  <c r="BF51" i="1"/>
  <c r="BT51" i="1"/>
  <c r="BF52" i="1"/>
  <c r="BT52" i="1"/>
  <c r="BF53" i="1"/>
  <c r="BT53" i="1"/>
  <c r="BF54" i="1"/>
  <c r="BT54" i="1"/>
  <c r="BF55" i="1"/>
  <c r="BT55" i="1"/>
  <c r="BF56" i="1"/>
  <c r="BT56" i="1"/>
  <c r="BF57" i="1"/>
  <c r="BT57" i="1"/>
  <c r="BF58" i="1"/>
  <c r="BT58" i="1"/>
  <c r="BF59" i="1"/>
  <c r="BT59" i="1"/>
  <c r="BF60" i="1"/>
  <c r="BT60" i="1"/>
  <c r="BF61" i="1"/>
  <c r="BT61" i="1"/>
  <c r="BF62" i="1"/>
  <c r="BT62" i="1"/>
  <c r="BF63" i="1"/>
  <c r="BT63" i="1"/>
  <c r="BF64" i="1"/>
  <c r="BT64" i="1"/>
  <c r="BF65" i="1"/>
  <c r="BT65" i="1"/>
  <c r="BF66" i="1"/>
  <c r="BT66" i="1"/>
  <c r="BF67" i="1"/>
  <c r="BT67" i="1"/>
  <c r="BF68" i="1"/>
  <c r="BT68" i="1"/>
  <c r="BF69" i="1"/>
  <c r="BT69" i="1"/>
  <c r="BF70" i="1"/>
  <c r="BT70" i="1"/>
  <c r="BF71" i="1"/>
  <c r="BT71" i="1"/>
  <c r="BF72" i="1"/>
  <c r="BT72" i="1"/>
  <c r="BF73" i="1"/>
  <c r="BT73" i="1"/>
  <c r="BF74" i="1"/>
  <c r="BT74" i="1"/>
  <c r="BF75" i="1"/>
  <c r="BT75" i="1"/>
  <c r="BF76" i="1"/>
  <c r="BT76" i="1"/>
  <c r="BF77" i="1"/>
  <c r="BT77" i="1"/>
  <c r="BF78" i="1"/>
  <c r="BT78" i="1"/>
  <c r="BF79" i="1"/>
  <c r="BT79" i="1"/>
  <c r="BF80" i="1"/>
  <c r="BT80" i="1"/>
  <c r="BF81" i="1"/>
  <c r="BT81" i="1"/>
  <c r="BF82" i="1"/>
  <c r="BT82" i="1"/>
  <c r="BF83" i="1"/>
  <c r="BT83" i="1"/>
  <c r="BF84" i="1"/>
  <c r="BT84" i="1"/>
  <c r="BF85" i="1"/>
  <c r="BT85" i="1"/>
  <c r="BF86" i="1"/>
  <c r="BT86" i="1"/>
  <c r="BF87" i="1"/>
  <c r="BT87" i="1"/>
  <c r="BF88" i="1"/>
  <c r="BT88" i="1"/>
  <c r="BF89" i="1"/>
  <c r="BT89" i="1"/>
  <c r="BF90" i="1"/>
  <c r="BT90" i="1"/>
  <c r="BF91" i="1"/>
  <c r="BT91" i="1"/>
  <c r="BF92" i="1"/>
  <c r="BT92" i="1"/>
  <c r="BF93" i="1"/>
  <c r="BT93" i="1"/>
  <c r="BF94" i="1"/>
  <c r="BT94" i="1"/>
  <c r="BF95" i="1"/>
  <c r="BT95" i="1"/>
  <c r="BF96" i="1"/>
  <c r="BT96" i="1"/>
  <c r="BF97" i="1"/>
  <c r="BT97" i="1"/>
  <c r="BT98" i="1"/>
  <c r="BF99" i="1"/>
  <c r="BT99" i="1"/>
  <c r="BF100" i="1"/>
  <c r="BT100" i="1"/>
  <c r="BF101" i="1"/>
  <c r="BT101" i="1"/>
  <c r="BF102" i="1"/>
  <c r="BT102" i="1"/>
  <c r="BF103" i="1"/>
  <c r="BT103" i="1"/>
  <c r="BF104" i="1"/>
  <c r="BT104" i="1"/>
  <c r="BF105" i="1"/>
  <c r="BT105" i="1"/>
  <c r="BF106" i="1"/>
  <c r="BT106" i="1"/>
  <c r="BF107" i="1"/>
  <c r="BT107" i="1"/>
  <c r="BF108" i="1"/>
  <c r="BT108" i="1"/>
  <c r="BF109" i="1"/>
  <c r="BT109" i="1"/>
  <c r="BF110" i="1"/>
  <c r="BT110" i="1"/>
  <c r="BF111" i="1"/>
  <c r="BT111" i="1"/>
  <c r="BF112" i="1"/>
  <c r="BT112" i="1"/>
  <c r="BF113" i="1"/>
  <c r="BT113" i="1"/>
  <c r="BF114" i="1"/>
  <c r="BT114" i="1"/>
  <c r="BF115" i="1"/>
  <c r="BT115" i="1"/>
  <c r="BF116" i="1"/>
  <c r="BT116" i="1"/>
  <c r="BF117" i="1"/>
  <c r="BT117" i="1"/>
  <c r="BF118" i="1"/>
  <c r="BT118" i="1"/>
  <c r="BF119" i="1"/>
  <c r="BT119" i="1"/>
  <c r="BF120" i="1"/>
  <c r="BT120" i="1"/>
  <c r="BF121" i="1"/>
  <c r="BT121" i="1"/>
  <c r="BF122" i="1"/>
  <c r="BT122" i="1"/>
  <c r="BF123" i="1"/>
  <c r="BT123" i="1"/>
  <c r="BF124" i="1"/>
  <c r="BT124" i="1"/>
  <c r="BF125" i="1"/>
  <c r="BT125" i="1"/>
  <c r="BF126" i="1"/>
  <c r="BT126" i="1"/>
  <c r="BF127" i="1"/>
  <c r="BT127" i="1"/>
  <c r="BF128" i="1"/>
  <c r="BT128" i="1"/>
  <c r="BF129" i="1"/>
  <c r="BT129" i="1"/>
  <c r="BF130" i="1"/>
  <c r="BT130" i="1"/>
  <c r="BF131" i="1"/>
  <c r="BT131" i="1"/>
  <c r="BF132" i="1"/>
  <c r="BT132" i="1"/>
  <c r="BF133" i="1"/>
  <c r="BT133" i="1"/>
  <c r="BF134" i="1"/>
  <c r="BT134" i="1"/>
  <c r="BF135" i="1"/>
  <c r="BT135" i="1"/>
  <c r="BF136" i="1"/>
  <c r="BT136" i="1"/>
  <c r="BF137" i="1"/>
  <c r="BT137" i="1"/>
  <c r="BF138" i="1"/>
  <c r="BT138" i="1"/>
  <c r="BF139" i="1"/>
  <c r="BT139" i="1"/>
  <c r="BF140" i="1"/>
  <c r="BT140" i="1"/>
  <c r="BF141" i="1"/>
  <c r="BT141" i="1"/>
  <c r="BF142" i="1"/>
  <c r="BT142" i="1"/>
  <c r="BF143" i="1"/>
  <c r="BT143" i="1"/>
  <c r="BF144" i="1"/>
  <c r="BT144" i="1"/>
  <c r="BF145" i="1"/>
  <c r="BT145" i="1"/>
  <c r="BF146" i="1"/>
  <c r="BT146" i="1"/>
  <c r="BT147" i="1"/>
  <c r="BF148" i="1"/>
  <c r="BT148" i="1"/>
  <c r="BF149" i="1"/>
  <c r="BT149" i="1"/>
  <c r="BF150" i="1"/>
  <c r="BT150" i="1"/>
  <c r="BF151" i="1"/>
  <c r="BT151" i="1"/>
  <c r="BF152" i="1"/>
  <c r="BT152" i="1"/>
  <c r="BF153" i="1"/>
  <c r="BT153" i="1"/>
  <c r="BF154" i="1"/>
  <c r="BT154" i="1"/>
  <c r="BF155" i="1"/>
  <c r="BT155" i="1"/>
  <c r="BF156" i="1"/>
  <c r="BT156" i="1"/>
  <c r="BF157" i="1"/>
  <c r="BT157" i="1"/>
  <c r="BF158" i="1"/>
  <c r="BT158" i="1"/>
  <c r="BF159" i="1"/>
  <c r="BT159" i="1"/>
  <c r="BF160" i="1"/>
  <c r="BT160" i="1"/>
  <c r="BF161" i="1"/>
  <c r="BT161" i="1"/>
  <c r="BF162" i="1"/>
  <c r="BT162" i="1"/>
  <c r="BF163" i="1"/>
  <c r="BT163" i="1"/>
  <c r="BF164" i="1"/>
  <c r="BT164" i="1"/>
  <c r="BF165" i="1"/>
  <c r="BT165" i="1"/>
  <c r="BF166" i="1"/>
  <c r="BT166" i="1"/>
  <c r="BF167" i="1"/>
  <c r="BT167" i="1"/>
  <c r="BF168" i="1"/>
  <c r="BT168" i="1"/>
  <c r="BF169" i="1"/>
  <c r="BT169" i="1"/>
  <c r="BF170" i="1"/>
  <c r="BT170" i="1"/>
  <c r="BF171" i="1"/>
  <c r="BT171" i="1"/>
  <c r="BF172" i="1"/>
  <c r="BT172" i="1"/>
  <c r="BF173" i="1"/>
  <c r="BT173" i="1"/>
  <c r="BF174" i="1"/>
  <c r="BT174" i="1"/>
  <c r="BF175" i="1"/>
  <c r="BT175" i="1"/>
  <c r="BF176" i="1"/>
  <c r="BT176" i="1"/>
  <c r="BF177" i="1"/>
  <c r="BT177" i="1"/>
  <c r="BF178" i="1"/>
  <c r="BT178" i="1"/>
  <c r="BF179" i="1"/>
  <c r="BT179" i="1"/>
  <c r="BF180" i="1"/>
  <c r="BT180" i="1"/>
  <c r="BF181" i="1"/>
  <c r="BT181" i="1"/>
  <c r="BF182" i="1"/>
  <c r="BT182" i="1"/>
  <c r="BF183" i="1"/>
  <c r="BT183" i="1"/>
  <c r="BF184" i="1"/>
  <c r="BT184" i="1"/>
  <c r="BF185" i="1"/>
  <c r="BT185" i="1"/>
  <c r="BF186" i="1"/>
  <c r="BT186" i="1"/>
  <c r="BF187" i="1"/>
  <c r="BT187" i="1"/>
  <c r="BF188" i="1"/>
  <c r="BT188" i="1"/>
  <c r="BF189" i="1"/>
  <c r="BT189" i="1"/>
  <c r="BF190" i="1"/>
  <c r="BT190" i="1"/>
  <c r="BF191" i="1"/>
  <c r="BT191" i="1"/>
  <c r="BF192" i="1"/>
  <c r="BT192" i="1"/>
  <c r="BF193" i="1"/>
  <c r="BT193" i="1"/>
  <c r="BF194" i="1"/>
  <c r="BT194" i="1"/>
  <c r="BF195" i="1"/>
  <c r="BT195" i="1"/>
  <c r="BF196" i="1"/>
  <c r="BT196" i="1"/>
  <c r="BF197" i="1"/>
  <c r="BT197" i="1"/>
  <c r="BF198" i="1"/>
  <c r="BT198" i="1"/>
  <c r="BF199" i="1"/>
  <c r="BT199" i="1"/>
  <c r="BF200" i="1"/>
  <c r="BT200" i="1"/>
  <c r="BF201" i="1"/>
  <c r="BT201" i="1"/>
  <c r="BF202" i="1"/>
  <c r="BT202" i="1"/>
  <c r="BF203" i="1"/>
  <c r="BT203" i="1"/>
  <c r="BF204" i="1"/>
  <c r="BT204" i="1"/>
  <c r="BF205" i="1"/>
  <c r="BT205" i="1"/>
  <c r="BF206" i="1"/>
  <c r="BT206" i="1"/>
  <c r="BF207" i="1"/>
  <c r="BT207" i="1"/>
  <c r="BF208" i="1"/>
  <c r="BT208" i="1"/>
  <c r="BF209" i="1"/>
  <c r="BT209" i="1"/>
  <c r="BF210" i="1"/>
  <c r="BT210" i="1"/>
  <c r="BF211" i="1"/>
  <c r="BT211" i="1"/>
  <c r="BF212" i="1"/>
  <c r="BT212" i="1"/>
  <c r="BF213" i="1"/>
  <c r="BT213" i="1"/>
  <c r="BF214" i="1"/>
  <c r="BT214" i="1"/>
  <c r="BF215" i="1"/>
  <c r="BT215" i="1"/>
  <c r="BF216" i="1"/>
  <c r="BT216" i="1"/>
  <c r="BF217" i="1"/>
  <c r="BT217" i="1"/>
  <c r="BF218" i="1"/>
  <c r="BT218" i="1"/>
  <c r="BF219" i="1"/>
  <c r="BT219" i="1"/>
  <c r="BF220" i="1"/>
  <c r="BT220" i="1"/>
  <c r="BF221" i="1"/>
  <c r="BT221" i="1"/>
  <c r="BF222" i="1"/>
  <c r="BT222" i="1"/>
  <c r="BF223" i="1"/>
  <c r="BT223" i="1"/>
  <c r="BF224" i="1"/>
  <c r="BT224" i="1"/>
  <c r="BF225" i="1"/>
  <c r="BT225" i="1"/>
  <c r="BF226" i="1"/>
  <c r="BT226" i="1"/>
  <c r="BF227" i="1"/>
  <c r="BT227" i="1"/>
  <c r="BF228" i="1"/>
  <c r="BT228" i="1"/>
  <c r="BF229" i="1"/>
  <c r="BT229" i="1"/>
  <c r="BF230" i="1"/>
  <c r="BT230" i="1"/>
  <c r="BF231" i="1"/>
  <c r="BT231" i="1"/>
  <c r="BF232" i="1"/>
  <c r="BT232" i="1"/>
  <c r="BF233" i="1"/>
  <c r="BT233" i="1"/>
  <c r="BF234" i="1"/>
  <c r="BT234" i="1"/>
  <c r="BF235" i="1"/>
  <c r="BT235" i="1"/>
  <c r="BF236" i="1"/>
  <c r="BT236" i="1"/>
  <c r="BF237" i="1"/>
  <c r="BT237" i="1"/>
  <c r="BF238" i="1"/>
  <c r="BT238" i="1"/>
  <c r="BF239" i="1"/>
  <c r="BT239" i="1"/>
  <c r="BF240" i="1"/>
  <c r="BT240" i="1"/>
  <c r="BF241" i="1"/>
  <c r="BT241" i="1"/>
  <c r="BT242" i="1"/>
  <c r="BF243" i="1"/>
  <c r="BT243" i="1"/>
  <c r="BF244" i="1"/>
  <c r="BT244" i="1"/>
  <c r="BF245" i="1"/>
  <c r="BT245" i="1"/>
  <c r="BF246" i="1"/>
  <c r="BT246" i="1"/>
  <c r="BF247" i="1"/>
  <c r="BT247" i="1"/>
  <c r="BF248" i="1"/>
  <c r="BT248" i="1"/>
  <c r="BF249" i="1"/>
  <c r="BT249" i="1"/>
  <c r="BF250" i="1"/>
  <c r="BT250" i="1"/>
  <c r="BF251" i="1"/>
  <c r="BT251" i="1"/>
  <c r="BF252" i="1"/>
  <c r="BT252" i="1"/>
  <c r="BF253" i="1"/>
  <c r="BT253" i="1"/>
  <c r="BF254" i="1"/>
  <c r="BT254" i="1"/>
  <c r="BF255" i="1"/>
  <c r="BT255" i="1"/>
  <c r="BF256" i="1"/>
  <c r="BT256" i="1"/>
  <c r="BF257" i="1"/>
  <c r="BT257" i="1"/>
  <c r="BF258" i="1"/>
  <c r="BT258" i="1"/>
  <c r="BF259" i="1"/>
  <c r="BT259" i="1"/>
  <c r="BF260" i="1"/>
  <c r="BT260" i="1"/>
  <c r="BF261" i="1"/>
  <c r="BT261" i="1"/>
  <c r="BF262" i="1"/>
  <c r="BT262" i="1"/>
  <c r="BF263" i="1"/>
  <c r="BT263" i="1"/>
  <c r="BF264" i="1"/>
  <c r="BT264" i="1"/>
  <c r="BF265" i="1"/>
  <c r="BT265" i="1"/>
  <c r="BF266" i="1"/>
  <c r="BT266" i="1"/>
  <c r="BF267" i="1"/>
  <c r="BT267" i="1"/>
  <c r="BF268" i="1"/>
  <c r="BT268" i="1"/>
  <c r="BF269" i="1"/>
  <c r="BT269" i="1"/>
  <c r="BF270" i="1"/>
  <c r="BT270" i="1"/>
  <c r="BF271" i="1"/>
  <c r="BT271" i="1"/>
  <c r="BF272" i="1"/>
  <c r="BT272" i="1"/>
  <c r="BF273" i="1"/>
  <c r="BT273" i="1"/>
  <c r="BF274" i="1"/>
  <c r="BT274" i="1"/>
  <c r="BF275" i="1"/>
  <c r="BT275" i="1"/>
  <c r="BF276" i="1"/>
  <c r="BT276" i="1"/>
  <c r="BF277" i="1"/>
  <c r="BT277" i="1"/>
  <c r="BF278" i="1"/>
  <c r="BT278" i="1"/>
  <c r="BF279" i="1"/>
  <c r="BT279" i="1"/>
  <c r="BF280" i="1"/>
  <c r="BT280" i="1"/>
  <c r="BF281" i="1"/>
  <c r="BT281" i="1"/>
  <c r="BF282" i="1"/>
  <c r="BT282" i="1"/>
  <c r="BF283" i="1"/>
  <c r="BT283" i="1"/>
  <c r="BF284" i="1"/>
  <c r="BT284" i="1"/>
  <c r="BF285" i="1"/>
  <c r="BT285" i="1"/>
  <c r="BF286" i="1"/>
  <c r="BT286" i="1"/>
  <c r="BF287" i="1"/>
  <c r="BT287" i="1"/>
  <c r="BF288" i="1"/>
  <c r="BT288" i="1"/>
  <c r="BF289" i="1"/>
  <c r="BT289" i="1"/>
  <c r="BF290" i="1"/>
  <c r="BT290" i="1"/>
  <c r="BF291" i="1"/>
  <c r="BT291" i="1"/>
  <c r="BF292" i="1"/>
  <c r="BT292" i="1"/>
  <c r="BF293" i="1"/>
  <c r="BT293" i="1"/>
  <c r="BF294" i="1"/>
  <c r="BT294" i="1"/>
  <c r="BF295" i="1"/>
  <c r="BT295" i="1"/>
  <c r="BF296" i="1"/>
  <c r="BT296" i="1"/>
  <c r="BF297" i="1"/>
  <c r="BT297" i="1"/>
  <c r="BF298" i="1"/>
  <c r="BT298" i="1"/>
  <c r="BF299" i="1"/>
  <c r="BT299" i="1"/>
  <c r="BT300" i="1"/>
  <c r="BT301" i="1"/>
  <c r="BF302" i="1"/>
  <c r="BT302" i="1"/>
  <c r="BF303" i="1"/>
  <c r="BT303" i="1"/>
  <c r="BF304" i="1"/>
  <c r="BT304" i="1"/>
  <c r="BF305" i="1"/>
  <c r="BT305" i="1"/>
  <c r="BF306" i="1"/>
  <c r="BT306" i="1"/>
  <c r="BF307" i="1"/>
  <c r="BT307" i="1"/>
  <c r="BF308" i="1"/>
  <c r="BT308" i="1"/>
  <c r="BF309" i="1"/>
  <c r="BT309" i="1"/>
  <c r="BF310" i="1"/>
  <c r="BT310" i="1"/>
  <c r="BF311" i="1"/>
  <c r="BT311" i="1"/>
  <c r="BF312" i="1"/>
  <c r="BT312" i="1"/>
  <c r="BF313" i="1"/>
  <c r="BT313" i="1"/>
  <c r="BF314" i="1"/>
  <c r="BT314" i="1"/>
  <c r="BF315" i="1"/>
  <c r="BT315" i="1"/>
  <c r="BT316" i="1"/>
  <c r="BF317" i="1"/>
  <c r="BT317" i="1"/>
  <c r="BF318" i="1"/>
  <c r="BT318" i="1"/>
  <c r="BF319" i="1"/>
  <c r="BT319" i="1"/>
  <c r="BF320" i="1"/>
  <c r="BT320" i="1"/>
  <c r="BF321" i="1"/>
  <c r="BT321" i="1"/>
  <c r="BF322" i="1"/>
  <c r="BT322" i="1"/>
  <c r="BF323" i="1"/>
  <c r="BT323" i="1"/>
  <c r="BF324" i="1"/>
  <c r="BT324" i="1"/>
  <c r="BF325" i="1"/>
  <c r="BT325" i="1"/>
  <c r="BF326" i="1"/>
  <c r="BT326" i="1"/>
  <c r="BF327" i="1"/>
  <c r="BT327" i="1"/>
  <c r="BF328" i="1"/>
  <c r="BT328" i="1"/>
  <c r="BF329" i="1"/>
  <c r="BT329" i="1"/>
  <c r="BF330" i="1"/>
  <c r="BT330" i="1"/>
  <c r="BF331" i="1"/>
  <c r="BT331" i="1"/>
  <c r="BF332" i="1"/>
  <c r="BT332" i="1"/>
  <c r="BF333" i="1"/>
  <c r="BT333" i="1"/>
  <c r="BF334" i="1"/>
  <c r="BT334" i="1"/>
  <c r="BF335" i="1"/>
  <c r="BT335" i="1"/>
  <c r="BF336" i="1"/>
  <c r="BT336" i="1"/>
  <c r="BF337" i="1"/>
  <c r="BT337" i="1"/>
  <c r="BF338" i="1"/>
  <c r="BT338" i="1"/>
  <c r="BF339" i="1"/>
  <c r="BT339" i="1"/>
  <c r="BF340" i="1"/>
  <c r="BT340" i="1"/>
  <c r="BF341" i="1"/>
  <c r="BT341" i="1"/>
  <c r="BF342" i="1"/>
  <c r="BT342" i="1"/>
  <c r="BF343" i="1"/>
  <c r="BT343" i="1"/>
  <c r="BF344" i="1"/>
  <c r="BT344" i="1"/>
  <c r="BF345" i="1"/>
  <c r="BT345" i="1"/>
  <c r="BF346" i="1"/>
  <c r="BT346" i="1"/>
  <c r="BF347" i="1"/>
  <c r="BT347" i="1"/>
  <c r="BF348" i="1"/>
  <c r="BT348" i="1"/>
  <c r="BF349" i="1"/>
  <c r="BT349" i="1"/>
  <c r="BF350" i="1"/>
  <c r="BT350" i="1"/>
  <c r="BF351" i="1"/>
  <c r="BT351" i="1"/>
  <c r="BF352" i="1"/>
  <c r="BT352" i="1"/>
  <c r="BF353" i="1"/>
  <c r="BT353" i="1"/>
  <c r="BF354" i="1"/>
  <c r="BT354" i="1"/>
  <c r="BF355" i="1"/>
  <c r="BT355" i="1"/>
  <c r="BF356" i="1"/>
  <c r="BT356" i="1"/>
  <c r="BF357" i="1"/>
  <c r="BT357" i="1"/>
  <c r="BF358" i="1"/>
  <c r="BT358" i="1"/>
  <c r="BF359" i="1"/>
  <c r="BT359" i="1"/>
  <c r="BF360" i="1"/>
  <c r="BT360" i="1"/>
  <c r="BF361" i="1"/>
  <c r="BT361" i="1"/>
  <c r="BF362" i="1"/>
  <c r="BT362" i="1"/>
  <c r="BF363" i="1"/>
  <c r="BT363" i="1"/>
  <c r="BF364" i="1"/>
  <c r="BT364" i="1"/>
  <c r="BF365" i="1"/>
  <c r="BT365" i="1"/>
  <c r="BF366" i="1"/>
  <c r="BT366" i="1"/>
  <c r="BF367" i="1"/>
  <c r="BT367" i="1"/>
  <c r="BF368" i="1"/>
  <c r="BT368" i="1"/>
  <c r="BF369" i="1"/>
  <c r="BT369" i="1"/>
  <c r="BF370" i="1"/>
  <c r="BT370" i="1"/>
  <c r="BF371" i="1"/>
  <c r="BT371" i="1"/>
  <c r="BF372" i="1"/>
  <c r="BT372" i="1"/>
  <c r="BF373" i="1"/>
  <c r="BT373" i="1"/>
  <c r="BF374" i="1"/>
  <c r="BT374" i="1"/>
  <c r="BF375" i="1"/>
  <c r="BT375" i="1"/>
  <c r="BF376" i="1"/>
  <c r="BT376" i="1"/>
  <c r="BF377" i="1"/>
  <c r="BT377" i="1"/>
  <c r="BF378" i="1"/>
  <c r="BT378" i="1"/>
  <c r="BF379" i="1"/>
  <c r="BT379" i="1"/>
  <c r="BF380" i="1"/>
  <c r="BT380" i="1"/>
  <c r="BF381" i="1"/>
  <c r="BT381" i="1"/>
  <c r="BF382" i="1"/>
  <c r="BT382" i="1"/>
  <c r="BF383" i="1"/>
  <c r="BT383" i="1"/>
  <c r="BF384" i="1"/>
  <c r="BT384" i="1"/>
  <c r="BF385" i="1"/>
  <c r="BT385" i="1"/>
  <c r="BF386" i="1"/>
  <c r="BT386" i="1"/>
  <c r="BF387" i="1"/>
  <c r="BT387" i="1"/>
  <c r="BF388" i="1"/>
  <c r="BT388" i="1"/>
  <c r="BF389" i="1"/>
  <c r="BT389" i="1"/>
  <c r="BF390" i="1"/>
  <c r="BT390" i="1"/>
  <c r="BF391" i="1"/>
  <c r="BT391" i="1"/>
  <c r="BF392" i="1"/>
  <c r="BT392" i="1"/>
  <c r="BF393" i="1"/>
  <c r="BT393" i="1"/>
  <c r="BF394" i="1"/>
  <c r="BT394" i="1"/>
  <c r="BF395" i="1"/>
  <c r="BT395" i="1"/>
  <c r="BF396" i="1"/>
  <c r="BT396" i="1"/>
  <c r="BF397" i="1"/>
  <c r="BT397" i="1"/>
  <c r="BF398" i="1"/>
  <c r="BT398" i="1"/>
  <c r="BF399" i="1"/>
  <c r="BT399" i="1"/>
  <c r="BF400" i="1"/>
  <c r="BT400" i="1"/>
  <c r="BT401" i="1"/>
  <c r="BT402" i="1"/>
  <c r="BF403" i="1"/>
  <c r="BT403" i="1"/>
  <c r="BF404" i="1"/>
  <c r="BT404" i="1"/>
  <c r="BF405" i="1"/>
  <c r="BT405" i="1"/>
  <c r="BF406" i="1"/>
  <c r="BT406" i="1"/>
  <c r="BF407" i="1"/>
  <c r="BT407" i="1"/>
  <c r="BF408" i="1"/>
  <c r="BT408" i="1"/>
  <c r="BF409" i="1"/>
  <c r="BT409" i="1"/>
  <c r="BF410" i="1"/>
  <c r="BT410" i="1"/>
  <c r="BF411" i="1"/>
  <c r="BT411" i="1"/>
  <c r="BF412" i="1"/>
  <c r="BT412" i="1"/>
  <c r="BF413" i="1"/>
  <c r="BT413" i="1"/>
  <c r="BF414" i="1"/>
  <c r="BT414" i="1"/>
  <c r="BF415" i="1"/>
  <c r="BT415" i="1"/>
  <c r="BF416" i="1"/>
  <c r="BT416" i="1"/>
  <c r="BF417" i="1"/>
  <c r="BT417" i="1"/>
  <c r="BF418" i="1"/>
  <c r="BT418" i="1"/>
  <c r="BF419" i="1"/>
  <c r="BT419" i="1"/>
  <c r="BF420" i="1"/>
  <c r="BT420" i="1"/>
  <c r="BF421" i="1"/>
  <c r="BT421" i="1"/>
  <c r="BF422" i="1"/>
  <c r="BT422" i="1"/>
  <c r="BF423" i="1"/>
  <c r="BT423" i="1"/>
  <c r="BF424" i="1"/>
  <c r="BT424" i="1"/>
  <c r="BF425" i="1"/>
  <c r="BT425" i="1"/>
  <c r="BF426" i="1"/>
  <c r="BT426" i="1"/>
  <c r="BF427" i="1"/>
  <c r="BT427" i="1"/>
  <c r="BF428" i="1"/>
  <c r="BT428" i="1"/>
  <c r="BF429" i="1"/>
  <c r="BT429" i="1"/>
  <c r="BF430" i="1"/>
  <c r="BT430" i="1"/>
  <c r="BF431" i="1"/>
  <c r="BT431" i="1"/>
  <c r="BF432" i="1"/>
  <c r="BT432" i="1"/>
  <c r="BF433" i="1"/>
  <c r="BT433" i="1"/>
  <c r="BF434" i="1"/>
  <c r="BT434" i="1"/>
  <c r="BF435" i="1"/>
  <c r="BT435" i="1"/>
  <c r="BF436" i="1"/>
  <c r="BT436" i="1"/>
  <c r="BF437" i="1"/>
  <c r="BT437" i="1"/>
  <c r="BF438" i="1"/>
  <c r="BT438" i="1"/>
  <c r="BF439" i="1"/>
  <c r="BT439" i="1"/>
  <c r="BF440" i="1"/>
  <c r="BT440" i="1"/>
  <c r="BF441" i="1"/>
  <c r="BT441" i="1"/>
  <c r="BF442" i="1"/>
  <c r="BT442" i="1"/>
  <c r="BF443" i="1"/>
  <c r="BT443" i="1"/>
  <c r="BF444" i="1"/>
  <c r="BT444" i="1"/>
  <c r="BF445" i="1"/>
  <c r="BT445" i="1"/>
  <c r="BF446" i="1"/>
  <c r="BT446" i="1"/>
  <c r="BF447" i="1"/>
  <c r="BT447" i="1"/>
  <c r="BF448" i="1"/>
  <c r="BT448" i="1"/>
  <c r="BF449" i="1"/>
  <c r="BT449" i="1"/>
  <c r="BF450" i="1"/>
  <c r="BT450" i="1"/>
  <c r="BF451" i="1"/>
  <c r="BT451" i="1"/>
  <c r="BF452" i="1"/>
  <c r="BT452" i="1"/>
  <c r="BF453" i="1"/>
  <c r="BT453" i="1"/>
  <c r="BF454" i="1"/>
  <c r="BT454" i="1"/>
  <c r="BF455" i="1"/>
  <c r="BT455" i="1"/>
  <c r="BF456" i="1"/>
  <c r="BT456" i="1"/>
  <c r="BF457" i="1"/>
  <c r="BT457" i="1"/>
  <c r="BF458" i="1"/>
  <c r="BT458" i="1"/>
  <c r="BF459" i="1"/>
  <c r="BT459" i="1"/>
  <c r="BF460" i="1"/>
  <c r="BT460" i="1"/>
  <c r="BF461" i="1"/>
  <c r="BT461" i="1"/>
  <c r="BF462" i="1"/>
  <c r="BT462" i="1"/>
  <c r="BF463" i="1"/>
  <c r="BT463" i="1"/>
  <c r="BF464" i="1"/>
  <c r="BT464" i="1"/>
  <c r="BF465" i="1"/>
  <c r="BT465" i="1"/>
  <c r="BF466" i="1"/>
  <c r="BT466" i="1"/>
  <c r="BT467" i="1"/>
  <c r="BF468" i="1"/>
  <c r="BT468" i="1"/>
  <c r="BF469" i="1"/>
  <c r="BT469" i="1"/>
  <c r="BF470" i="1"/>
  <c r="BT470" i="1"/>
  <c r="BF471" i="1"/>
  <c r="BT471" i="1"/>
  <c r="BF472" i="1"/>
  <c r="BT472" i="1"/>
  <c r="BF473" i="1"/>
  <c r="BT473" i="1"/>
  <c r="BF474" i="1"/>
  <c r="BT474" i="1"/>
  <c r="BF475" i="1"/>
  <c r="BT475" i="1"/>
  <c r="BF476" i="1"/>
  <c r="BT476" i="1"/>
  <c r="BF477" i="1"/>
  <c r="BT477" i="1"/>
  <c r="BF478" i="1"/>
  <c r="BT478" i="1"/>
  <c r="BT479" i="1"/>
  <c r="BF480" i="1"/>
  <c r="BT480" i="1"/>
  <c r="BF481" i="1"/>
  <c r="BT481" i="1"/>
  <c r="BF482" i="1"/>
  <c r="BT482" i="1"/>
  <c r="BF483" i="1"/>
  <c r="BT483" i="1"/>
  <c r="BF484" i="1"/>
  <c r="BT484" i="1"/>
  <c r="BF485" i="1"/>
  <c r="BT485" i="1"/>
  <c r="BF486" i="1"/>
  <c r="BT486" i="1"/>
  <c r="BF487" i="1"/>
  <c r="BT487" i="1"/>
  <c r="BF488" i="1"/>
  <c r="BT488" i="1"/>
  <c r="BF489" i="1"/>
  <c r="BT489" i="1"/>
  <c r="BF490" i="1"/>
  <c r="BT490" i="1"/>
  <c r="BF491" i="1"/>
  <c r="BT491" i="1"/>
  <c r="BF492" i="1"/>
  <c r="BT492" i="1"/>
  <c r="BF493" i="1"/>
  <c r="BT493" i="1"/>
  <c r="BF494" i="1"/>
  <c r="BT494" i="1"/>
  <c r="BF495" i="1"/>
  <c r="BT495" i="1"/>
  <c r="BF496" i="1"/>
  <c r="BT496" i="1"/>
  <c r="BF497" i="1"/>
  <c r="BT497" i="1"/>
  <c r="BT498" i="1"/>
  <c r="BT499" i="1"/>
  <c r="BT500" i="1"/>
  <c r="BF501" i="1"/>
  <c r="BT501" i="1"/>
  <c r="BF502" i="1"/>
  <c r="BT502" i="1"/>
  <c r="BF503" i="1"/>
  <c r="BT503" i="1"/>
  <c r="BF504" i="1"/>
  <c r="BT504" i="1"/>
  <c r="BF505" i="1"/>
  <c r="BT505" i="1"/>
  <c r="BF506" i="1"/>
  <c r="BT506" i="1"/>
  <c r="BF507" i="1"/>
  <c r="BT507" i="1"/>
  <c r="BF508" i="1"/>
  <c r="BT508" i="1"/>
  <c r="BF509" i="1"/>
  <c r="BT509" i="1"/>
  <c r="BF510" i="1"/>
  <c r="BT510" i="1"/>
  <c r="BF511" i="1"/>
  <c r="BT511" i="1"/>
  <c r="BF512" i="1"/>
  <c r="BT512" i="1"/>
  <c r="BF513" i="1"/>
  <c r="BT513" i="1"/>
  <c r="BF514" i="1"/>
  <c r="BT514" i="1"/>
  <c r="BF515" i="1"/>
  <c r="BT515" i="1"/>
  <c r="BF516" i="1"/>
  <c r="BT516" i="1"/>
  <c r="BF517" i="1"/>
  <c r="BT517" i="1"/>
  <c r="BF518" i="1"/>
  <c r="BT518" i="1"/>
  <c r="BF519" i="1"/>
  <c r="BT519" i="1"/>
  <c r="BF520" i="1"/>
  <c r="BT520" i="1"/>
  <c r="BF521" i="1"/>
  <c r="BT521" i="1"/>
  <c r="BF522" i="1"/>
  <c r="BT522" i="1"/>
  <c r="BF523" i="1"/>
  <c r="BT523" i="1"/>
  <c r="BF524" i="1"/>
  <c r="BT524" i="1"/>
  <c r="BF525" i="1"/>
  <c r="BT525" i="1"/>
  <c r="BF526" i="1"/>
  <c r="BT526" i="1"/>
  <c r="BF527" i="1"/>
  <c r="BT527" i="1"/>
  <c r="BF528" i="1"/>
  <c r="BT528" i="1"/>
  <c r="BF529" i="1"/>
  <c r="BT529" i="1"/>
  <c r="BF530" i="1"/>
  <c r="BT530" i="1"/>
  <c r="BF531" i="1"/>
  <c r="BT531" i="1"/>
  <c r="BF532" i="1"/>
  <c r="BT532" i="1"/>
  <c r="BF533" i="1"/>
  <c r="BT533" i="1"/>
  <c r="BF534" i="1"/>
  <c r="BT534" i="1"/>
  <c r="BF535" i="1"/>
  <c r="BT535" i="1"/>
  <c r="BF536" i="1"/>
  <c r="BT536" i="1"/>
  <c r="BF537" i="1"/>
  <c r="BT537" i="1"/>
  <c r="BF538" i="1"/>
  <c r="BT538" i="1"/>
  <c r="BF539" i="1"/>
  <c r="BT539" i="1"/>
  <c r="BF540" i="1"/>
  <c r="BT540" i="1"/>
  <c r="BF541" i="1"/>
  <c r="BT541" i="1"/>
  <c r="BF542" i="1"/>
  <c r="BT542" i="1"/>
  <c r="BF543" i="1"/>
  <c r="BT543" i="1"/>
  <c r="BF544" i="1"/>
  <c r="BT544" i="1"/>
  <c r="BF545" i="1"/>
  <c r="BT545" i="1"/>
  <c r="BF546" i="1"/>
  <c r="BT546" i="1"/>
  <c r="BF547" i="1"/>
  <c r="BT547" i="1"/>
  <c r="BF548" i="1"/>
  <c r="BT548" i="1"/>
  <c r="BT549" i="1"/>
  <c r="BT550" i="1"/>
  <c r="BT551" i="1"/>
  <c r="BT552" i="1"/>
  <c r="BT553" i="1"/>
  <c r="BT554" i="1"/>
  <c r="BT555" i="1"/>
  <c r="BT556" i="1"/>
  <c r="BT557" i="1"/>
  <c r="BT558" i="1"/>
  <c r="BT559" i="1"/>
  <c r="BF560" i="1"/>
  <c r="BT560" i="1"/>
  <c r="BF561" i="1"/>
  <c r="BT561" i="1"/>
  <c r="BF562" i="1"/>
  <c r="BT562" i="1"/>
  <c r="BT563" i="1"/>
  <c r="BF564" i="1"/>
  <c r="BT564" i="1"/>
  <c r="BF565" i="1"/>
  <c r="BT565" i="1"/>
  <c r="BF566" i="1"/>
  <c r="BT566" i="1"/>
  <c r="BF567" i="1"/>
  <c r="BT567" i="1"/>
  <c r="BF568" i="1"/>
  <c r="BT568" i="1"/>
  <c r="BF569" i="1"/>
  <c r="BT569" i="1"/>
  <c r="BF570" i="1"/>
  <c r="BT570" i="1"/>
  <c r="BF571" i="1"/>
  <c r="BT571" i="1"/>
  <c r="BF572" i="1"/>
  <c r="BT572" i="1"/>
  <c r="BF573" i="1"/>
  <c r="BT573" i="1"/>
  <c r="BF574" i="1"/>
  <c r="BT574" i="1"/>
  <c r="BF575" i="1"/>
  <c r="BT575" i="1"/>
  <c r="BF576" i="1"/>
  <c r="BT576" i="1"/>
  <c r="BF577" i="1"/>
  <c r="BT577" i="1"/>
  <c r="BF578" i="1"/>
  <c r="BT578" i="1"/>
  <c r="BF579" i="1"/>
  <c r="BT579" i="1"/>
  <c r="BF580" i="1"/>
  <c r="BT580" i="1"/>
  <c r="BF581" i="1"/>
  <c r="BT581" i="1"/>
  <c r="BF582" i="1"/>
  <c r="BT582" i="1"/>
  <c r="BF583" i="1"/>
  <c r="BT583" i="1"/>
  <c r="BF584" i="1"/>
  <c r="BT584" i="1"/>
  <c r="BF585" i="1"/>
  <c r="BT585" i="1"/>
  <c r="BF586" i="1"/>
  <c r="BT586" i="1"/>
  <c r="BF587" i="1"/>
  <c r="BT587" i="1"/>
  <c r="BF588" i="1"/>
  <c r="BT588" i="1"/>
  <c r="BF589" i="1"/>
  <c r="BT589" i="1"/>
  <c r="BF590" i="1"/>
  <c r="BT590" i="1"/>
  <c r="BF591" i="1"/>
  <c r="BT591" i="1"/>
  <c r="BF592" i="1"/>
  <c r="BT592" i="1"/>
  <c r="BF593" i="1"/>
  <c r="BT593" i="1"/>
  <c r="BF594" i="1"/>
  <c r="BT594" i="1"/>
  <c r="BF595" i="1"/>
  <c r="BT595" i="1"/>
  <c r="BF596" i="1"/>
  <c r="BT596" i="1"/>
  <c r="BF597" i="1"/>
  <c r="BT597" i="1"/>
  <c r="BF598" i="1"/>
  <c r="BT598" i="1"/>
  <c r="BF599" i="1"/>
  <c r="BT599" i="1"/>
  <c r="BF600" i="1"/>
  <c r="BT600" i="1"/>
  <c r="BF601" i="1"/>
  <c r="BT601" i="1"/>
  <c r="BF602" i="1"/>
  <c r="BT602" i="1"/>
  <c r="BF603" i="1"/>
  <c r="BT603" i="1"/>
  <c r="BF604" i="1"/>
  <c r="BT604" i="1"/>
  <c r="BF605" i="1"/>
  <c r="BT605" i="1"/>
  <c r="BF606" i="1"/>
  <c r="BT606" i="1"/>
  <c r="BF607" i="1"/>
  <c r="BT607" i="1"/>
  <c r="BF608" i="1"/>
  <c r="BT608" i="1"/>
  <c r="BF609" i="1"/>
  <c r="BT609" i="1"/>
  <c r="BF610" i="1"/>
  <c r="BT610" i="1"/>
  <c r="BF611" i="1"/>
  <c r="BT611" i="1"/>
  <c r="BF612" i="1"/>
  <c r="BT612" i="1"/>
  <c r="BF613" i="1"/>
  <c r="BT613" i="1"/>
  <c r="BF614" i="1"/>
  <c r="BT614" i="1"/>
  <c r="BF615" i="1"/>
  <c r="BT615" i="1"/>
  <c r="BF616" i="1"/>
  <c r="BT616" i="1"/>
  <c r="BF617" i="1"/>
  <c r="BT617" i="1"/>
  <c r="BF618" i="1"/>
  <c r="BT618" i="1"/>
  <c r="BF619" i="1"/>
  <c r="BT619" i="1"/>
  <c r="BF620" i="1"/>
  <c r="BT620" i="1"/>
  <c r="BF621" i="1"/>
  <c r="BT621" i="1"/>
  <c r="BF622" i="1"/>
  <c r="BT622" i="1"/>
  <c r="BF623" i="1"/>
  <c r="BT623" i="1"/>
  <c r="BF624" i="1"/>
  <c r="BT624" i="1"/>
  <c r="BF625" i="1"/>
  <c r="BT625" i="1"/>
  <c r="BF626" i="1"/>
  <c r="BT626" i="1"/>
  <c r="BF627" i="1"/>
  <c r="BT627" i="1"/>
  <c r="BF628" i="1"/>
  <c r="BT628" i="1"/>
  <c r="BF629" i="1"/>
  <c r="BT629" i="1"/>
  <c r="BF630" i="1"/>
  <c r="BT630" i="1"/>
  <c r="BF631" i="1"/>
  <c r="BT631" i="1"/>
  <c r="BF632" i="1"/>
  <c r="BT632" i="1"/>
  <c r="BF633" i="1"/>
  <c r="BT633" i="1"/>
  <c r="BF634" i="1"/>
  <c r="BT634" i="1"/>
  <c r="BF635" i="1"/>
  <c r="BT635" i="1"/>
  <c r="BF636" i="1"/>
  <c r="BT636" i="1"/>
  <c r="BF637" i="1"/>
  <c r="BT637" i="1"/>
  <c r="BF638" i="1"/>
  <c r="BT638" i="1"/>
  <c r="BF639" i="1"/>
  <c r="BT639" i="1"/>
  <c r="BF640" i="1"/>
  <c r="BT640" i="1"/>
  <c r="BF641" i="1"/>
  <c r="BT641" i="1"/>
  <c r="BF642" i="1"/>
  <c r="BT642" i="1"/>
  <c r="BF643" i="1"/>
  <c r="BT643" i="1"/>
  <c r="BF644" i="1"/>
  <c r="BT644" i="1"/>
  <c r="BF645" i="1"/>
  <c r="BT645" i="1"/>
  <c r="BF646" i="1"/>
  <c r="BT646" i="1"/>
  <c r="BF647" i="1"/>
  <c r="BT647" i="1"/>
  <c r="BF648" i="1"/>
  <c r="BT648" i="1"/>
  <c r="BF649" i="1"/>
  <c r="BT649" i="1"/>
  <c r="BF650" i="1"/>
  <c r="BT650" i="1"/>
  <c r="BF651" i="1"/>
  <c r="BT651" i="1"/>
  <c r="BF652" i="1"/>
  <c r="BT652" i="1"/>
  <c r="BF653" i="1"/>
  <c r="BT653" i="1"/>
  <c r="BF654" i="1"/>
  <c r="BT654" i="1"/>
  <c r="BF655" i="1"/>
  <c r="BT655" i="1"/>
  <c r="BF656" i="1"/>
  <c r="BT656" i="1"/>
  <c r="BF657" i="1"/>
  <c r="BT657" i="1"/>
  <c r="BF658" i="1"/>
  <c r="BT658" i="1"/>
  <c r="BF659" i="1"/>
  <c r="BT659" i="1"/>
  <c r="BF660" i="1"/>
  <c r="BT660" i="1"/>
  <c r="BF661" i="1"/>
  <c r="BT661" i="1"/>
  <c r="BF662" i="1"/>
  <c r="BT662" i="1"/>
  <c r="BF663" i="1"/>
  <c r="BT663" i="1"/>
  <c r="BF664" i="1"/>
  <c r="BT664" i="1"/>
  <c r="BF665" i="1"/>
  <c r="BT665" i="1"/>
  <c r="BF666" i="1"/>
  <c r="BT666" i="1"/>
  <c r="BF667" i="1"/>
  <c r="BT667" i="1"/>
  <c r="BF668" i="1"/>
  <c r="BT668" i="1"/>
  <c r="BF669" i="1"/>
  <c r="BT669" i="1"/>
  <c r="BF670" i="1"/>
  <c r="BT670" i="1"/>
  <c r="BF671" i="1"/>
  <c r="BT671" i="1"/>
  <c r="BF672" i="1"/>
  <c r="BT672" i="1"/>
  <c r="BF673" i="1"/>
  <c r="BT673" i="1"/>
  <c r="BF674" i="1"/>
  <c r="BT674" i="1"/>
  <c r="BF675" i="1"/>
  <c r="BT675" i="1"/>
  <c r="BF676" i="1"/>
  <c r="BT676" i="1"/>
  <c r="BF677" i="1"/>
  <c r="BT677" i="1"/>
  <c r="BF678" i="1"/>
  <c r="BT678" i="1"/>
  <c r="BF679" i="1"/>
  <c r="BT679" i="1"/>
  <c r="BF680" i="1"/>
  <c r="BT680" i="1"/>
  <c r="BF681" i="1"/>
  <c r="BT681" i="1"/>
  <c r="BF682" i="1"/>
  <c r="BT682" i="1"/>
  <c r="BF683" i="1"/>
  <c r="BT683" i="1"/>
  <c r="BF684" i="1"/>
  <c r="BT684" i="1"/>
  <c r="BF685" i="1"/>
  <c r="BT685" i="1"/>
  <c r="BF686" i="1"/>
  <c r="BT686" i="1"/>
  <c r="BF687" i="1"/>
  <c r="BT687" i="1"/>
  <c r="BF688" i="1"/>
  <c r="BT688" i="1"/>
  <c r="BF689" i="1"/>
  <c r="BT689" i="1"/>
  <c r="BF690" i="1"/>
  <c r="BT690" i="1"/>
  <c r="BF691" i="1"/>
  <c r="BT691" i="1"/>
  <c r="BF692" i="1"/>
  <c r="BT692" i="1"/>
  <c r="BF693" i="1"/>
  <c r="BT693" i="1"/>
  <c r="BF694" i="1"/>
  <c r="BT694" i="1"/>
  <c r="BF695" i="1"/>
  <c r="BT695" i="1"/>
  <c r="BF696" i="1"/>
  <c r="BT696" i="1"/>
  <c r="BF697" i="1"/>
  <c r="BT697" i="1"/>
  <c r="BF698" i="1"/>
  <c r="BT698" i="1"/>
  <c r="BF699" i="1"/>
  <c r="BT699" i="1"/>
  <c r="BF700" i="1"/>
  <c r="BT700" i="1"/>
  <c r="BF701" i="1"/>
  <c r="BT701" i="1"/>
  <c r="BF702" i="1"/>
  <c r="BT702" i="1"/>
  <c r="BF703" i="1"/>
  <c r="BT703" i="1"/>
  <c r="BF704" i="1"/>
  <c r="BT704" i="1"/>
  <c r="BF705" i="1"/>
  <c r="BT705" i="1"/>
  <c r="BF706" i="1"/>
  <c r="BT706" i="1"/>
  <c r="BF707" i="1"/>
  <c r="BT707" i="1"/>
  <c r="BF708" i="1"/>
  <c r="BT708" i="1"/>
  <c r="BF709" i="1"/>
  <c r="BT709" i="1"/>
  <c r="BF710" i="1"/>
  <c r="BT710" i="1"/>
  <c r="BF711" i="1"/>
  <c r="BT711" i="1"/>
  <c r="BF712" i="1"/>
  <c r="BT712" i="1"/>
  <c r="BF713" i="1"/>
  <c r="BT713" i="1"/>
  <c r="BF714" i="1"/>
  <c r="BT714" i="1"/>
  <c r="BF715" i="1"/>
  <c r="BT715" i="1"/>
  <c r="BF716" i="1"/>
  <c r="BT716" i="1"/>
  <c r="BF717" i="1"/>
  <c r="BT717" i="1"/>
  <c r="BF718" i="1"/>
  <c r="BT718" i="1"/>
  <c r="BF719" i="1"/>
  <c r="BT719" i="1"/>
  <c r="BF720" i="1"/>
  <c r="BT720" i="1"/>
  <c r="BF721" i="1"/>
  <c r="BT721" i="1"/>
  <c r="BF722" i="1"/>
  <c r="BT722" i="1"/>
  <c r="BF723" i="1"/>
  <c r="BT723" i="1"/>
  <c r="BT724" i="1"/>
  <c r="BF725" i="1"/>
  <c r="BT725" i="1"/>
  <c r="BF726" i="1"/>
  <c r="BT726" i="1"/>
  <c r="BF727" i="1"/>
  <c r="BT727" i="1"/>
  <c r="BF728" i="1"/>
  <c r="BT728" i="1"/>
  <c r="BF729" i="1"/>
  <c r="BT729" i="1"/>
  <c r="BF730" i="1"/>
  <c r="BT730" i="1"/>
  <c r="BF731" i="1"/>
  <c r="BT731" i="1"/>
  <c r="BF732" i="1"/>
  <c r="BT732" i="1"/>
  <c r="BF733" i="1"/>
  <c r="BT733" i="1"/>
  <c r="BF734" i="1"/>
  <c r="BT734" i="1"/>
  <c r="BF735" i="1"/>
  <c r="BT735" i="1"/>
  <c r="BF736" i="1"/>
  <c r="BT736" i="1"/>
  <c r="BF737" i="1"/>
  <c r="BT737" i="1"/>
  <c r="BF738" i="1"/>
  <c r="BT738" i="1"/>
  <c r="BF739" i="1"/>
  <c r="BT739" i="1"/>
  <c r="BF740" i="1"/>
  <c r="BT740" i="1"/>
  <c r="BF741" i="1"/>
  <c r="BT741" i="1"/>
  <c r="BF742" i="1"/>
  <c r="BT742" i="1"/>
  <c r="BF743" i="1"/>
  <c r="BT743" i="1"/>
  <c r="BF744" i="1"/>
  <c r="BT744" i="1"/>
  <c r="BF745" i="1"/>
  <c r="BT745" i="1"/>
  <c r="BF746" i="1"/>
  <c r="BT746" i="1"/>
  <c r="BF747" i="1"/>
  <c r="BT747" i="1"/>
  <c r="BF748" i="1"/>
  <c r="BT748" i="1"/>
  <c r="BF749" i="1"/>
  <c r="BT749" i="1"/>
  <c r="BF750" i="1"/>
  <c r="BT750" i="1"/>
  <c r="BF751" i="1"/>
  <c r="BT751" i="1"/>
  <c r="BF752" i="1"/>
  <c r="BT752" i="1"/>
  <c r="BF753" i="1"/>
  <c r="BT753" i="1"/>
  <c r="BF754" i="1"/>
  <c r="BT754" i="1"/>
  <c r="BF755" i="1"/>
  <c r="BT755" i="1"/>
  <c r="BF756" i="1"/>
  <c r="BT756" i="1"/>
  <c r="BF757" i="1"/>
  <c r="BT757" i="1"/>
  <c r="BF758" i="1"/>
  <c r="BT758" i="1"/>
  <c r="BF759" i="1"/>
  <c r="BT759" i="1"/>
  <c r="BF760" i="1"/>
  <c r="BT760" i="1"/>
  <c r="BF761" i="1"/>
  <c r="BT761" i="1"/>
  <c r="BF762" i="1"/>
  <c r="BT762" i="1"/>
  <c r="BF763" i="1"/>
  <c r="BT763" i="1"/>
  <c r="BF764" i="1"/>
  <c r="BT764" i="1"/>
  <c r="BF765" i="1"/>
  <c r="BT765" i="1"/>
  <c r="BF766" i="1"/>
  <c r="BT766" i="1"/>
  <c r="BF767" i="1"/>
  <c r="BT767" i="1"/>
  <c r="BF768" i="1"/>
  <c r="BT768" i="1"/>
  <c r="BF769" i="1"/>
  <c r="BT769" i="1"/>
  <c r="BF770" i="1"/>
  <c r="BT770" i="1"/>
  <c r="BF771" i="1"/>
  <c r="BT771" i="1"/>
  <c r="BF772" i="1"/>
  <c r="BT772" i="1"/>
  <c r="BF773" i="1"/>
  <c r="BT773" i="1"/>
  <c r="BF774" i="1"/>
  <c r="BT774" i="1"/>
  <c r="BF775" i="1"/>
  <c r="BT775" i="1"/>
  <c r="BF776" i="1"/>
  <c r="BT776" i="1"/>
  <c r="BF777" i="1"/>
  <c r="BT777" i="1"/>
  <c r="BF778" i="1"/>
  <c r="BT778" i="1"/>
  <c r="BF779" i="1"/>
  <c r="BT779" i="1"/>
  <c r="BF780" i="1"/>
  <c r="BT780" i="1"/>
  <c r="BF781" i="1"/>
  <c r="BT781" i="1"/>
  <c r="BF782" i="1"/>
  <c r="BT782" i="1"/>
  <c r="BF783" i="1"/>
  <c r="BT783" i="1"/>
  <c r="BF784" i="1"/>
  <c r="BT784" i="1"/>
  <c r="BF785" i="1"/>
  <c r="BT785" i="1"/>
  <c r="BF786" i="1"/>
  <c r="BT786" i="1"/>
  <c r="BF787" i="1"/>
  <c r="BT787" i="1"/>
  <c r="BF788" i="1"/>
  <c r="BT788" i="1"/>
  <c r="BF789" i="1"/>
  <c r="BT789" i="1"/>
  <c r="BF790" i="1"/>
  <c r="BT790" i="1"/>
  <c r="BF791" i="1"/>
  <c r="BT791" i="1"/>
  <c r="BF792" i="1"/>
  <c r="BT792" i="1"/>
  <c r="BF793" i="1"/>
  <c r="BT793" i="1"/>
  <c r="BF794" i="1"/>
  <c r="BT794" i="1"/>
  <c r="BF795" i="1"/>
  <c r="BT795" i="1"/>
  <c r="BF796" i="1"/>
  <c r="BT796" i="1"/>
  <c r="BF797" i="1"/>
  <c r="BT797" i="1"/>
  <c r="BF798" i="1"/>
  <c r="BT798" i="1"/>
  <c r="BF799" i="1"/>
  <c r="BT799" i="1"/>
  <c r="BF800" i="1"/>
  <c r="BT800" i="1"/>
  <c r="BF801" i="1"/>
  <c r="BT801" i="1"/>
  <c r="BF802" i="1"/>
  <c r="BT802" i="1"/>
  <c r="BF803" i="1"/>
  <c r="BT803" i="1"/>
  <c r="BF804" i="1"/>
  <c r="BT804" i="1"/>
  <c r="BF805" i="1"/>
  <c r="BT805" i="1"/>
  <c r="BF806" i="1"/>
  <c r="BT806" i="1"/>
  <c r="BF807" i="1"/>
  <c r="BT807" i="1"/>
  <c r="BF808" i="1"/>
  <c r="BT808" i="1"/>
  <c r="BF809" i="1"/>
  <c r="BT809" i="1"/>
  <c r="BF810" i="1"/>
  <c r="BT810" i="1"/>
  <c r="BF811" i="1"/>
  <c r="BT811" i="1"/>
  <c r="BF812" i="1"/>
  <c r="BT812" i="1"/>
  <c r="BF813" i="1"/>
  <c r="BT813" i="1"/>
  <c r="BF814" i="1"/>
  <c r="BT814" i="1"/>
  <c r="BF815" i="1"/>
  <c r="BT815" i="1"/>
  <c r="BF816" i="1"/>
  <c r="BT816" i="1"/>
  <c r="BF817" i="1"/>
  <c r="BT817" i="1"/>
  <c r="BF818" i="1"/>
  <c r="BT818" i="1"/>
  <c r="BF819" i="1"/>
  <c r="BT819" i="1"/>
  <c r="BF820" i="1"/>
  <c r="BT820" i="1"/>
  <c r="BF821" i="1"/>
  <c r="BT821" i="1"/>
  <c r="BF822" i="1"/>
  <c r="BT822" i="1"/>
  <c r="BF823" i="1"/>
  <c r="BT823" i="1"/>
  <c r="BF824" i="1"/>
  <c r="BT824" i="1"/>
  <c r="BF825" i="1"/>
  <c r="BT825" i="1"/>
  <c r="BF826" i="1"/>
  <c r="BT826" i="1"/>
  <c r="BF827" i="1"/>
  <c r="BT827" i="1"/>
  <c r="BF828" i="1"/>
  <c r="BT828" i="1"/>
  <c r="BF829" i="1"/>
  <c r="BT829" i="1"/>
  <c r="BF830" i="1"/>
  <c r="BT830" i="1"/>
  <c r="BF831" i="1"/>
  <c r="BT831" i="1"/>
  <c r="BF832" i="1"/>
  <c r="BT832" i="1"/>
  <c r="BF833" i="1"/>
  <c r="BT833" i="1"/>
  <c r="BF834" i="1"/>
  <c r="BT834" i="1"/>
  <c r="BF835" i="1"/>
  <c r="BT835" i="1"/>
  <c r="BF836" i="1"/>
  <c r="BT836" i="1"/>
  <c r="BF837" i="1"/>
  <c r="BT837" i="1"/>
  <c r="BF838" i="1"/>
  <c r="BT838" i="1"/>
  <c r="BF839" i="1"/>
  <c r="BT839" i="1"/>
  <c r="BF840" i="1"/>
  <c r="BT840" i="1"/>
  <c r="BF841" i="1"/>
  <c r="BT841" i="1"/>
  <c r="BF842" i="1"/>
  <c r="BT842" i="1"/>
  <c r="BF843" i="1"/>
  <c r="BT843" i="1"/>
  <c r="BF844" i="1"/>
  <c r="BT844" i="1"/>
  <c r="BF845" i="1"/>
  <c r="BT845" i="1"/>
  <c r="BF846" i="1"/>
  <c r="BT846" i="1"/>
  <c r="BF847" i="1"/>
  <c r="BT847" i="1"/>
  <c r="BF848" i="1"/>
  <c r="BT848" i="1"/>
  <c r="BF849" i="1"/>
  <c r="BT849" i="1"/>
  <c r="BF850" i="1"/>
  <c r="BT850" i="1"/>
  <c r="BF851" i="1"/>
  <c r="BT851" i="1"/>
  <c r="BF852" i="1"/>
  <c r="BT852" i="1"/>
  <c r="BF853" i="1"/>
  <c r="BT853" i="1"/>
  <c r="BF854" i="1"/>
  <c r="BT854" i="1"/>
  <c r="BF855" i="1"/>
  <c r="BT855" i="1"/>
  <c r="BF856" i="1"/>
  <c r="BT856" i="1"/>
  <c r="BF857" i="1"/>
  <c r="BT857" i="1"/>
  <c r="BF858" i="1"/>
  <c r="BT858" i="1"/>
  <c r="BF859" i="1"/>
  <c r="BT859" i="1"/>
  <c r="BF860" i="1"/>
  <c r="BT860" i="1"/>
  <c r="BF861" i="1"/>
  <c r="BT861" i="1"/>
  <c r="BF862" i="1"/>
  <c r="BT862" i="1"/>
  <c r="BF863" i="1"/>
  <c r="BT863" i="1"/>
  <c r="BF864" i="1"/>
  <c r="BT864" i="1"/>
  <c r="BF865" i="1"/>
  <c r="BT865" i="1"/>
  <c r="BF866" i="1"/>
  <c r="BT866" i="1"/>
  <c r="BF867" i="1"/>
  <c r="BT867" i="1"/>
  <c r="BF868" i="1"/>
  <c r="BT868" i="1"/>
  <c r="BF869" i="1"/>
  <c r="BT869" i="1"/>
  <c r="BF870" i="1"/>
  <c r="BT870" i="1"/>
  <c r="BF871" i="1"/>
  <c r="BT871" i="1"/>
  <c r="BF872" i="1"/>
  <c r="BT872" i="1"/>
  <c r="BF873" i="1"/>
  <c r="BT873" i="1"/>
  <c r="BF874" i="1"/>
  <c r="BT874" i="1"/>
  <c r="BF875" i="1"/>
  <c r="BT875" i="1"/>
  <c r="BF876" i="1"/>
  <c r="BT876" i="1"/>
  <c r="BF877" i="1"/>
  <c r="BT877" i="1"/>
  <c r="BF878" i="1"/>
  <c r="BT878" i="1"/>
  <c r="BF879" i="1"/>
  <c r="BT879" i="1"/>
  <c r="BF880" i="1"/>
  <c r="BT880" i="1"/>
  <c r="BF881" i="1"/>
  <c r="BT881" i="1"/>
  <c r="BF882" i="1"/>
  <c r="BT882" i="1"/>
  <c r="BF883" i="1"/>
  <c r="BT883" i="1"/>
  <c r="BF884" i="1"/>
  <c r="BT884" i="1"/>
  <c r="BF885" i="1"/>
  <c r="BT885" i="1"/>
  <c r="BF886" i="1"/>
  <c r="BT886" i="1"/>
  <c r="BF887" i="1"/>
  <c r="BT887" i="1"/>
  <c r="BF888" i="1"/>
  <c r="BT888" i="1"/>
  <c r="BF889" i="1"/>
  <c r="BT889" i="1"/>
  <c r="BF890" i="1"/>
  <c r="BT890" i="1"/>
  <c r="BF891" i="1"/>
  <c r="BT891" i="1"/>
  <c r="BF892" i="1"/>
  <c r="BT892" i="1"/>
  <c r="BF893" i="1"/>
  <c r="BT893" i="1"/>
  <c r="BF894" i="1"/>
  <c r="BT894" i="1"/>
  <c r="BF895" i="1"/>
  <c r="BT895" i="1"/>
  <c r="BF896" i="1"/>
  <c r="BT896" i="1"/>
  <c r="BF897" i="1"/>
  <c r="BT897" i="1"/>
  <c r="BF898" i="1"/>
  <c r="BT898" i="1"/>
  <c r="BF899" i="1"/>
  <c r="BT899" i="1"/>
  <c r="BF900" i="1"/>
  <c r="BT900" i="1"/>
  <c r="BF901" i="1"/>
  <c r="BT901" i="1"/>
  <c r="BF902" i="1"/>
  <c r="BT902" i="1"/>
  <c r="BF903" i="1"/>
  <c r="BT903" i="1"/>
  <c r="BF904" i="1"/>
  <c r="BT904" i="1"/>
  <c r="BF905" i="1"/>
  <c r="BT905" i="1"/>
  <c r="BF906" i="1"/>
  <c r="BT906" i="1"/>
  <c r="BF907" i="1"/>
  <c r="BT907" i="1"/>
  <c r="BF908" i="1"/>
  <c r="BT908" i="1"/>
  <c r="BF909" i="1"/>
  <c r="BT909" i="1"/>
  <c r="BF910" i="1"/>
  <c r="BT910" i="1"/>
  <c r="BF911" i="1"/>
  <c r="BT911" i="1"/>
  <c r="BF912" i="1"/>
  <c r="BT912" i="1"/>
  <c r="BF913" i="1"/>
  <c r="BT913" i="1"/>
  <c r="BF914" i="1"/>
  <c r="BT914" i="1"/>
  <c r="BF915" i="1"/>
  <c r="BT915" i="1"/>
  <c r="BF916" i="1"/>
  <c r="BT916" i="1"/>
  <c r="BF917" i="1"/>
  <c r="BT917" i="1"/>
  <c r="BF918" i="1"/>
  <c r="BT918" i="1"/>
  <c r="BF919" i="1"/>
  <c r="BT919" i="1"/>
  <c r="BF920" i="1"/>
  <c r="BT920" i="1"/>
  <c r="BT921" i="1"/>
  <c r="BF922" i="1"/>
  <c r="BT922" i="1"/>
  <c r="BF923" i="1"/>
  <c r="BT923" i="1"/>
  <c r="BF924" i="1"/>
  <c r="BT924" i="1"/>
  <c r="BF925" i="1"/>
  <c r="BT925" i="1"/>
  <c r="BF926" i="1"/>
  <c r="BT926" i="1"/>
  <c r="BF927" i="1"/>
  <c r="BT927" i="1"/>
  <c r="BF928" i="1"/>
  <c r="BT928" i="1"/>
  <c r="BF929" i="1"/>
  <c r="BT929" i="1"/>
  <c r="BF930" i="1"/>
  <c r="BT930" i="1"/>
  <c r="BF931" i="1"/>
  <c r="BT931" i="1"/>
  <c r="BF932" i="1"/>
  <c r="BT932" i="1"/>
  <c r="BF933" i="1"/>
  <c r="BT933" i="1"/>
  <c r="BF934" i="1"/>
  <c r="BT934" i="1"/>
  <c r="BF935" i="1"/>
  <c r="BT935" i="1"/>
  <c r="BF936" i="1"/>
  <c r="BT936" i="1"/>
  <c r="BF937" i="1"/>
  <c r="BT937" i="1"/>
  <c r="BF938" i="1"/>
  <c r="BT938" i="1"/>
  <c r="BF939" i="1"/>
  <c r="BT939" i="1"/>
  <c r="BF940" i="1"/>
  <c r="BT940" i="1"/>
  <c r="BF941" i="1"/>
  <c r="BT941" i="1"/>
  <c r="BF942" i="1"/>
  <c r="BT942" i="1"/>
  <c r="BF943" i="1"/>
  <c r="BT943" i="1"/>
  <c r="BF944" i="1"/>
  <c r="BT944" i="1"/>
  <c r="BF945" i="1"/>
  <c r="BT945" i="1"/>
  <c r="BF946" i="1"/>
  <c r="BT946" i="1"/>
  <c r="BF947" i="1"/>
  <c r="BT947" i="1"/>
  <c r="BF948" i="1"/>
  <c r="BT948" i="1"/>
  <c r="BF949" i="1"/>
  <c r="BT949" i="1"/>
  <c r="BF950" i="1"/>
  <c r="BT950" i="1"/>
  <c r="BF951" i="1"/>
  <c r="BT951" i="1"/>
  <c r="BF952" i="1"/>
  <c r="BT952" i="1"/>
  <c r="BF953" i="1"/>
  <c r="BT953" i="1"/>
  <c r="BF954" i="1"/>
  <c r="BT954" i="1"/>
  <c r="BF955" i="1"/>
  <c r="BT955" i="1"/>
  <c r="BF956" i="1"/>
  <c r="BT956" i="1"/>
  <c r="BF957" i="1"/>
  <c r="BT957" i="1"/>
  <c r="BF958" i="1"/>
  <c r="BT958" i="1"/>
  <c r="BF959" i="1"/>
  <c r="BT959" i="1"/>
  <c r="BF960" i="1"/>
  <c r="BT960" i="1"/>
  <c r="BF961" i="1"/>
  <c r="BT961" i="1"/>
  <c r="BF962" i="1"/>
  <c r="BT962" i="1"/>
  <c r="BF963" i="1"/>
  <c r="BT963" i="1"/>
  <c r="BF964" i="1"/>
  <c r="BT964" i="1"/>
  <c r="BF965" i="1"/>
  <c r="BT965" i="1"/>
  <c r="BF966" i="1"/>
  <c r="BT966" i="1"/>
  <c r="BF967" i="1"/>
  <c r="BT967" i="1"/>
  <c r="BF968" i="1"/>
  <c r="BT968" i="1"/>
  <c r="BF969" i="1"/>
  <c r="BT969" i="1"/>
  <c r="BF970" i="1"/>
  <c r="BT970" i="1"/>
  <c r="BF971" i="1"/>
  <c r="BT971" i="1"/>
  <c r="BF972" i="1"/>
  <c r="BT972" i="1"/>
  <c r="BF973" i="1"/>
  <c r="BT973" i="1"/>
  <c r="BF974" i="1"/>
  <c r="BT974" i="1"/>
  <c r="BF975" i="1"/>
  <c r="BT975" i="1"/>
  <c r="BF976" i="1"/>
  <c r="BT976" i="1"/>
  <c r="BF977" i="1"/>
  <c r="BT977" i="1"/>
  <c r="BF978" i="1"/>
  <c r="BT978" i="1"/>
  <c r="BF979" i="1"/>
  <c r="BT979" i="1"/>
  <c r="BF980" i="1"/>
  <c r="BT980" i="1"/>
  <c r="BF981" i="1"/>
  <c r="BT981" i="1"/>
  <c r="BF982" i="1"/>
  <c r="BT982" i="1"/>
  <c r="BF983" i="1"/>
  <c r="BT983" i="1"/>
  <c r="BF984" i="1"/>
  <c r="BT984" i="1"/>
  <c r="BF985" i="1"/>
  <c r="BT985" i="1"/>
  <c r="BT986" i="1"/>
  <c r="BF987" i="1"/>
  <c r="BT987" i="1"/>
  <c r="BT988" i="1"/>
  <c r="BF989" i="1"/>
  <c r="BT989" i="1"/>
  <c r="BT990" i="1"/>
  <c r="BF991" i="1"/>
  <c r="BT991" i="1"/>
  <c r="BT992" i="1"/>
  <c r="BF993" i="1"/>
  <c r="BT993" i="1"/>
  <c r="BF994" i="1"/>
  <c r="BT994" i="1"/>
  <c r="BF995" i="1"/>
  <c r="BT995" i="1"/>
  <c r="BF996" i="1"/>
  <c r="BT996" i="1"/>
  <c r="BT997" i="1"/>
  <c r="BF998" i="1"/>
  <c r="BT998" i="1"/>
  <c r="BF999" i="1"/>
  <c r="BT999" i="1"/>
  <c r="BF1000" i="1"/>
  <c r="BT1000" i="1"/>
  <c r="BF1001" i="1"/>
  <c r="BT1001" i="1"/>
</calcChain>
</file>

<file path=xl/sharedStrings.xml><?xml version="1.0" encoding="utf-8"?>
<sst xmlns="http://schemas.openxmlformats.org/spreadsheetml/2006/main" count="59447" uniqueCount="18377">
  <si>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</si>
  <si>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</si>
  <si>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</si>
  <si>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</si>
  <si>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</si>
  <si>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</si>
  <si>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</si>
  <si>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</si>
  <si>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</si>
  <si>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</si>
  <si>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</si>
  <si>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</si>
  <si>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</si>
  <si>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</si>
  <si>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</si>
  <si>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</si>
  <si>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</si>
  <si>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</si>
  <si>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</si>
  <si>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</si>
  <si>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</si>
  <si>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</si>
  <si>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</si>
  <si>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</si>
  <si>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</si>
  <si>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</si>
  <si>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</si>
  <si>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</si>
  <si>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</si>
  <si>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</si>
  <si>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</si>
  <si>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</si>
  <si>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</si>
  <si>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</si>
  <si>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</si>
  <si>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</si>
  <si>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</si>
  <si>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</si>
  <si>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</si>
  <si>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</si>
  <si>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</si>
  <si>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</si>
  <si>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</si>
  <si>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</si>
  <si>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</si>
  <si>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</si>
  <si>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</si>
  <si>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</si>
  <si>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</si>
  <si>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</si>
  <si>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</si>
  <si>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</si>
  <si>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</si>
  <si>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</si>
  <si>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</si>
  <si>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</si>
  <si>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</si>
  <si>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</si>
  <si>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</si>
  <si>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</si>
  <si>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</si>
  <si>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</si>
  <si>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</si>
  <si>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</si>
  <si>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</si>
  <si>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</si>
  <si>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</si>
  <si>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</si>
  <si>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</si>
  <si>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</si>
  <si>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</si>
  <si>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</si>
  <si>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</si>
  <si>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Bronselaer, B; Zanna, L; Munday, DR; Lowe, J</t>
  </si>
  <si>
    <t/>
  </si>
  <si>
    <t>Bronselaer, Ben; Zanna, Laure; Munday, David R.; Lowe, Jason</t>
  </si>
  <si>
    <t>The influence of Southern Ocean winds on the North Atlantic carbon sink</t>
  </si>
  <si>
    <t>GLOBAL BIOGEOCHEMICAL CYCLES</t>
  </si>
  <si>
    <t>English</t>
  </si>
  <si>
    <t>Article</t>
  </si>
  <si>
    <t>ocean; carbon; Southern Ocean; climate; feedback</t>
  </si>
  <si>
    <t>EQUATORIAL UNDERCURRENT; OVERTURNING CIRCULATION; CO2 CONCENTRATIONS; ATMOSPHERIC CO2; PACIFIC; TRANSPORT; DRIVEN; MODEL; PUMP; STRATIFICATION</t>
  </si>
  <si>
    <t>Observed and predicted increases in Southern Ocean winds are thought to upwell deep ocean carbon and increase atmospheric CO2. However, Southern Ocean dynamics affect biogeochemistry and circulation pathways on a global scale. Using idealized Massachusetts Institute of Technology General Circulation Model (MITgcm) simulations, we demonstrate that an increase in Southern Ocean winds reduces the carbon sink in the North Atlantic subpolar gyre. The increase in atmospheric CO2 due to the reduction of the North Atlantic carbon sink is shown to be of the same magnitude as the increase in atmospheric CO2 due to Southern Ocean outgassing. The mechanism can be described as follows: The increase in Southern Ocean winds leads to an increase in upper ocean northward nutrient transport. Biological productivity is therefore enhanced in the tropics, which alters the chemistry of the subthermocline waters that are ultimately upwelled in the subpolar gyre. The results demonstrate the influence of Southern Ocean winds on the North Atlantic carbon sink and show that the effect of Southern Ocean winds on atmospheric CO2 is likely twice as large as previously thought in past, present, and future climates.</t>
  </si>
  <si>
    <t>[Bronselaer, Ben; Zanna, Laure; Munday, David R.] Univ Oxford, Dept Phys, Atmospher Ocean &amp; Planetary Phys, Oxford, England; [Munday, David R.] British Antarctic Survey, Cambridge, England; [Lowe, Jason] Met Off Hadley Ctr, Exeter, Devon, England</t>
  </si>
  <si>
    <t>University of Oxford; UK Research &amp; Innovation (UKRI); Natural Environment Research Council (NERC); NERC British Antarctic Survey; Met Office - UK; Hadley Centre</t>
  </si>
  <si>
    <t>Bronselaer, B (corresponding author), Univ Oxford, Dept Phys, Atmospher Ocean &amp; Planetary Phys, Oxford, England.</t>
  </si>
  <si>
    <t>benjamin.bronselaer@physics.ox.ac.uk</t>
  </si>
  <si>
    <t>Munday, David R/R-1986-2016; Lowe, Jason/GQI-4036-2022; Zanna, Laure/HPG-1772-2023; Munday, David/Y-7052-2019; Zanna, Laure/L-3169-2019</t>
  </si>
  <si>
    <t>Munday, David R/0000-0003-1920-708X; Zanna, Laure/0000-0002-8472-4828; Zanna, Laure/0000-0002-8472-4828</t>
  </si>
  <si>
    <t>NERC CASE studentship; Met Office; NERC; Natural Environment Research Council [bas0100033] Funding Source: researchfish; NERC [bas0100033] Funding Source: UKRI</t>
  </si>
  <si>
    <t>NERC CASE studentship(UK Research &amp; Innovation (UKRI)Natural Environment Research Council (NERC)); Met Office; NERC(UK Research &amp; Innovation (UKRI)Natural Environment Research Council (NERC)); Natural Environment Research Council(UK Research &amp; Innovation (UKRI)Natural Environment Research Council (NERC)); NERC(UK Research &amp; Innovation (UKRI)Natural Environment Research Council (NERC))</t>
  </si>
  <si>
    <t>B.B. was supported by a NERC CASE studentship with the Met Office. Further support from NERC was provided to L.Z. and D.R.M. This work made use of the facilities of HECToR and Archer. We acknowledge the MITgcm team for making their code publicly available. We would also like to thank the reviewers for their helpful suggestions and comments. Details and results from the numerical simulations are available from B.B.</t>
  </si>
  <si>
    <t>AMER GEOPHYSICAL UNION</t>
  </si>
  <si>
    <t>WASHINGTON</t>
  </si>
  <si>
    <t>2000 FLORIDA AVE NW, WASHINGTON, DC 20009 USA</t>
  </si>
  <si>
    <t>0886-6236</t>
  </si>
  <si>
    <t>1944-9224</t>
  </si>
  <si>
    <t>GLOBAL BIOGEOCHEM CY</t>
  </si>
  <si>
    <t>Glob. Biogeochem. Cycle</t>
  </si>
  <si>
    <t>JUN</t>
  </si>
  <si>
    <t>10.1002/2015GB005364</t>
  </si>
  <si>
    <t>Environmental Sciences; Geosciences, Multidisciplinary; Meteorology &amp; Atmospheric Sciences</t>
  </si>
  <si>
    <t>Science Citation Index Expanded (SCI-EXPANDED)</t>
  </si>
  <si>
    <t>Environmental Sciences &amp; Ecology; Geology; Meteorology &amp; Atmospheric Sciences</t>
  </si>
  <si>
    <t>DR5NK</t>
  </si>
  <si>
    <t>Green Published, Bronze, Green Accepted</t>
  </si>
  <si>
    <t>2024-04-21</t>
  </si>
  <si>
    <t>WOS:000379949500003</t>
  </si>
  <si>
    <t>Popova, E; Yool, A; Byfield, V; Cochrane, K; Coward, AC; Salim, SS; Gasalla, MA; Henson, SA; Hobday, AJ; Pecl, GT; Sauer, WH; Roberts, MJ</t>
  </si>
  <si>
    <t>Popova, Ekaterina; Yool, Andrew; Byfield, Valborg; Cochrane, Kevern; Coward, Andrew C.; Salim, Shyam S.; Gasalla, Maria A.; Henson, Stephanie A.; Hobday, Alistair J.; Pecl, Gretta T.; Sauer, Warwick H.; Roberts, Michael J.</t>
  </si>
  <si>
    <t>From global to regional and back again: common climate stressors of marine ecosystems relevant for adaptation across five ocean warming hotspots</t>
  </si>
  <si>
    <t>GLOBAL CHANGE BIOLOGY</t>
  </si>
  <si>
    <t>boundary currents; climate change; ecosystems; marine hotspots; modelling; ocean</t>
  </si>
  <si>
    <t>OXYGEN-MINIMUM ZONES; EARTH SYSTEM MODEL; CARBON-CYCLE; SCALE VARIATIONS; SOUTHERN-OCEAN; ACIDIFICATION; IMPACTS; CIRCULATION; TRENDS; DRIVEN</t>
  </si>
  <si>
    <t>Ocean warming 'hotspots' are regions characterized by above-average temperature increases over recent years, for which there are significant consequences for both living marine resources and the societies that depend on them. As such, they represent early warning systems for understanding the impacts of marine climate change, and test-beds for developing adaptation options for coping with those impacts. Here, we examine five hotspots off the coasts of eastern Australia, South Africa, Madagascar, India and Brazil. These particular hotspots have underpinned a large international partnership that is working towards improving community adaptation by characterizing, assessing and projecting the likely future of coastal-marine food resources through the provision and sharing of knowledge. To inform this effort, we employ a high-resolution global ocean model forced by Representative Concentration Pathway 8.5 and simulated to year 2099. In addition to the sea surface temperature, we analyse projected stratification, nutrient supply, primary production, anthropogenic CO2-driven ocean acidification, deoxygenation and ocean circulation. Our simulation finds that the temperature-defined hotspots studied here will continue to experience warming but, with the exception of eastern Australia, may not remain the fastest warming ocean areas over the next century as the strongest warming is projected to occur in the subpolar and polar areas of the Northern Hemisphere. Additionally, we find that recent rapid change in SST is not necessarily an indicator that these areas are also hotspots of the other climatic stressors examined. However, a consistent facet of the hotspots studied here is that they are all strongly influenced by ocean circulation, which has already shown changes in the recent past and is projected to undergo further strong change into the future. In addition to the fast warming, change in local ocean circulation represents a distinct feature of present and future climate change impacting marine ecosystems in these areas.</t>
  </si>
  <si>
    <t>[Popova, Ekaterina; Yool, Andrew; Byfield, Valborg; Coward, Andrew C.; Henson, Stephanie A.] Univ Southampton, Natl Oceanog Ctr, Waterfront Campus, Southampton SO14 3ZH, Hants, England; [Cochrane, Kevern; Sauer, Warwick H.; Roberts, Michael J.] Rhodes Univ, Drosty Rd, ZA-6139 Grahamstown, South Africa; [Salim, Shyam S.] Cent Marine Fisheries Res Inst, POB 1603,Ernakulam North PO, Kochi 682018, India; [Gasalla, Maria A.] Univ Sao Paulo, Fisheries Ecosyst Lab, Oceanog Inst, Cidade Univ, BR-05580120 Sao Paulo, SP, Brazil; [Hobday, Alistair J.] CSIRO, Oceans &amp; Atmosphere Flagship, Hobart, Tas 7000, Australia; [Pecl, Gretta T.] Univ Tasmania, Inst Marine &amp; Antarctic Studies, POB 49, Hobart, Tas 7001, Australia</t>
  </si>
  <si>
    <t>NERC National Oceanography Centre; University of Southampton; Rhodes University; Indian Council of Agricultural Research (ICAR); ICAR - Central Marine Fisheries Research Institute; Universidade de Sao Paulo; Commonwealth Scientific &amp; Industrial Research Organisation (CSIRO); University of Tasmania</t>
  </si>
  <si>
    <t>Popova, E (corresponding author), Univ Southampton, Natl Oceanog Ctr, Waterfront Campus, Southampton SO14 3ZH, Hants, England.</t>
  </si>
  <si>
    <t>e.popova@noc.ac.uk</t>
  </si>
  <si>
    <t>Popova, Ekaterina E/B-4520-2012; Sauer, Warwick/GJI-2267-2022; Gasalla, Maria A./JBJ-9606-2023; Hobday, Alistair/A-1460-2012; Yool, Andrew/B-4799-2012; Henson, Stephanie/AAC-9709-2019; Pecl, Gretta/D-7267-2011</t>
  </si>
  <si>
    <t>Popova, Ekaterina E/0000-0002-2012-708X; Sauer, Warwick/0000-0002-9756-1757; Gasalla, Maria A./0000-0003-1506-7040; Yool, Andrew/0000-0002-9879-2776; Pecl, Gretta/0000-0003-0192-4339; Sauer, William/0009-0006-8556-3612</t>
  </si>
  <si>
    <t>CSIRO; University of Tasmania Institute for Marine and Antarctic Studies (Australia); NSF (South Africa); FAPESP (Brazil); NSF (USA); NERC (UK) [NE/L008750/1]; MoES (India); ARC; NERC; Regional Ocean Modelling Project of the NERC UK Ocean Acidification Research Programme [NE/H017372/1]; NERC [NE/M00693X/1, NE/L008750/1, NE/M007634/1, NE/H017372/1, noc010010, noc010009] Funding Source: UKRI; Natural Environment Research Council [NE/M00693X/1, NE/M007634/1, NE/H017372/1, NE/L008750/1, noc010009, noc010010] Funding Source: researchfish; ICER; Directorate For Geosciences [1342479] Funding Source: National Science Foundation</t>
  </si>
  <si>
    <t>CSIRO(Commonwealth Scientific &amp; Industrial Research Organisation (CSIRO)); University of Tasmania Institute for Marine and Antarctic Studies (Australia); NSF (South Africa); FAPESP (Brazil)(Fundacao de Amparo a Pesquisa do Estado de Sao Paulo (FAPESP)); NSF (USA)(National Science Foundation (NSF)); NERC (UK)(UK Research &amp; Innovation (UKRI)Natural Environment Research Council (NERC)); MoES (India); ARC(Australian Research Council); NERC(UK Research &amp; Innovation (UKRI)Natural Environment Research Council (NERC)); Regional Ocean Modelling Project of the NERC UK Ocean Acidification Research Programme; NERC(UK Research &amp; Innovation (UKRI)Natural Environment Research Council (NERC)); Natural Environment Research Council(UK Research &amp; Innovation (UKRI)Natural Environment Research Council (NERC)); ICER; Directorate For Geosciences(National Science Foundation (NSF)NSF - Directorate for Geosciences (GEO))</t>
  </si>
  <si>
    <t>We recognize Belmont country partner funding provided by national and regional science agencies, including CSIRO and the University of Tasmania Institute for Marine and Antarctic Studies (Australia), NSF (South Africa), FAPESP (Brazil), NSF (USA), NERC (UK, NE/L008750/1) and MoES (India). GP was supported by an ARC Future Fellowship. The modelling work was primarily supported by NERC National Capability Funding and the Regional Ocean Modelling Project (NE/H017372/1), part of the NERC UK Ocean Acidification Research Programme. This work used the ARCHER UK National Supercomputing Service (http://www.archer.ac.uk).</t>
  </si>
  <si>
    <t>WILEY</t>
  </si>
  <si>
    <t>HOBOKEN</t>
  </si>
  <si>
    <t>111 RIVER ST, HOBOKEN 07030-5774, NJ USA</t>
  </si>
  <si>
    <t>1354-1013</t>
  </si>
  <si>
    <t>1365-2486</t>
  </si>
  <si>
    <t>GLOBAL CHANGE BIOL</t>
  </si>
  <si>
    <t>Glob. Change Biol.</t>
  </si>
  <si>
    <t>10.1111/gcb.13247</t>
  </si>
  <si>
    <t>Biodiversity Conservation; Ecology; Environmental Sciences</t>
  </si>
  <si>
    <t>Biodiversity &amp; Conservation; Environmental Sciences &amp; Ecology</t>
  </si>
  <si>
    <t>DP8BA</t>
  </si>
  <si>
    <t>Green Published, hybrid, Green Accepted</t>
  </si>
  <si>
    <t>WOS:000378721700005</t>
  </si>
  <si>
    <t>Harper, EM; Peck, LS</t>
  </si>
  <si>
    <t>Harper, Elizabeth M.; Peck, Lloyd S.</t>
  </si>
  <si>
    <t>Latitudinal and depth gradients in marine predation pressure</t>
  </si>
  <si>
    <t>GLOBAL ECOLOGY AND BIOGEOGRAPHY</t>
  </si>
  <si>
    <t>Durophagous predation; latitudinal gradient; rhynchonelliform brachiopods; shell damage; shell repair; tropical; polar</t>
  </si>
  <si>
    <t>REPAIRED SHELL DAMAGE; ARTICULATE BRACHIOPODS; CLIMATE-CHANGE; NEW-JERSEY; BASE-LINE; PATTERNS; GROWTH; GASTROPODS; TEMPERATE; DIVERSITY</t>
  </si>
  <si>
    <t>Aim There is a general paradigm that marine predation pressure increases towards the tropics and decreases with depth. However, data demonstrating global trends are generally lacking. Rhynchonelliform brachiopods inhabit all the oceans and often survive shell-crushing predator attacks. We investigate shell repair in brachiopods across a range of Southern Hemisphere and tropical Northern Hemisphere latitudes and depths. Location The Southern Hemisphere and tropical Northern Hemisphere. Methods We analysed the frequency of shell repair in 112 bulk samples, over 70% of which showed traces of shell damage and repair. Results The pattern of shell repair frequency (RF) was more complicated than the anticipated increase with decreasing latitude, with low levels at both polar and tropical sites but high levels at temperate latitudes. This pattern is only evident, however, in shallow water assemblages; and there is no latitudinal trend in water depths greater than 200 m, where shell RF is systematically low. There was a significant logarithmic relationship between RF and depth. Low polar repair rates reflect reduced predation pressure, directly supporting the global paradigm. Low rates in the tropics appears counter to the paradigm. However, tropical brachiopods are generally very small (micromorphic) in shallow water and below the minimum size at which damage is recorded anywhere. Main conclusions Predation pressure decreased logarithmically with depth. At shallow depths (&lt;200 m) RF showed its highest levels in the mid temperate latitudes with decreasing frequency towards both the tropics and the poles. Low levels of shell repair at high latitudes are likely to be due to a lack of crushing predators, but in the tropics it is suggested that the low frequency is a result of the small size of tropical brachiopods. We hypothesize that micromorphy in this region may be an outcome of high predation pressure.</t>
  </si>
  <si>
    <t>[Harper, Elizabeth M.] Dept Earth Sci, Cambridge CB2 3EQ, England; [Peck, Lloyd S.] British Antarctic Survey, Cambridge CB3 0ET, England</t>
  </si>
  <si>
    <t>UK Research &amp; Innovation (UKRI); Natural Environment Research Council (NERC); NERC British Antarctic Survey</t>
  </si>
  <si>
    <t>Harper, EM (corresponding author), Dept Earth Sci, Cambridge CB2 3EQ, England.</t>
  </si>
  <si>
    <t>emh21@cam.ac.uk</t>
  </si>
  <si>
    <t>Harper, Elizabeth M/B-3890-2008</t>
  </si>
  <si>
    <t>NERC; NERC [dml011000, bas0100036] Funding Source: UKRI; Natural Environment Research Council [dml011000, bas0100036] Funding Source: researchfish</t>
  </si>
  <si>
    <t>NERC(UK Research &amp; Innovation (UKRI)Natural Environment Research Council (NERC)); NERC(UK Research &amp; Innovation (UKRI)Natural Environment Research Council (NERC)); Natural Environment Research Council(UK Research &amp; Innovation (UKRI)Natural Environment Research Council (NERC))</t>
  </si>
  <si>
    <t>LSP is grateful for NERC funding and support. We are grateful to the Australian Museum (Sydney, Australia), the Smithsonian Institution National Museum of Natural History (Washington, USA) and the National Institute of Water and Atmospheric Research (Auckland, New Zealand) for access their collections. Drs Melody Clark and Kate Hendry helped collect data. Dudley Simons and Sharon Capon (University of Cambridge) and Peter Bucktrout (British Antarctic Survey) helped with the production of photographs and maps. We are grateful to our referees for their constructive input.</t>
  </si>
  <si>
    <t>1466-822X</t>
  </si>
  <si>
    <t>1466-8238</t>
  </si>
  <si>
    <t>GLOBAL ECOL BIOGEOGR</t>
  </si>
  <si>
    <t>Glob. Ecol. Biogeogr.</t>
  </si>
  <si>
    <t>10.1111/geb.12444</t>
  </si>
  <si>
    <t>Ecology; Geography, Physical</t>
  </si>
  <si>
    <t>Environmental Sciences &amp; Ecology; Physical Geography</t>
  </si>
  <si>
    <t>DW3BC</t>
  </si>
  <si>
    <t>hybrid, Green Published, Green Accepted</t>
  </si>
  <si>
    <t>WOS:000383516100004</t>
  </si>
  <si>
    <t>Ashton, GV; Davidson, IC; Geller, J; Ruiz, GM</t>
  </si>
  <si>
    <t>Ashton, G. V.; Davidson, I. C.; Geller, J.; Ruiz, G. M.</t>
  </si>
  <si>
    <t>Disentangling the biogeography of ship biofouling: barnacles in the Northeast Pacific</t>
  </si>
  <si>
    <t>Cirripedia; dispersal; introduction; mitochondrial DNA; non-native; phylogenetics; range expansion; ship biofouling</t>
  </si>
  <si>
    <t>MEGABALANUS-COCCOPOMA DARWIN; OXIDASE SUBUNIT-I; BALLAST WATER; CIRRIPEDIA BALANOMORPHA; SPECIES INTRODUCTIONS; VOLCANO BARNACLE; MARINE INVASIONS; RANGE EXTENSION; CLIMATE-CHANGE; VECTOR</t>
  </si>
  <si>
    <t>Aim The movement of biofouling organisms by ships results in the transfer of marine species across biogeographical boundaries on a global scale. We used barnacles, a relatively well-studied taxon, to investigate the extent to which modern commercial vessels disperse biofouling species beyond their current known ranges. Location Vessels predominantly operated in the North Pacific; sampling was conducted in Los Angeles (CA), Portland (OR), Ketchikan (AK) and Apra Harbor (GU). Methods Barnacles were collected from submerged surfaces of commercial vessel hulls and identified to the lowest taxonomic unit using a combination of taxonomic and molecular phylogenetic techniques. Their known native and non-native geographical ranges were assessed and compared with the voyage history of the vessels. Results Forty distinct taxonomic groups of barnacles (22 assigned to species) were detected from 15 vessels. Six of these recognized species have a worldwide distribution, due to natural and anthropogenic dispersal. Sixteen species were on vessels with voyage routes that extend beyond the barnacles' known distributions, including 12 species sampled outside of their known range. Main conclusions A diverse suite of barnacle species is in continuous motion globally on commercial vessel hulls, and the potential scale of this transfer is underscored by the documented species richness for ship biofouling and what is known about the global fleet of vessels. We estimate roughly 680,000 separate arrival events per year for barnacle species to US ports distributed on both Atlantic and Pacific coasts. Genetic methods revealed high richness compared with previous studies, and the real rate is likely to be much higher than this because (1) it is likely that not all species on a vessel were sampled and (2) only a subset of sampled barnacles were successfully sequenced. Our limited knowledge about the total species pool in flux on ship hulls around the globe constrains our ability to analyse and interpret processes affecting species distribution patterns in the Anthropocene.</t>
  </si>
  <si>
    <t>[Ashton, G. V.; Ruiz, G. M.] Smithsonian Environm Res Ctr, Marine Invas Res Lab, Tiburon, CA 94920 USA; [Davidson, I. C.; Ruiz, G. M.] Smithsonian Environm Res Ctr, Marine Invas Res Lab, POB 28, Edgewater, MD 21037 USA; [Geller, J.] Moss Landing Marine Labs, Invertebrate Zool, Moss Landing, CA 95309 USA; [Ashton, G. V.] British Antarctic Survey, Madingley Rd, Cambridge CB3 0ET, England</t>
  </si>
  <si>
    <t>Smithsonian Institution; Smithsonian Environmental Research Center; Smithsonian Institution; Smithsonian Environmental Research Center; Moss Landing Marine Laboratories; UK Research &amp; Innovation (UKRI); Natural Environment Research Council (NERC); NERC British Antarctic Survey</t>
  </si>
  <si>
    <t>Ashton, GV (corresponding author), Smithsonian Environm Res Ctr, Marine Invas Res Lab, Tiburon, CA 94920 USA.</t>
  </si>
  <si>
    <t>ashtong@si.edu</t>
  </si>
  <si>
    <t>Ashton, Gail/0000-0001-5884-3383; Ruiz, Gregory/0000-0003-2499-441X; Davidson, Ian/0000-0002-8729-6048; Field, Richard/0000-0003-2613-2688</t>
  </si>
  <si>
    <t>California State Lands Commission; Department of Defense; Smithsonian Institution</t>
  </si>
  <si>
    <t>California State Lands Commission; Department of Defense(United States Department of Defense); Smithsonian Institution(Smithsonian Institution)</t>
  </si>
  <si>
    <t>Assistance in the field and laboratory was provided by C. Scianni, C. Brown, L. Ceballos-Osuna, M. Torchin and C. Schloeder. H. Hawk and M. Marraffini completed the DNA extraction and PCR reactions. We are grateful to the four ports for access and logistical assistance; also to the commercial vessel operators, staff and agents for their cooperation, coordination and support. This research was funded by the California State Lands Commission, Department of Defense and Smithsonian Institution. The authors would also like to thank the editor and four referees for their valuable comments on the manuscript.</t>
  </si>
  <si>
    <t>10.1111/geb.12450</t>
  </si>
  <si>
    <t>WOS:000383516100010</t>
  </si>
  <si>
    <t>Balazy, P; Kuklinski, P; Wlodarska-Kowalczuk, M; Gluchowska, M; Barnes, DKA</t>
  </si>
  <si>
    <t>Balazy, Piotr; Kuklinski, Piotr; Wlodarska-Kowalczuk, Maria; Gluchowska, Marta; Barnes, David K. A.</t>
  </si>
  <si>
    <t>Factors affecting biodiversity on hermit crab shells</t>
  </si>
  <si>
    <t>HYDROBIOLOGIA</t>
  </si>
  <si>
    <t>Mobile hard substrate; Epifaunal assemblages; Hermit crabs; Biodiversity; Arctic; SCUBA</t>
  </si>
  <si>
    <t>SOFT-BOTTOM MACROFAUNA; SUB-ARCTIC FJORD; NORTHERN NORWAY; GASTROPOD SHELLS; BARENTS SEA; PAGURUS-BERNHARDUS; PHYSICAL PROCESSES; SPECIES-DIVERSITY; MARINE EPIBIOSIS; SPATIAL-PATTERNS</t>
  </si>
  <si>
    <t>This study explores the abundance, diversity and assemblage structure of epifauna on the shells used by two hermit crab species (Pagurus bernhardus and P. pubescens) in the Arctic (Svalbard and Northern Norway) and investigates the biotic and physical drivers of such patterns. Contrary to our expectations, we found that location (which reflects the variability in environmental conditions and the local species pool of potential colonizers) is a key determinant not only in the cold, ice-scoured, glacier-dominated Arctic shallows of Svalbard but also in boreal Norwegian fjords, where other factors were hypothesized to be more important. Depending on region, shell area and identity were of lesser magnitude, with larger and more irregular shells containing more diverse assemblages. Crab host species also played a role (P. pubescens-inhabited shells supported larger number of individuals and higher diversity than those of P. bernhardus) but this effect might be species or region specific. In this study, no effect of crab gender could be detected. The study indicated that epifaunal assemblages of hermit crab shells are influenced by complex set of factors that interact together to different degree at various locations.</t>
  </si>
  <si>
    <t>[Balazy, Piotr; Kuklinski, Piotr; Wlodarska-Kowalczuk, Maria; Gluchowska, Marta] Polish Acad Sci, Inst Oceanol, Marine Ecol Dept, Powstancow Warszawy 55, PL-81712 Sopot, Poland; [Kuklinski, Piotr] Nat Hist Museum, Dept Life Sci, Cromwell Rd, London SW7 5BD, England; [Barnes, David K. A.] British Antarctic Survey, Madingley Rd, Cambridge CB3 OET, England</t>
  </si>
  <si>
    <t>Polish Academy of Sciences; Institute of Oceanology of the Polish Academy of Sciences; Natural History Museum London; UK Research &amp; Innovation (UKRI); Natural Environment Research Council (NERC); NERC British Antarctic Survey</t>
  </si>
  <si>
    <t>Balazy, P (corresponding author), Polish Acad Sci, Inst Oceanol, Marine Ecol Dept, Powstancow Warszawy 55, PL-81712 Sopot, Poland.</t>
  </si>
  <si>
    <t>balazy@iopan.pl</t>
  </si>
  <si>
    <t>Balazy, Piotr/D-2949-2018</t>
  </si>
  <si>
    <t>Balazy, Piotr/0000-0002-1126-3151; Kuklinski, Piotr/0000-0002-1507-215X; Gluchowska, Marta/0000-0002-3032-4925</t>
  </si>
  <si>
    <t>National Science Centre [DEC-2011/01/N/NZ8/04493]; Polish Ministry of Science and Higher Education [2022/LTSMP/2011/0]; Natural Environment Research Council [bas0100036] Funding Source: researchfish; NERC [bas0100036] Funding Source: UKRI</t>
  </si>
  <si>
    <t>National Science Centre(National Science Centre, Poland); Polish Ministry of Science and Higher Education(Ministry of Science and Higher Education, Poland); Natural Environment Research Council(UK Research &amp; Innovation (UKRI)Natural Environment Research Council (NERC)); NERC(UK Research &amp; Innovation (UKRI)Natural Environment Research Council (NERC))</t>
  </si>
  <si>
    <t>The authors wish to thank Jakub Beszczynski for his underwater assistance and two anonymous reviewers for their effort in improving the paper. The project was funded by the National Science Centre on the basis of decision DEC-2011/01/N/NZ8/04493 (PB). PK would like to thank the Polish Ministry of Science and Higher Education for the funds which enabled completion of the study (2022/LTSMP/2011/0).</t>
  </si>
  <si>
    <t>SPRINGER</t>
  </si>
  <si>
    <t>DORDRECHT</t>
  </si>
  <si>
    <t>VAN GODEWIJCKSTRAAT 30, 3311 GZ DORDRECHT, NETHERLANDS</t>
  </si>
  <si>
    <t>0018-8158</t>
  </si>
  <si>
    <t>1573-5117</t>
  </si>
  <si>
    <t>Hydrobiologia</t>
  </si>
  <si>
    <t>10.1007/s10750-016-2704-z</t>
  </si>
  <si>
    <t>Marine &amp; Freshwater Biology</t>
  </si>
  <si>
    <t>DK5SD</t>
  </si>
  <si>
    <t>Green Accepted, hybrid</t>
  </si>
  <si>
    <t>WOS:000374979600017</t>
  </si>
  <si>
    <t>Tsujimoto, M; Komori, O; Imura, S</t>
  </si>
  <si>
    <t>Tsujimoto, Megumu; Komori, Osamu; Imura, Satoshi</t>
  </si>
  <si>
    <t>Effect of lifespan and age on reproductive performance of the tardigrade Acutuncus antarcticus: minimal reproductive senescence</t>
  </si>
  <si>
    <t>Ageing; Fertility; Tardigrada; Antarctica</t>
  </si>
  <si>
    <t>POPULATION-DYNAMICS; HISTORY TRAITS; C-ELEGANS; LONG-TERM; RICHTERSI; FECUNDITY; SURVIVAL; EUTARDIGRADA; ENVIRONMENT; DROSOPHILA</t>
  </si>
  <si>
    <t>Reproductive output is one of the central attributes of life history, and knowledge of age-specific reproduction can enhance the understanding of population performance and dynamics. Tardigrades are microscopic invertebrates that live in marine, freshwater and terrestrial ecosystems. While changes in fertility in relation to age are known to occur in other invertebrate groups, the subject has not been specifically addressed in tardigrades. The current study demonstrates for the first time the effect of lifespan and age on reproductive characteristics of the tardigrade species, Acutuncus antarcticus (Richters 1904), based on the observation of individuals over their entire lifespan under constant environment conditions in the laboratory. Clutch size of A. antarcticus fluctuated conspicuously throughout individual lifespans. Weak effects of age were observed on oviposition interval and hatching success, with the former increasing slightly and the latter decreasing slightly with age. Numbers of oviposition events and eggs produced per individual varied greatly and were correlated with lifespan. No significant relationships between clutch size, hatching time or hatching success with lifespan were detected. The majority of the individuals continued oviposition until shortly before death, with no suggestion of a post-reproductive lifespan. Our observations suggest that any decline in fertility with age in this species of tardigrade is minimal. The study provides new insight into the reproductive biology and ageing of invertebrate species.</t>
  </si>
  <si>
    <t>[Tsujimoto, Megumu; Imura, Satoshi] Natl Inst Polar Res, 10-3,Midori Cho, Tachikawa, Tokyo 1908518, Japan; [Komori, Osamu] Inst Stat Math, 10-3,Midori Cho, Tachikawa, Tokyo 1908518, Japan; [Imura, Satoshi] Grad Univ Adv Studies, SOKENDAI, 10-3,Midori Cho, Tachikawa, Tokyo 1908518, Japan</t>
  </si>
  <si>
    <t>Research Organization of Information &amp; Systems (ROIS); National Institute of Polar Research (NIPR) - Japan; Research Organization of Information &amp; Systems (ROIS); Institute of Statistical Mathematics (ISM) - Japan; Graduate University for Advanced Studies - Japan</t>
  </si>
  <si>
    <t>Tsujimoto, M (corresponding author), Natl Inst Polar Res, 10-3,Midori Cho, Tachikawa, Tokyo 1908518, Japan.</t>
  </si>
  <si>
    <t>tsujimoto@nipr.ac.jp</t>
  </si>
  <si>
    <t>Tsujimoto, Megumu/JCE-5500-2023</t>
  </si>
  <si>
    <t>Tsujimoto, Megumu/0000-0001-5160-6086</t>
  </si>
  <si>
    <t>Japan Society for the Promotion of Science [23247012, 26650168]; Grants-in-Aid for Scientific Research [26650168] Funding Source: KAKEN</t>
  </si>
  <si>
    <t>Japan Society for the Promotion of Science(Ministry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</si>
  <si>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We thank Akinori Takahashi for useful discussions and suggestions in statistical analysis. Peter Convey, Sandra J. McInnes, Atsushi C. Suzuki and two anonymous reviewers offered constructive comments and advice. This study was supported by Grant-in-Aid for Scientific Research No. 23247012 to S.I. and No. 26650168 to M.T. from the Japan Society for the Promotion of Science. This paper also contributes to the Scientific Committee on Antarctic Research AntEco research programme.</t>
  </si>
  <si>
    <t>10.1007/s10750-016-2643-8</t>
  </si>
  <si>
    <t>DK1QR</t>
  </si>
  <si>
    <t>hybrid</t>
  </si>
  <si>
    <t>WOS:000374689000007</t>
  </si>
  <si>
    <t>Langevin, Y; Hilchenbach, M; Ligier, N; Merouane, S; Hornung, K; Engrand, C; Schulz, R; Kissel, J; Rynö, J; Eng, P</t>
  </si>
  <si>
    <t>Langevin, Y.; Hilchenbach, M.; Ligier, N.; Merouane, S.; Hornung, K.; Engrand, C.; Schulz, R.; Kissel, J.; Ryno, J.; Eng, P.</t>
  </si>
  <si>
    <t>COSIMA Team</t>
  </si>
  <si>
    <t>Typology of dust particles collected by the COSIMA mass spectrometer in the inner coma of 67P/Churyumov Gerasimenko</t>
  </si>
  <si>
    <t>ICARUS</t>
  </si>
  <si>
    <t>Comets; Dust; Solar system formation</t>
  </si>
  <si>
    <t>SOLAR-SYSTEM; ROSETTA MISSION; MICROMETEORITES</t>
  </si>
  <si>
    <t>The COSIMA mass spectrometer on board the ROSETTA orbiter has collected dust in the near coma of comet 67P/Churyumov-Gerasimenko since August 11, 2014. The collected dust particles are identified by taking images with a microscope (COSISCOPE) under grazing incidence illumination before and after exposure of the target to cometary dust. More than 10,000 dust particles &gt;14 mu m in size collected from August 11, 2014 to April 3, 2015 have been detected on three distinct target assemblies, including 500 dust particles with sizes ranging from 50 to more than 500 mu m, that can be resolved by COSISCOPE (pixel size 14 mu m). During this period, the heliocentric distance decreased from 3.5 AU to less than 2 AU. The collection efficiency on targets covered with metal black has been very high, due to the low relative velocity of incoming dust. Therefore, the COSISCOPE observations provide the first optical characterization of an unbiased sample of particles collected in the inner coma of a comet. The typology of particles &gt;100 mu m in size is dominated by clusters with a wide range of structure and strength, most originating from the disruption of large aggregates (&gt;1 mm in size) shortly before collection. A generic relationship between these clusters and IDPs/Antarctic meteorites is likely in the framework of accretion models. About 15% of particles larger than 100 mu m are compact particles with two likely contributions, one being linked to clusters and another leaving the cometary nucleus as single compact particles. (C) 2016 Elsevier Inc. All rights reserved.</t>
  </si>
  <si>
    <t>[Langevin, Y.; Ligier, N.; Eng, P.] Univ Paris 11, CNRS, Inst Astrophys Spatiale, F-91405 Orsay, France; [Hilchenbach, M.; Merouane, S.; Kissel, J.] Max Planck Inst Sonnensyst Forsch, Gottingen, Germany; [Hornung, K.] Univ Bundeswehr, Neubiberg, Germany; [Engrand, C.] Univ Paris 11, CNRS, CSNSM, F-91405 Orsay, France; [Schulz, R.] European Space Agcy, Sci Support Off, NL-2200 AG Noordwijk, Netherlands; [Ryno, J.] Finnish Meteorol Inst, FIN-00101 Helsinki, Finland</t>
  </si>
  <si>
    <t>Universite Paris Saclay; Centre National de la Recherche Scientifique (CNRS); Sorbonne Universite; Bundeswehr University Munich; Centre National de la Recherche Scientifique (CNRS); Universite Paris Saclay; Finnish Meteorological Institute</t>
  </si>
  <si>
    <t>Langevin, Y (corresponding author), Univ Paris 11, CNRS, Inst Astrophys Spatiale, F-91405 Orsay, France.</t>
  </si>
  <si>
    <t>yves.langevin@ias.u-psud.fr</t>
  </si>
  <si>
    <t>Eng, Peter/0000-0002-8072-3203; Merouane, Sihane/0000-0002-7746-2380</t>
  </si>
  <si>
    <t>national funding agency of Germany (DLR) [50 QP 1302]; national funding agency of France (CNES); national funding agency of Austria; national funding agency of Finland; national funding agency of ESA Technical Directorate</t>
  </si>
  <si>
    <t>national funding agency of Germany (DLR); national funding agency of France (CNES); national funding agency of Austria; national funding agency of Finland; national funding agency of ESA Technical Directorate</t>
  </si>
  <si>
    <t>COSIMA was built by a consortium led by the Max-Planck-Institut filr Extraterrestrische Physik, Garching, Germany in collaboration with Laboratoire de Physique et Chimie de l'Environnement et de l'Espace, Orleans, France, Institut d'Astrophysique Spatiale, CNRS/Universite Paris Sud, Orsay, France, Finnish Meteorological Institute, Helsinki, Finland, Universitat Wuppertal, Wuppertal, Germany, von Hoerner and Sulger GmbH, Schwetzingen, Germany, Universitat der Bundeswehr, Neubiberg, Germany, Institut fur Physik, Forschungszentrum Seibersdorf, Seibersdorf, Austria, Institut fill. Weltraumforschung, Osterreichische Akademie der Wissenschaften, Graz, Austria and is led by the Max-Planck-Institut fill. Sonnensystemforschung, Gottingen, Germany with the support of the national funding agencies of Germany (DLR, grant 50 QP 1302), France (CNES), Austria, Finland and the ESA Technical Directorate. We thank the Rosetta project at ESTEC, the Rosetta Mission Operations Centre at ESOC and the Rosetta Science Ground Segment at ESAC for their outstanding work enabling the science return of the Rosetta Mission.</t>
  </si>
  <si>
    <t>ACADEMIC PRESS INC ELSEVIER SCIENCE</t>
  </si>
  <si>
    <t>SAN DIEGO</t>
  </si>
  <si>
    <t>525 B ST, STE 1900, SAN DIEGO, CA 92101-4495 USA</t>
  </si>
  <si>
    <t>0019-1035</t>
  </si>
  <si>
    <t>1090-2643</t>
  </si>
  <si>
    <t>Icarus</t>
  </si>
  <si>
    <t>JUN 1</t>
  </si>
  <si>
    <t>10.1016/j.icarus.2016.01.027</t>
  </si>
  <si>
    <t>Astronomy &amp; Astrophysics</t>
  </si>
  <si>
    <t>DI7AP</t>
  </si>
  <si>
    <t>WOS:000373651800007</t>
  </si>
  <si>
    <t>Sadatzki, H; Sarnthein, M; Andersen, N</t>
  </si>
  <si>
    <t>Sadatzki, Henrik; Sarnthein, Michael; Andersen, Nils</t>
  </si>
  <si>
    <t>Changes in monsoon-driven upwelling in the South China Sea over glacial Terminations I and II: a multi-proxy record</t>
  </si>
  <si>
    <t>INTERNATIONAL JOURNAL OF EARTH SCIENCES</t>
  </si>
  <si>
    <t>Coastal upwelling; East Asian Monsoon; South China Sea; Glacial Terminations I and II; Stable isotopes/planktic delta C-13; Palaeoproductivity</t>
  </si>
  <si>
    <t>EAST-ASIAN MONSOON; HIGH-RESOLUTION; GLOBIGERINOIDES-RUBER; PLANKTONIC-FORAMINIFERA; ANTARCTIC TEMPERATURE; ISOTOPIC COMPOSITION; MILLENNIAL-SCALE; LATE PLEISTOCENE; ATMOSPHERIC CO2; COOLING EVENT</t>
  </si>
  <si>
    <t>Upwelling intensity in the South China Sea has changed over glacial-interglacial cycles in response to orbital-scale changes in the East Asian Monsoon. Here, we evaluate new multi-proxy records of two sediment cores from the north-eastern South China Sea to uncover millennial-scale changes in winter monsoon-driven upwelling over glacial Terminations I and II. On the basis of U/Th-based speleothem chronology, we compare these changes with sediment records of summer monsoon-driven upwelling east of South Vietnam. Ocean upwelling is traced by reduced (UK'37-based) temperature and increased nutrient and productivity estimates of sea surface waters (delta C-13 on planktic foraminifera, accumulation rates of alkenones, chlorins, and total organic carbon). Accordingly, strong winter upwelling occurred north-west of Luzon (Philippines) during late Marine Isotope Stage 6.2, Heinrich (HS) and Greenland stadials (GS) HS-11, GS-26, GS-25, HS-1, and the Younger Dryas. During these stadials, summer upwelling decreased off South Vietnam and sea surface salinity reached a maximum suggesting a drop in monsoon rains, concurrent with speleothem records of aridity in China. In harmony with a stadial-to-interstadial see-saw pattern, winter upwelling off Luzon in turn was weak during interstadials, in particular those of glacial Terminations I and II, when summer upwelling culminated east of South Vietnam. Most likely, this upwelling terminated widespread deep-water stratification, coeval with the deglacial rise in atmospheric CO2. Yet, a synchronous maximum in precipitation fostered estuarine overturning circulation in the South China Sea, in particular as long as the Borneo Strait was closed when sea level dropped below -40 m.</t>
  </si>
  <si>
    <t>[Sadatzki, Henrik; Sarnthein, Michael] Univ Kiel, Inst Geosci, Olshaussenstr 40, D-24098 Kiel, Germany; [Sarnthein, Michael] Univ Innsbruck, Inst Geol &amp; Paleontol, A-6020 Innsbruck, Austria; [Andersen, Nils] Univ Kiel, Leibniz Lab Radiometr Dating &amp; Isotope Res, Olshaussenstr 40, D-24098 Kiel, Germany; [Sadatzki, Henrik] Univ Bergen, Dept Earth Sci, N-5007 Bergen, Norway</t>
  </si>
  <si>
    <t>University of Kiel; University of Innsbruck; University of Kiel; University of Bergen</t>
  </si>
  <si>
    <t>Sadatzki, H (corresponding author), Univ Kiel, Inst Geosci, Olshaussenstr 40, D-24098 Kiel, Germany.;Sadatzki, H (corresponding author), Univ Bergen, Dept Earth Sci, N-5007 Bergen, Norway.</t>
  </si>
  <si>
    <t>Henrik.Sadatzki@uib.no</t>
  </si>
  <si>
    <t>NEW YORK</t>
  </si>
  <si>
    <t>233 SPRING ST, NEW YORK, NY 10013 USA</t>
  </si>
  <si>
    <t>1437-3254</t>
  </si>
  <si>
    <t>1437-3262</t>
  </si>
  <si>
    <t>INT J EARTH SCI</t>
  </si>
  <si>
    <t>Int. J. Earth Sci.</t>
  </si>
  <si>
    <t>10.1007/s00531-015-1227-6</t>
  </si>
  <si>
    <t>Geosciences, Multidisciplinary</t>
  </si>
  <si>
    <t>Geology</t>
  </si>
  <si>
    <t>DM3QE</t>
  </si>
  <si>
    <t>WOS:000376260300011</t>
  </si>
  <si>
    <t>Helmstedt, KJ; Shaw, JD; Bode, M; Terauds, A; Springer, K; Robinson, SA; Possingham, HP</t>
  </si>
  <si>
    <t>Helmstedt, Kate J.; Shaw, Justine D.; Bode, Michael; Terauds, Aleks; Springer, Keith; Robinson, Susan A.; Possingham, Hugh P.</t>
  </si>
  <si>
    <t>Prioritizing eradication actions on islands: it's not all or nothing</t>
  </si>
  <si>
    <t>JOURNAL OF APPLIED ECOLOGY</t>
  </si>
  <si>
    <t>decision theory; eradication; feral cats; integer programming; invasive species; island conservation; optimization; resource allocation; threatened species; trophic cascade</t>
  </si>
  <si>
    <t>EXPERT KNOWLEDGE; FERAL CAT; CONSERVATION; IMPACTS; COST; UK</t>
  </si>
  <si>
    <t>1. Many highly diverse island ecosystems across the globe are threatened by invasive species. Eradications of invasive mammals from islands are being attempted with increasing frequency, with success aided by geographical isolation and increasing knowledge of eradication techniques. There have been many attempts to prioritize islands for invasive species eradication; however, these coarse methods all assume managers are unrealistically limited to a single action on each island: either eradicate all invasive mammals, or do nothing. 2. We define a prioritization method that broadens the suite of actions considered, more accurately representing the complex decisions facing managers. We allow the opportunity to only eradicate a subset of invasive mammals from each island, intentionally leaving some invasive mammals on islands. We consider elements often omitted in previous prioritization methods, including feasibility, cost and complex ecological responses (i.e. trophic cascades). 3. Using a case study of Australian islands, we show that for a fixed budget, this method can provide a higher conservation benefit across the whole group of islands. Our prioritization method outperforms simpler methods for almost 80% of the budgets considered. 4. On average, by relaxing the restrictive assumption that an eradication attempt must be made for all invasives on an island, ecological benefit can be improved by 27%. 5. Synthesis and applications. Substantially higher ecological benefits for threatened species can be achieved for no extra cost if conservation planners relax the assumption that eradication projects must target all invasives on an island. It is more efficient to prioritize portfolios of eradication actions rather than islands.</t>
  </si>
  <si>
    <t>[Helmstedt, Kate J.] Univ Queensland, Sch Math &amp; Phys, St Lucia, Qld 4072, Australia; [Helmstedt, Kate J.; Shaw, Justine D.; Possingham, Hugh P.] Univ Queensland, Sch Biol Sci, ARC Ctr Excellence Environm Decis, St Lucia, Qld 4072, Australia; [Shaw, Justine D.; Terauds, Aleks] Dept Environm, Antarctic Conservat &amp; Management, Australian Antarctic Div, Kingston, Tas 7050, Australia; [Bode, Michael] Univ Melbourne, Sch Bot, Parkville, Vic 3010, Australia; [Bode, Michael] James Cook Univ, ARC Ctr Excellence Coral Reef Studies, Townsville, Qld 4812, Australia; [Springer, Keith] Tasmania Pk &amp; Wildlife Serv, POB 126, Moonah, Tas 7009, Australia; [Robinson, Susan A.] Biosecur Tasmania, Invas Species Branch, Dept Primary Ind Pk Water &amp; Environm, Newtown, Tas 7008, Australia; [Possingham, Hugh P.] Imperial Coll London, Dept Life Sci, Silwood Pk, Ascot SL5 7PY, Berks, England</t>
  </si>
  <si>
    <t>University of Queensland; University of Queensland; ARC Centre of Excellence for Environmental Decisions; Australian Antarctic Division; University of Melbourne; James Cook University; Imperial College London</t>
  </si>
  <si>
    <t>Helmstedt, KJ (corresponding author), Univ Queensland, Sch Math &amp; Phys, St Lucia, Qld 4072, Australia.;Helmstedt, KJ (corresponding author), Univ Queensland, Sch Biol Sci, ARC Ctr Excellence Environm Decis, St Lucia, Qld 4072, Australia.</t>
  </si>
  <si>
    <t>katehelmstedt@berkeley.edu</t>
  </si>
  <si>
    <t>POSSINGHAM, HUGH/R-8310-2019; Helmstedt, Kate/P-7288-2019; Bode, Michael/P-1333-2019; Terauds, Aleks/A-4991-2010; Possingham, Hugh/B-1337-2008</t>
  </si>
  <si>
    <t>POSSINGHAM, HUGH/0000-0001-7755-996X; Bode, Michael/0000-0002-5886-4421; Possingham, Hugh/0000-0001-7755-996X; Terauds, Aleks/0000-0001-7804-6648; Helmstedt, Kate/0000-0003-0201-5348; Shaw, Justine/0000-0002-9603-2271</t>
  </si>
  <si>
    <t>0021-8901</t>
  </si>
  <si>
    <t>1365-2664</t>
  </si>
  <si>
    <t>J APPL ECOL</t>
  </si>
  <si>
    <t>J. Appl. Ecol.</t>
  </si>
  <si>
    <t>10.1111/1365-2664.12599</t>
  </si>
  <si>
    <t>Biodiversity Conservation; Ecology</t>
  </si>
  <si>
    <t>DR7FM</t>
  </si>
  <si>
    <t>Green Published, Bronze</t>
  </si>
  <si>
    <t>WOS:000380065400013</t>
  </si>
  <si>
    <t>Hadley, S; Wild-Allen, K; Johnson, C; Macleod, C</t>
  </si>
  <si>
    <t>Hadley, Scott; Wild-Allen, Karen; Johnson, Craig; Macleod, Catriona</t>
  </si>
  <si>
    <t>Quantification of the impacts of finfish aquaculture and bioremediation capacity of integrated multi-trophic aquaculture using a 3D estuary model</t>
  </si>
  <si>
    <t>JOURNAL OF APPLIED PHYCOLOGY</t>
  </si>
  <si>
    <t>Macrocystis; Bioremediation; Finfish aquaculture; IMTA; Biogeochemical model</t>
  </si>
  <si>
    <t>PHYTOPLANKTON BLOOMS; HUON ESTUARY; BAY; EUTROPHICATION; NUTRIENTS; CHILE; PRODUCTIVITY; MACROCYSTIS; GRACILARIA; DISCHARGE</t>
  </si>
  <si>
    <t>Reduced water quality is a potential outcome from intensive finfish aquaculture. Integrated multi-trophic aquaculture (IMTA) can mitigate the negative effects of dissolved nutrients emanating from fish farms by harvesting species that extract nutrients grown at adjacent sites. In this study, a coupled 3D hydrodynamic, sediment, and biogeochemical model was used to simulate an idealized temperate test estuary. A macroalgal-based IMTA model was applied within the estuarine model, to examine the spatial pattern of phytoplankton production arising from increasing levels of finfish aquaculture and the capacity of Macrocystis pyrifera to bioremediate the impacts of nutrification. Through increasing fish farm waste loads of dissolved inorganic nitrogen (DIN), the water quality in the estuarine model was forced into a poor water quality classification as determined by annual mean concentration of chlorophyll. Primary production was greatest in the northern section of the estuary due to circular water motion set up by a region of freshwater influence (ROFI). A nonlinear increase in annual phytoplankton biomass was simulated (under elevated finfish loads) due to the occurrence of an additional autumn phytoplankton bloom under elevated fish farm nutrient loads. IMTA scenario results demonstrated a strong spatial variability in the capacity of M. pyrifera-based IMTA to reduce water column chlorophyll concentration. Siting macroalgae farms next to those finfish farms situated in areas of high natural phytoplankton production resulted in a good water quality classification for the whole system. This demonstration of the use of IMTA to improve system wide water quality is valuable for regional planners and managers as it provides an analysis and quantification of a method to achieve estuarine health and economic benefit.</t>
  </si>
  <si>
    <t>[Hadley, Scott; Johnson, Craig; Macleod, Catriona] Univ Tasmania, Inst Marine &amp; Antarctic Studies, Private Bag 129, Hobart, Tas 7001, Australia; [Wild-Allen, Karen] CSIRO Marine &amp; Atmospher Res, GPO Box1538, Hobart, Tas 7001, Australia</t>
  </si>
  <si>
    <t>University of Tasmania; Commonwealth Scientific &amp; Industrial Research Organisation (CSIRO)</t>
  </si>
  <si>
    <t>Hadley, S (corresponding author), Univ Tasmania, Inst Marine &amp; Antarctic Studies, Private Bag 129, Hobart, Tas 7001, Australia.</t>
  </si>
  <si>
    <t>s_hadley@utas.edu.au</t>
  </si>
  <si>
    <t>Wild-Allen, Karen/D-9263-2018; Macleod, Catriona/J-7176-2014; Johnson, Craig/E-1788-2013</t>
  </si>
  <si>
    <t>Macleod, Catriona/0000-0002-0539-6361; Johnson, Craig/0000-0002-9511-905X</t>
  </si>
  <si>
    <t>Fisheries Research and Development Corporation (FRDC)</t>
  </si>
  <si>
    <t>Fisheries Research and Development Corporation (FRDC)(Fisheries R&amp;D Corp)</t>
  </si>
  <si>
    <t>This work received funds from the Fisheries Research and Development Corporation (FRDC).</t>
  </si>
  <si>
    <t>0921-8971</t>
  </si>
  <si>
    <t>1573-5176</t>
  </si>
  <si>
    <t>J APPL PHYCOL</t>
  </si>
  <si>
    <t>J. Appl. Phycol.</t>
  </si>
  <si>
    <t>10.1007/s10811-015-0714-2</t>
  </si>
  <si>
    <t>Biotechnology &amp; Applied Microbiology; Marine &amp; Freshwater Biology</t>
  </si>
  <si>
    <t>DL0IF</t>
  </si>
  <si>
    <t>WOS:000375315100041</t>
  </si>
  <si>
    <t>Griffiths, HJ; Waller, CL</t>
  </si>
  <si>
    <t>Griffiths, Huw James; Waller, Catherine Louise</t>
  </si>
  <si>
    <t>The first comprehensive description of the biodiversity and biogeography of Antarctic and Sub-Antarctic intertidal communities</t>
  </si>
  <si>
    <t>JOURNAL OF BIOGEOGRAPHY</t>
  </si>
  <si>
    <t>climate change; island biogeography; macroalgae; mollusc; rafting; richness; Southern Ocean</t>
  </si>
  <si>
    <t>SOUTHERN-OCEAN ISLANDS; ICE; TEMPERATE; PENINSULA; COLONIZATION; VARIABILITY; DISPERSAL; TRANSPORT; RESPONSES; BIVALVE</t>
  </si>
  <si>
    <t>Aim To describe the distribution of biodiversity and biogeographical patterns of intertidal organisms in southern temperate and polar waters. We hypothesized that there would be differences in community structure between the Antarctic, which is most affected by ice, and the sub-Antarctic and other neighbouring regions. We also hypothesized that rafting and West Wind Drift will be the significant drivers of biogeographical patterns. Additionally, the size, age, isolation, volcanic or glacial history of a region and the presence of large, beach dwelling, mammals and birds would all play a role in determining the level of biodiversity observed. Location South Atlantic, Indian and Pacific Oceans and the Southern Ocean. Methods We examined all available intertidal records from the Antarctic and sub-Antarctic with additional data from neighbouring regions for comparison and context. We compiled 3902 occurrences of 1416 species of high southern latitude intertidal organisms from 229 locations and used PRIMER 6 to perform multivariate statistical analyses. Results The Antarctic and sub-Antarctic are shown to be distinct biogeographical regions, with patterns driven by a small number of widely distributed species. These wide-ranging molluscs and macroalgae dominate the biogeographical structure of the Southern Ocean intertidal, most likely as a result of rafting in the Antarctic Circumpolar Current. East Antarctic intertidal habitats are potentially isolated by the Ross and Weddell Sea ice shelves but represent a great unknown in this biogeographical scheme. Main Conclusions The view that the Antarctic intertidal is a lifeless desert does not hold true, with Antarctic Peninsula intertidal communities being richer and more diverse than those in southern South America and the sub-Antarctic islands. Changing conditions in the Antarctic and sub-Antarctic intertidal mean that a representative baseline is needed (acquired through standardized and quantitative sampling) to assess future changes and to detect any invasive species.</t>
  </si>
  <si>
    <t>[Griffiths, Huw James] British Antarctic Survey, Madingley Rd, Cambridge CB3 0ET, England; [Waller, Catherine Louise] Univ Hull, Ctr Environm &amp; Marine Sci, Scarborough YO11 3AZ, N Yorkshire, England</t>
  </si>
  <si>
    <t>UK Research &amp; Innovation (UKRI); Natural Environment Research Council (NERC); NERC British Antarctic Survey; University of Hull</t>
  </si>
  <si>
    <t>Griffiths, HJ (corresponding author), British Antarctic Survey, Madingley Rd, Cambridge CB3 0ET, England.</t>
  </si>
  <si>
    <t>hjg@bas.ac.uk</t>
  </si>
  <si>
    <t>Griffiths, Huw J/D-4234-2009</t>
  </si>
  <si>
    <t>Griffiths, Huw J/0000-0003-1764-223X; Waller, Catherine L/0000-0002-0836-3223</t>
  </si>
  <si>
    <t>Natural Environment Research Council [bas0100036] Funding Source: researchfish; NERC [bas0100036] Funding Source: UKRI</t>
  </si>
  <si>
    <t>Natural Environment Research Council(UK Research &amp; Innovation (UKRI)Natural Environment Research Council (NERC)); NERC(UK Research &amp; Innovation (UKRI)Natural Environment Research Council (NERC))</t>
  </si>
  <si>
    <t>0305-0270</t>
  </si>
  <si>
    <t>1365-2699</t>
  </si>
  <si>
    <t>J BIOGEOGR</t>
  </si>
  <si>
    <t>J. Biogeogr.</t>
  </si>
  <si>
    <t>10.1111/jbi.12708</t>
  </si>
  <si>
    <t>DP7WX</t>
  </si>
  <si>
    <t>WOS:000378711000007</t>
  </si>
  <si>
    <t>Dotto, TS; Kerr, R; Mata, MM; Garcia, CAE</t>
  </si>
  <si>
    <t>Dotto, Tiago S.; Kerr, Rodrigo; Mata, Mauricio M.; Garcia, Carlos A. E.</t>
  </si>
  <si>
    <t>Multidecadal freshening and lightening in the deep waters of the Bransfield Strait, Antarctica</t>
  </si>
  <si>
    <t>JOURNAL OF GEOPHYSICAL RESEARCH-OCEANS</t>
  </si>
  <si>
    <t>BOTTOM-WATER; WEDDELL SEA; ICE-SHELF; TEMPORAL VARIABILITY; CONTINENTAL-SHELF; PENINSULA; TRENDS; OCEAN; CIRCULATION; PATHWAYS</t>
  </si>
  <si>
    <t>The deep waters of the Bransfield Strait receive considerable amounts of water from the Weddell Sea continental shelf. The restricted connections to the surrounding ocean and relatively easier access makes the Bransfield Strait an important proxy region for monitoring changes in the dense Weddell Sea shelf water masses, which are an important precursor of Antarctic Bottom Water (AABW). Long-term hydrographic data from the period 1960s-2010s showed freshening and lightening of the deep water masses of the Bransfield Strait, which was likely caused by large freshwater inputs originating from the western shelf of the Weddell Sea. The rates of freshening and lightening were -0.0010 +/- 0.0005 yr(-1) and -0.0016 +/- 0.0014 kg m(-3) yr(-1) for the central basin, respectively, and -0.0010 +/- 0.0006 yr(-1) and -0.0029 +/- 0.0013 kg m(-3) yr(-1) for the eastern basin, respectively. The deep waters showed a high degree of interannual thermohaline variability, which appeared to be caused by changes in the proportions of source water mass mixing between the years. Statistically significant negative correlations between salinity/neutral density fields and the Southern Annular Mode (SAM) were observed (-0.56 and -0.62 for the central basin, respectively, and -0.58 and -0.68 for the eastern basin, respectively) between 1980 and 2014. During SAM positive phases, communication between the Weddell Sea and the Bransfield Strait is reduced, which leads to less saline and lighter water masses in the Bransfield Strait; however, the opposite trends are observed during SAM negative phases.</t>
  </si>
  <si>
    <t>[Dotto, Tiago S.; Kerr, Rodrigo; Mata, Mauricio M.; Garcia, Carlos A. E.] Univ Fed Rio Grande, Inst Oceanog, Lab Estudos Oceanos &amp; Clima, Rio Grande, Brazil; [Dotto, Tiago S.] Univ Southampton, Natl Oceanog Ctr Southampton, Ocean &amp; Earth Sci, Southampton, Hants, England</t>
  </si>
  <si>
    <t>Universidade Federal do Rio Grande; University of Southampton; NERC National Oceanography Centre</t>
  </si>
  <si>
    <t>Dotto, TS (corresponding author), Univ Fed Rio Grande, Inst Oceanog, Lab Estudos Oceanos &amp; Clima, Rio Grande, Brazil.;Dotto, TS (corresponding author), Univ Southampton, Natl Oceanog Ctr Southampton, Ocean &amp; Earth Sci, Southampton, Hants, England.</t>
  </si>
  <si>
    <t>tiago.dotto@noc.soton.ac.uk</t>
  </si>
  <si>
    <t>Mata, Mauricio M/H-4605-2011; Kerr, Rodrigo/I-2494-2012; Garcia, Carlos A. E./K-7382-2012</t>
  </si>
  <si>
    <t>Kerr, Rodrigo/0000-0002-2632-3137;</t>
  </si>
  <si>
    <t>Brazilian Ministry of the Environment; Brazilian Ministry of Science, Technology and Innovation (MCTI); Council for Research and Scientific Development of Brazil (CNPq) through grants from the International Polar Year SOS-CLIMATE project [550370/2002-1, 520189/2006-0]; Brazilian National Institute of Science and Technology of Cryosphere (INCT-CRIOSFERA) [573720/2008-8]; POLARCANION project; NAUTILUS project; CAPES/CMAR2 project [556848/2009-8, 405869/2013-4, 23038.001421/2014-30]; CAPES Foundation; CNPq [232792/2014-3, 302604/2015-4, 306896/2015-0, 311943/2015-2]</t>
  </si>
  <si>
    <t>Brazilian Ministry of the Environment; Brazilian Ministry of Science, Technology and Innovation (MCTI); Council for Research and Scientific Development of Brazil (CNPq) through grants from the International Polar Year SOS-CLIMATE project(Conselho Nacional de Desenvolvimento Cientifico e Tecnologico (CNPQ)); Brazilian National Institute of Science and Technology of Cryosphere (INCT-CRIOSFERA); POLARCANION project; NAUTILUS project; CAPES/CMAR2 project; CAPES Foundation(Coordenacao de Aperfeicoamento de Pessoal de Nivel Superior (CAPES)); CNPq(Conselho Nacional de Desenvolvimento Cientifico e Tecnologico (CNPQ))</t>
  </si>
  <si>
    <t>This study provides a contribution to the activities of the Brazilian High Latitudes Oceanography Group (GOAL; www.goal.furg.br), which is part of the Brazilian Antarctic Program (PROANTAR). GOAL has been funded by and/or has received logistical support from the Brazilian Ministry of the Environment (MMA), the Brazilian Ministry of Science, Technology and Innovation (MCTI), and the Council for Research and Scientific Development of Brazil (CNPq) through grants from the International Polar Year SOS-CLIMATE project (550370/2002-1; 520189/2006-0), the Brazilian National Institute of Science and Technology of Cryosphere (INCT-CRIOSFERA; 573720/2008-8) and POLARCANION, NAUTILUS, and CAPES/CMAR2 projects (556848/2009-8; 405869/2013-4, 23038.001421/2014-30). T. S. Dotto acknowledges financial support from CAPES Foundation and from CNPq (grant 232792/2014-3). R. Kerr, M. M. Mata, and C. A. E. Garcia acknowledge, respectively, CNPq researcher grants 302604/2015-4, 306896/2015-0, and 311943/2015-2. We thank Gareth Marshall for the SAM index data (http://www.nerc-bas.ac.uk/icd/gjma/sam.html) and the Alfred-Wegener Institute, NOAA World Ocean Database and all of the scientists who participated in the data collection and provided it freely available through the websites www.pangaea.de and www.nodc.noaa.gov. The GOAL data set will be added to the Brazilian National Oceanographic Data Archive Center (BNDO; http://www.mar.mil.br/dhn/chm/oceanografia/bndo.html) and is provided by request. We also thank the Brazilian Navy, especially the crew, officials, and scientist onboard of the Brazilian Navy vessels N.Ap.Oc. Ary Rongel (2003-2012) and N.Po. Almirante Maximiano (2013-2014), for providing logistical support during all GOAL cruises.</t>
  </si>
  <si>
    <t>2169-9275</t>
  </si>
  <si>
    <t>2169-9291</t>
  </si>
  <si>
    <t>J GEOPHYS RES-OCEANS</t>
  </si>
  <si>
    <t>J. Geophys. Res.-Oceans</t>
  </si>
  <si>
    <t>10.1002/2015JC011228</t>
  </si>
  <si>
    <t>Oceanography</t>
  </si>
  <si>
    <t>DW2JD</t>
  </si>
  <si>
    <t>Green Accepted, Bronze</t>
  </si>
  <si>
    <t>WOS:000383467800005</t>
  </si>
  <si>
    <t>Behrens, E; Rickard, G; Morgenstern, O; Martin, T; Osprey, A; Joshi, M</t>
  </si>
  <si>
    <t>Behrens, Erik; Rickard, Graham; Morgenstern, Olaf; Martin, Torge; Osprey, Annette; Joshi, Manoj</t>
  </si>
  <si>
    <t>Southern Ocean deep convection in global climate models: A driver for variability of subpolar gyres and Drake Passage transport on decadal timescales</t>
  </si>
  <si>
    <t>ANTARCTIC CIRCUMPOLAR CURRENT; SEA-ICE EXTENT; ENVIRONMENT SIMULATOR JULES; CORE-II SIMULATIONS; CMIP5 MODELS; BOTTOM WATER; OVERTURNING CIRCULATION; WEDDELL SEA; TRENDS; POLYNYA</t>
  </si>
  <si>
    <t>We investigate the individual and joint decadal variability of Southern Ocean state quantities, such as the strength of the Ross and Weddell Gyres, Drake Passage transport, and sea ice area, using the National Institute of Water and Atmospheric Research UK Chemistry and Aerosols (NIWA-UKCA) model and CMIP5 models. Variability in these quantities is stimulated by strong deep reaching convective events in the Southern Ocean, which produce an Antarctic Bottom Water-like water mass and affect the large-scale meridional density structure in the Southern Ocean. An increase in the (near) surface stratification, due to freshwater forcing, can be a precondition for subsequent strong convection activity. The combination of enhanced-gyre driven sea ice and freshwater export, as well as ongoing subsurface heat accumulation, lead to a time lag between changes in oceanic freshwater and heat content. This causes an ongoing weakening of the stratification until sudden strong mixing events emerge and the heat is released to the atmosphere. We find that strong convection reduces sea ice cover, weakens the subpolar gyres, increases the meridional density gradient and subsequently results in a positive Drake Passage transport anomaly. Results of available CMIP5 models confirm that variability in sea ice, Drake Passage transport, and the Weddell Gyre strength is enhanced if models show strong open ocean convective events. Consistent relationships between convection, sea ice, Drake Passage transport, and Ross Gyre strength variability are evident in most models, whether or not they host open ocean convection.</t>
  </si>
  <si>
    <t>[Behrens, Erik; Rickard, Graham] Natl Inst Water &amp; Atmospher Res, Marine Phys, Wellington, New Zealand; [Morgenstern, Olaf] Natl Inst Water &amp; Atmospher Res, Atmosphere &amp; Climate, Wellington, New Zealand; [Martin, Torge] GEOMAR Helmholtz Ctr Ocean Res Kiel, Ocean Circulat &amp; Climate Dynam, Kiel, Germany; [Osprey, Annette] Univ Reading, Dept Meteorol, Reading, Berks, England; [Joshi, Manoj] Univ East Anglia, Ctr Ocean &amp; Atmospher Sci, Norwich, Norfolk, England; [Joshi, Manoj] Univ East Anglia, Climat Res Unit, Norwich, Norfolk, England</t>
  </si>
  <si>
    <t>National Institute of Water &amp; Atmospheric Research (NIWA) - New Zealand; National Institute of Water &amp; Atmospheric Research (NIWA) - New Zealand; Helmholtz Association; GEOMAR Helmholtz Center for Ocean Research Kiel; University of Reading; University of East Anglia; University of East Anglia</t>
  </si>
  <si>
    <t>Behrens, E (corresponding author), Natl Inst Water &amp; Atmospher Res, Marine Phys, Wellington, New Zealand.</t>
  </si>
  <si>
    <t>erik.behrens@niwa.co.nz</t>
  </si>
  <si>
    <t>Joshi, Manoj/C-1795-2008; Martin, Torge/H-2613-2017; Behrens, Erik/B-9631-2013</t>
  </si>
  <si>
    <t>Joshi, Manoj/0000-0002-2948-2811; Morgenstern, Olaf/0000-0002-9967-9740; Osprey, Annette/0000-0003-2443-9387; rickard, graham/0000-0002-0169-4361; Martin, Torge/0000-0002-0882-8780</t>
  </si>
  <si>
    <t>NeSI's collaborator institutions; Ministry of Business, Innovation and Employment's Research Infrastructure programme; NIWA as part of its Government; Deep South National Science Challenge; Marsden Fund Council from Government funding; Royal Society of New Zealand [12-NIW-006]; Natural Environment Research Council [ncas10005] Funding Source: researchfish; NERC [ncas10005] Funding Source: UKRI</t>
  </si>
  <si>
    <t>NeSI's collaborator institutions; Ministry of Business, Innovation and Employment's Research Infrastructure programme(New Zealand Ministry of Business, Innovation and Employment (MBIE)); NIWA as part of its Government; Deep South National Science Challenge; Marsden Fund Council from Government funding(Royal Society of New ZealandMarsden Fund (NZ)); Royal Society of New Zealand(Royal Society of New Zealand); Natural Environment Research Council(UK Research &amp; Innovation (UKRI)Natural Environment Research Council (NERC)); NERC(UK Research &amp; Innovation (UKRI)Natural Environment Research Council (NERC))</t>
  </si>
  <si>
    <t>We are grateful to both reviewers for their constructive encouragement and persistence in the evolution of our paper. The data which has been used in this manuscript can be made available upon request from the author on a ftp server. We acknowledge the UK MetOffice for use of the MetUM. We acknowledge the contribution of NeSI high-performance computing facilities to the results of this research. NZ's national facilities are provided by the NZ eScience Infrastructure and funded jointly by NeSI's collaborator institutions and through the Ministry of Business, Innovation and Employment's Research Infrastructure programme (https://www.nesi.org.nz). This work has been supported by NIWA as part of its Government-funded, core research, the Deep South National Science Challenge, and by the Marsden Fund Council from Government funding, administered by the Royal Society of New Zealand (grant 12-NIW-006). We also thank colleagues of the UNSW in Sydney for their support and constructive discussions. The altimeter products were produced by Ssalto/Duacs and distributed by Aviso, with support from Cnes (http://www.aviso.altimetry.fr/duacs/). The authors wish to acknowledge use of the Ferret program for analysis and graphics in this paper. Ferret is a product of NOAA's Pacific Marine Environmental Laboratory. (Information is available at http://ferret.pmel.noaa.gov/Ferret/). We also thank Helen Macdonald for additional constructive comments.</t>
  </si>
  <si>
    <t>10.1002/2015JC011286</t>
  </si>
  <si>
    <t>Green Accepted</t>
  </si>
  <si>
    <t>WOS:000383467800014</t>
  </si>
  <si>
    <t>Shore, RM; Whaler, KA; Macmillan, S; Beggan, C; Velímsky, J; Olsen, N</t>
  </si>
  <si>
    <t>Shore, R. M.; Whaler, K. A.; Macmillan, S.; Beggan, C.; Velimsky, J.; Olsen, N.</t>
  </si>
  <si>
    <t>Decadal period externalmagnetic field variations determined via eigenanalysis</t>
  </si>
  <si>
    <t>JOURNAL OF GEOPHYSICAL RESEARCH-SPACE PHYSICS</t>
  </si>
  <si>
    <t>ELECTRICAL-CONDUCTIVITY; ELECTROMAGNETIC INDUCTION; OBSERVATORY DATA; SATELLITE; INVERSION; MANTLE; SPACE; MODEL</t>
  </si>
  <si>
    <t>We perform a reanalysis of hourly mean magnetic data from ground-based observatories spanning 1997-2009 inclusive, in order to isolate (after removal of core and crustal field estimates) the spatiotemporal morphology of the external fields important to mantle induction, on (long) periods of months to a full solar cycle. Our analysis focuses on geomagnetically quiet days and middle to low latitudes. We use the climatological eigenanalysis technique called empirical orthogonal functions (EOFs), which allows us to identify discrete spatiotemporal patterns with no a priori specification of their geometry-the form of the decomposition is controlled by the data. We apply a spherical harmonic analysis to the EOF outputs in a joint inversion for internal and external coefficients. The results justify our assumption that the EOF procedure responds primarily to the long-period external inducing field contributions. Though we cannot determine uniquely the contributory source regions of these inducing fields, we find that they have distinct temporal characteristics which enable some inference of sources. An identified annual-period pattern appears to stem from a north-south seasonal motion of the background mean external field distribution. Separate patterns of semiannual and solar-cycle-length periods appear to stem from the amplitude modulations of spatially fixed background fields.</t>
  </si>
  <si>
    <t>[Shore, R. M.] British Antarctic Survey, Cambridge, England; [Whaler, K. A.] Univ Edinburgh, Sch GeoSci, Edinburgh, Midlothian, Scotland; [Macmillan, S.; Beggan, C.] British Geol Survey, Edinburgh, Midlothian, Scotland; [Velimsky, J.] Charles Univ Prague, Fac Math &amp; Phys, Dept Geophys, Prague, Czech Republic; [Olsen, N.] DTU Space, Lyngby, Denmark</t>
  </si>
  <si>
    <t>UK Research &amp; Innovation (UKRI); Natural Environment Research Council (NERC); NERC British Antarctic Survey; University of Edinburgh; UK Research &amp; Innovation (UKRI); Natural Environment Research Council (NERC); NERC British Geological Survey; Charles University Prague; Technical University of Denmark</t>
  </si>
  <si>
    <t>Shore, RM (corresponding author), British Antarctic Survey, Cambridge, England.</t>
  </si>
  <si>
    <t>robore@bas.ac.uk</t>
  </si>
  <si>
    <t>Velímský, Jakub/P-5902-2016; Olsen, Nils/AAZ-1044-2021; Whaler, Kathy/AAG-1162-2020; Macmillan, Susan/M-6202-2019</t>
  </si>
  <si>
    <t>Velímský, Jakub/0000-0002-1279-7112; Olsen, Nils/0000-0003-1132-6113; Whaler, Kathy/0000-0002-7386-223X; Shore, Robert/0000-0002-8386-1425</t>
  </si>
  <si>
    <t>NERC; BGS BUFI grant (BGS) [2K09E020 / BUFI, S174]; NERC [NE/J020796/1]; DTU Space (Denmark); University of Edinburgh; British Antarctic Survey (BAS); NERC [bas0100031, NE/J020796/1] Funding Source: UKRI; Natural Environment Research Council [NE/J020796/1, bas0100031] Funding Source: researchfish</t>
  </si>
  <si>
    <t>NERC(UK Research &amp; Innovation (UKRI)Natural Environment Research Council (NERC)); BGS BUFI grant (BGS); NERC(UK Research &amp; Innovation (UKRI)Natural Environment Research Council (NERC)); DTU Space (Denmark); University of Edinburgh; British Antarctic Survey (BAS); NERC(UK Research &amp; Innovation (UKRI)Natural Environment Research Council (NERC)); Natural Environment Research Council(UK Research &amp; Innovation (UKRI)Natural Environment Research Council (NERC))</t>
  </si>
  <si>
    <t>Funding for this project was provided by a NERC CASE studentship to RMS with a BGS BUFI grant (BGS contract 2K09E020 / BUFI ref: S174). The project was further developed during NERC grant NE/J020796/1. The work was performed using hardware and support at DTU Space (Denmark), the University of Edinburgh, and the British Antarctic Survey (BAS). Thanks go to Mervyn Freeman (BAS) for advice which improved the scientific content of this study; likewise we thank three anonymous reviewers. Figure 4 uses code from the program myplotyy.m, by Friedhelm Steinhilber. The full set of spherical harmonic internal and external coefficients for each model produced in this study is given, with metadata, in the supporting information. The other data, models, and indices used in this study are available in the following locations: the observatory data at ftp://ftp.nerc-murchison.ac.uk/geomag/smac/AUX_OBS_2/, the internationally defined quietest days at http://www.gfz-potsdam.de/en/section/earths-magnetic-field/data-products-services/kp-index/qd-days/, the RC index at http://www.spacecenter.dk/files/magnetic-models/RC/current/, the F10.7 index at ftp://ftp.ngdc.noaa.gov/STP/GEOMAGNETIC_DATA/INDICES/KP_AP/, and the CHAOS-4 model coefficients at http://www.spacecenter.dk/files/magnetic-models/CHAOS-4/CHAOS-4alpha/.</t>
  </si>
  <si>
    <t>2169-9380</t>
  </si>
  <si>
    <t>2169-9402</t>
  </si>
  <si>
    <t>J GEOPHYS RES-SPACE</t>
  </si>
  <si>
    <t>J. Geophys. Res-Space Phys.</t>
  </si>
  <si>
    <t>10.1002/2015JA022066</t>
  </si>
  <si>
    <t>DW1RU</t>
  </si>
  <si>
    <t>hybrid, Green Accepted, Green Published</t>
  </si>
  <si>
    <t>WOS:000383421100015</t>
  </si>
  <si>
    <t>Hendry, AT; Rodger, CJ; Clilverd, MA; Engebretson, MJ; Mann, IR; Lessard, MR; Raita, T; Milling, DK</t>
  </si>
  <si>
    <t>Hendry, Aaron T.; Rodger, Craig J.; Clilverd, Mark A.; Engebretson, Mark J.; Mann, Ian R.; Lessard, Marc R.; Raita, Tero; Milling, David K.</t>
  </si>
  <si>
    <t>Confirmation of EMIC wave-driven relativistic electron precipitation</t>
  </si>
  <si>
    <t>ION-CYCLOTRON WAVES; VAN ALLEN PROBES; STATISTICAL-ANALYSIS; MAGNETOSPHERE; RESONANCE; LOSSES; CRRES</t>
  </si>
  <si>
    <t>Electromagnetic ion cyclotron (EMIC) waves are believed to be an important source of pitch angle scattering driven relativistic electron loss from the radiation belts. To date, investigations of this precipitation have been largely theoretical in nature, limited to calculations of precipitation characteristics based on wave observations and small-scale studies. Large-scale investigation of EMIC wave-driven electron precipitation has been hindered by a lack of combined wave and precipitation measurements. Analysis of electron flux data from the POES (Polar Orbiting Environmental Satellites) spacecraft has been suggested as a means of investigating EMIC wave-driven electron precipitation characteristics, using a precipitation signature particular to EMIC waves. Until now the lack of supporting wave measurements for these POES-detected precipitation events has resulted in uncertainty regarding the driver of the precipitation. In this paper we complete a statistical study comparing POES precipitation measurements with wave data from several ground-based search coil magnetometers; we further present a case study examining the global nature of this precipitation. We show that a significant proportion of the precipitation events correspond with EMIC wave detections on the ground; for precipitation events that occur directly over the magnetometers, this detection rate can be as high as 90%. Our results demonstrate that the precipitation region is often stationary in magnetic local time, narrow in L, and close to the expected plasmapause position. Predominantly, the precipitation is associated with helium band rising tone Pc1 waves on the ground. The success of this study proves the viability of POES precipitation data for investigating EMIC wave-driven electron precipitation.</t>
  </si>
  <si>
    <t>[Hendry, Aaron T.; Rodger, Craig J.] Univ Otago, Dept Phys, Dunedin, New Zealand; [Clilverd, Mark A.] British Antarctic Survey NERC, Cambridge, England; [Engebretson, Mark J.] Augsburg Coll, Dept Phys, Minneapolis, MN USA; [Mann, Ian R.; Milling, David K.] Univ Alberta, Dept Phys, Edmonton, AB, Canada; [Lessard, Marc R.] Univ New Hampshire, Dept Phys, Durham, NH 03824 USA; [Raita, Tero] Univ Oulu, Sodankyla Geophys Observ, Oulu, Finland</t>
  </si>
  <si>
    <t>University of Otago; UK Research &amp; Innovation (UKRI); Natural Environment Research Council (NERC); NERC British Antarctic Survey; Augsburg University; University of Alberta; University System Of New Hampshire; University of New Hampshire; University of Oulu</t>
  </si>
  <si>
    <t>Hendry, AT (corresponding author), Univ Otago, Dept Phys, Dunedin, New Zealand.</t>
  </si>
  <si>
    <t>aaron.hendry@otago.ac.nz</t>
  </si>
  <si>
    <t>Rodger, Craig/A-1501-2011; Hendry, Aaron/T-1911-2019</t>
  </si>
  <si>
    <t>Hendry, Aaron/0000-0002-9130-3781; Rodger, Craig J./0000-0002-6770-2707; Mann, Ian/0000-0003-1004-7841</t>
  </si>
  <si>
    <t>European Community [263218]; U.S. National Science Foundation [PLR-1341493, PLR-1341677]; Canadian Space Agency; Office of Polar Programs (OPP); Directorate For Geosciences [1341493, 1341677] Funding Source: National Science Foundation; NERC [bas0100031] Funding Source: UKRI; Natural Environment Research Council [bas0100031] Funding Source: researchfish</t>
  </si>
  <si>
    <t>European Community; U.S. National Science Foundation(National Science Foundation (NSF)); Canadian Space Agency(Canadian Space Agency); Office of Polar Programs (OPP); Directorate For Geosciences(National Science Foundation (NSF)NSF - Directorate for Geosciences (GEO)); NERC(UK Research &amp; Innovation (UKRI)Natural Environment Research Council (NERC)); Natural Environment Research Council(UK Research &amp; Innovation (UKRI)Natural Environment Research Council (NERC))</t>
  </si>
  <si>
    <t>The research leading to these results has received funding from the European Community's Seventh Framework Programme (FP7/2007-2013) under grant agreement 263218. The authors wish to thank the personnel who developed, maintain, and operate the NOAA/POES spacecraft; the Halley search coil magnetometer, AARDDVARK, and riometer instruments; the CARISMA search coil magnetometer chain; the Sodankyla Geophysical Observatory (SGO) search coil magnetometer and riometer chains; and the Athabasca magnetometer. Support for the Halley search coil magnetometer was provided by U.S. National Science Foundation grants PLR-1341493 to Augsburg College and PLR-1341677 to the University of New Hampshire. CARISMA is operated by the University of Alberta, funded by the Canadian Space Agency. The Athabasca induction coil magnetometer is operated by Martin Connors of the Centre for Science, Athabasca University, Athabasca, Alberta, Canada, and Kazuo Shiokawa of the Institute for Space-Earth Environmental Research, Nagoya University, Japan. The data used in this paper are available at NOAA's National Geophysical Data Center (NGDC-POES MEPED data), the British Antarctic Survey's Physical Sciences Division Data Access Framework (SCM, riometer, and AARDDVARK data), the University of Alberta CARISMA data repository (SCM data), the SGO (SCM and riometer data-available on request), and the ISEE magnetometer data site (http://stdb2.stelab.nagoya-u.ac.jp/magne/index.html) for all years of operation.</t>
  </si>
  <si>
    <t>10.1002/2015JA022224</t>
  </si>
  <si>
    <t>Bronze</t>
  </si>
  <si>
    <t>WOS:000383421100029</t>
  </si>
  <si>
    <t>Priyadarshi, S; Zhang, QH; Ma, YZ; Wang, Y; Xing, ZY</t>
  </si>
  <si>
    <t>Priyadarshi, S.; Zhang, Q. -H.; Ma, Y. -Z.; Wang, Y.; Xing, Z. -Y.</t>
  </si>
  <si>
    <t>Observations and modeling of ionospheric scintillations at South Pole during six X-class solar flares in 2013</t>
  </si>
  <si>
    <t>TRANSMITTED SIGNALS; IONIZATION PATCHES; PROPAGATION MODEL; IRREGULARITIES; CONVECTION; CAP; MORPHOLOGY; PLASMA</t>
  </si>
  <si>
    <t>Using two B-spline basis functions of degree 4 and the ionospheric scintillation data from a Global Positioning Satellite System (GPS) scintillation receiver at South Pole, we reproduced ionospheric scintillation indices for the periods of the six X-class solar flares in 2013. These reproduced indices have filled the data gaps, and they are serving as a smooth replica of the real observations. In either event, these modeled scintillation indices are minimizing the geometrical effects between GPS satellite and the receiver. Six X-class solar flares have been studied during the summer and winter months, using the produced scintillation indices based on the observations from the GPS receiver at South Pole and the in situ plasma measurement from the associated passing of Defense Meteorological Satellite Program. Our results show that the solar flare peak suppresses the scintillation level and builds time-independent scintillation patterns; however, after a certain time from the solar flare peak, complicated scintillation patterns develop at high-latitude ionosphere and spread toward the polar cap boundary region. Substantial consistency has been found between moderate proton fluxes and scintillation enhancement.</t>
  </si>
  <si>
    <t>[Priyadarshi, S.; Zhang, Q. -H.; Ma, Y. -Z.; Wang, Y.; Xing, Z. -Y.] Shandong Univ, Inst Space Sci, Shandong Prov Key Lab Opt Astron &amp; Solar Terr Env, Weihai, Peoples R China</t>
  </si>
  <si>
    <t>Shandong University</t>
  </si>
  <si>
    <t>Priyadarshi, S; Zhang, QH (corresponding author), Shandong Univ, Inst Space Sci, Shandong Prov Key Lab Opt Astron &amp; Solar Terr Env, Weihai, Peoples R China.</t>
  </si>
  <si>
    <t>spriyadarshi@sdu.edu.cn; zhangqinghe@sdu.edu.cn</t>
  </si>
  <si>
    <t>Zhang, Qing-He/G-4572-2014; Priyadarshi, Shishir/C-5036-2019</t>
  </si>
  <si>
    <t>Zhang, Qing-He/0000-0003-2429-4050; Priyadarshi, Shishir/0000-0002-1775-8964</t>
  </si>
  <si>
    <t>China Postdoctoral International Exchange Program Grant from the Institute of Space Sciences Shandong University, China; National Natural Science Foundation [41574138, 41274149, 41274148]; Shandong Provincial Natural Science Foundation [JQ201412]; International Collaboration Supporting Project, Chinese Arctic and Antarctic Administration [IC201511]; USA, National Science Foundation [PLR-1248062, PLR-1247975, PLR-1248087]</t>
  </si>
  <si>
    <t>China Postdoctoral International Exchange Program Grant from the Institute of Space Sciences Shandong University, China; National Natural Science Foundation(National Natural Science Foundation of China (NSFC)); Shandong Provincial Natural Science Foundation(Natural Science Foundation of Shandong Province); International Collaboration Supporting Project, Chinese Arctic and Antarctic Administration; USA, National Science Foundation(National Science Foundation (NSF))</t>
  </si>
  <si>
    <t>This work was supported by China Postdoctoral International Exchange Program Grant from the Institute of Space Sciences Shandong University, China; the National Natural Science Foundation (grants 41574138, 41274149, and 41274148); the Shandong Provincial Natural Science Foundation (grant JQ201412); and the International Collaboration Supporting Project, Chinese Arctic and Antarctic Administration (IC201511). We also gratefully acknowledge support from USA, National Science Foundation grants PLR-1248062, PLR-1247975, and PLR-1248087. Data used in the present paper have been downloaded from Madrigal database [http://madrigal.iggcas.ac.cn/madrigal/], NASAOMINIWEB server [http://omniweb.gsfc.nasa.gov/] and NOAA [http://www.ngdc.noaa.gov/stp/satellite/dmsp/].</t>
  </si>
  <si>
    <t>10.1002/2016JA022833</t>
  </si>
  <si>
    <t>WOS:000383421100056</t>
  </si>
  <si>
    <t>McCormack, CG; Born, W; Irvine, PJ; Achterberg, EP; Amano, T; Ardron, J; Foster, PN; Gattuso, JP; Hawkins, SJ; Hendy, E; Kissling, WD; Lluch-Cota, SE; Murphy, EJ; Ostle, N; Owens, NJP; Perry, RI; Pörtner, HO; Scholes, RJ; Schurr, FM; Schweiger, O; Settele, J; Smith, RK; Smith, S; Thompson, J; Tittensor, DP; van Kleunen, M; Vivian, C; Vohland, K; Warren, R; Watkinson, AR; Widdicombe, S; Williamson, P; Woods, E; Blackstock, JJ; Sutherland, WJ</t>
  </si>
  <si>
    <t>McCormack, Caitlin G.; Born, Wanda; Irvine, Peter J.; Achterberg, Eric P.; Amano, Tatsuya; Ardron, Jeff; Foster, Pru N.; Gattuso, Jean-Pierre; Hawkins, Stephen J.; Hendy, Erica; Kissling, W. Daniel; Lluch-Cota, Salvador E.; Murphy, Eugene J.; Ostle, Nick; Owens, Nicholas J. P.; Perry, R. Ian; Poertner, Hans O.; Scholes, Robert J.; Schurr, Frank M.; Schweiger, Oliver; Settele, Josef; Smith, Rebecca K.; Smith, Sarah; Thompson, Jill; Tittensor, Derek P.; van Kleunen, Mark; Vivian, Chris; Vohland, Katrin; Warren, Rachel; Watkinson, Andrew R.; Widdicombe, Steve; Williamson, Phillip; Woods, Emma; Blackstock, Jason J.; Sutherland, William J.</t>
  </si>
  <si>
    <t>Key impacts of climate engineering on biodiversity and ecosystems, with priorities for future research</t>
  </si>
  <si>
    <t>JOURNAL OF INTEGRATIVE ENVIRONMENTAL SCIENCES</t>
  </si>
  <si>
    <t>Biodiversity; carbon dioxide removal; climate engineering; ecosystems; geoengineering; solar radiation management</t>
  </si>
  <si>
    <t>OCEAN FERTILIZATION; CARBON SEQUESTRATION; IRON FERTILIZATION; MARINE; ACIDIFICATION; VULNERABILITY; TOLERANCE; PHENOLOGY; BIOFUELS; SCIENCE</t>
  </si>
  <si>
    <t>Climate change has significant implications for biodiversity and ecosystems. With slow progress towards reducing greenhouse gas emissions, climate engineering (or geoengineering') is receiving increasing attention for its potential to limit anthropogenic climate change and its damaging effects. Proposed techniques, such as ocean fertilization for carbon dioxide removal or stratospheric sulfate injections to reduce incoming solar radiation, would significantly alter atmospheric, terrestrial and marine environments, yet potential side-effects of their implementation for ecosystems and biodiversity have received little attention. A literature review was carried out to identify details of the potential ecological effects of climate engineering techniques. A group of biodiversity and environmental change researchers then employed a modified Delphi expert consultation technique to evaluate this evidence and prioritize the effects based on the relative importance of, and scientific understanding about, their biodiversity and ecosystem consequences. The key issues and knowledge gaps are used to shape a discussion of the biodiversity and ecosystem implications of climate engineering, including novel climatic conditions, alterations to marine systems and substantial terrestrial habitat change. This review highlights several current research priorities in which the climate engineering context is crucial to consider, as well as identifying some novel topics for ecological investigation.</t>
  </si>
  <si>
    <t>[McCormack, Caitlin G.; Amano, Tatsuya; Smith, Rebecca K.; Sutherland, William J.] Univ Cambridge, Dept Zool, Conservat Sci Grp, Cambridge, England; [Born, Wanda; Irvine, Peter J.] Inst Adv Sustainabil Studies eV, Sustainable Interact Atmosphere, Potsdam, Germany; [Achterberg, Eric P.; Hawkins, Stephen J.] Univ Southampton Waterfront Campus, Natl Oceanog Ctr Southampton, Ocean &amp; Earth Sci, Southampton, Hants, England; [Achterberg, Eric P.] Helmholtz Ctr Ocean Res, GEOMAR, Kiel, Germany; [Ardron, Jeff] Inst Adv Sustainabil Studies eV, Global Contract Sustainabil, Potsdam, Germany; [Foster, Pru N.; Hendy, Erica] Univ Bristol, Sch Earth Sci, Bristol, Avon, England; [Gattuso, Jean-Pierre] Univ Paris 06, Sorbonne Univ, CNRS, Lab Oceanog Villefranche,INSU,UPMC, Villefranche Sur Mer, France; [Gattuso, Jean-Pierre] Sciences Po, Inst Sustainable Dev &amp; Int Relat, Paris, France; [Hendy, Erica] Univ Bristol, Sch Biol Sci, Bristol, Avon, England; [Kissling, W. Daniel] Univ Amsterdam, Inst Biodivers &amp; Ecosyst Dynam IBED, Amsterdam, Netherlands; [Lluch-Cota, Salvador E.] Ctr Invest Biol Noroeste CIBNOR, Programa Ecol Pesquera, La Paz, Mexico; [Murphy, Eugene J.] British Antarctic Survey, Cambridge, England; [Ostle, Nick] Univ Lancaster, Lancaster Environm Ctr, Lancaster, England; [Owens, Nicholas J. P.] Scottish Marine Inst, Scottish Assoc Marine Sci, Oban, Argyll, Scotland; [Perry, R. Ian] Pacific Biol Stn, Dept Fisheries &amp; Oceans, Nanaimo, BC, Canada; [Poertner, Hans O.] Alfred Wegener Inst Polar &amp; Marine Res, Okophysiol, Bremerhaven, Germany; [Scholes, Robert J.] CSIR, Pretoria, South Africa; [Schurr, Frank M.] Univ Montpellier 2, Inst Sci Evolut Montpellier, UMR CNRS 5554, Montpellier, France; [Schweiger, Oliver; Settele, Josef] UFZ Ctr Environm Res, Dept Community Ecol, Halle, Germany; [Settele, Josef] German Ctr Integrat Biodivers Res iDiv, IDiv, Leipzig, Germany; [Smith, Sarah; Tittensor, Derek P.] UNEP World Conservat Monitoring Ctr, Cambridge, England; [Thompson, Jill] Ctr Ecol &amp; Hydrol, Midlothian, Scotland; [Tittensor, Derek P.] Dalhousie Univ, Dept Biol, Halifax, NS, Canada; [van Kleunen, Mark] Univ Konstanz, Dept Biol, Ecol, Constance, Germany; [Vivian, Chris] Lowestoft Lab, Cefas, Lowestoft, Suffolk, England; [Vohland, Katrin] Leibniz Inst Evolut &amp; Biodiversitatsforsch, Museum Naturkunde, Berlin, Germany; [Warren, Rachel; Watkinson, Andrew R.] Univ East Anglia, Sch Environm Sci, Norwich, Norfolk, England; [Widdicombe, Steve] Plymouth Marine Lab, Plymouth, Devon, England; [Williamson, Phillip] Univ East Anglia, Nat Environm Res Council, Sch Environm Sci, Norwich, Norfolk, England; [Woods, Emma] Royal Soc, London, England; [Blackstock, Jason J.] UCL, Sci Technol Engn &amp; Publ Policy, London, England</t>
  </si>
  <si>
    <t>University of Cambridge; University of Southampton; NERC National Oceanography Centre; Helmholtz Association; GEOMAR Helmholtz Center for Ocean Research Kiel; University of Bristol; Sorbonne Universite; Centre National de la Recherche Scientifique (CNRS); CNRS - National Institute for Earth Sciences &amp; Astronomy (INSU); University of Bristol; University of Amsterdam; CIBNOR - Centro de Investigaciones Biologicas del Noroeste; UK Research &amp; Innovation (UKRI); Natural Environment Research Council (NERC); NERC British Antarctic Survey; Lancaster University; UHI Millennium Institute; Fisheries &amp; Oceans Canada; Helmholtz Association; Alfred Wegener Institute, Helmholtz Centre for Polar &amp; Marine Research; Council for Scientific &amp; Industrial Research (CSIR) - South Africa; Centre National de la Recherche Scientifique (CNRS); Institut de Recherche pour le Developpement (IRD); Universite de Montpellier; Helmholtz Association; Helmholtz Center for Environmental Research (UFZ); UK Centre for Ecology &amp; Hydrology (UKCEH); Dalhousie University; University of Konstanz; Centre for Environment Fisheries &amp; Aquaculture Science; Leibniz Institut fur Evolutions und Biodiversitatsforschung; University of East Anglia; Plymouth Marine Laboratory; University of East Anglia; University of London; University College London</t>
  </si>
  <si>
    <t>Sutherland, WJ (corresponding author), Univ Cambridge, Dept Zool, Conservat Sci Grp, Cambridge, England.</t>
  </si>
  <si>
    <t>w.sutherland@zoo.cam.ac.uk</t>
  </si>
  <si>
    <t>Achterberg, Eric P/C-5820-2009; van Kleunen, Mark/B-3769-2009; Lluch-Cota, Salvador Emilio/D-7693-2013; Warren, Rachel/G-9997-2011; Tittensor, Derek P./AAV-1117-2021; Lluch-Cota, Salvador E./P-5203-2019; Gattuso, Jean-Pierre/AAG-8643-2019; Owens, Nicholas John Paul/GRX-5013-2022; Watkinson, Andrew R/N-1649-2013; Settele, Josef/A-6371-2009; Ardron, Jeff/ABI-7397-2020; Irvine, Peter/E-4799-2012; Thompson, Jill/K-2200-2012; Pörtner, Hans-O./K-9429-2016; Sutherland, William/B-1291-2013; murphy, eugene/GZL-1620-2022; Schurr, Frank M./O-6575-2016; Vohland, Katrin/AAV-1393-2020; Pörtner, Hans-O./ISU-9397-2023; Amano, Tatsuya/E-7367-2010; Ostle, Nicholas/E-4847-2014; Hendy, Erica/H-4488-2016; Schweiger, Oliver/B-4909-2008</t>
  </si>
  <si>
    <t>van Kleunen, Mark/0000-0002-2861-3701; Lluch-Cota, Salvador Emilio/0000-0003-1832-1200; Tittensor, Derek P./0000-0002-9550-3123; Gattuso, Jean-Pierre/0000-0002-4533-4114; Owens, Nicholas John Paul/0000-0001-7972-7285; Settele, Josef/0000-0002-8624-4983; Irvine, Peter/0000-0002-5469-1543; Thompson, Jill/0000-0002-4370-2593; Pörtner, Hans-O./0000-0001-6535-6575; Amano, Tatsuya/0000-0001-6576-3410; Williamson, Phillip/0000-0003-4149-5110; Scholes, Robert/0000-0001-5537-6935; Ostle, Nicholas/0000-0003-3263-3702; Vohland, Katrin/0000-0002-7214-7015; Warren, Rachel/0000-0002-0122-1599; Hendy, Erica/0000-0001-5949-4349; Schweiger, Oliver/0000-0001-8779-2335; Smith, Rebecca/0000-0003-3294-7592</t>
  </si>
  <si>
    <t>Institute for Advanced Sustainability Studies; Cambridge Conservation Initiative (CCI) Shared Challenges Programme; Arcadia; BBSRC [BB/I008969/2] Funding Source: UKRI; NERC [bas0100035, NE/F016107/1] Funding Source: UKRI; Biotechnology and Biological Sciences Research Council [BB/I008969/2] Funding Source: researchfish; Natural Environment Research Council [ceh010010, bas0100035] Funding Source: researchfish</t>
  </si>
  <si>
    <t>Institute for Advanced Sustainability Studies; Cambridge Conservation Initiative (CCI) Shared Challenges Programme; Arcadia; BBSRC(UK Research &amp; Innovation (UKRI)Biotechnology and Biological Sciences Research Council (BBSRC)); NERC(UK Research &amp; Innovation (UKRI)Natural Environment Research Council (NERC)); Biotechnology and Biological Sciences Research Council(UK Research &amp; Innovation (UKRI)Biotechnology and Biological Sciences Research Council (BBSRC)); Natural Environment Research Council(UK Research &amp; Innovation (UKRI)Natural Environment Research Council (NERC))</t>
  </si>
  <si>
    <t>This work was funded by the Institute for Advanced Sustainability Studies, who we thank for their efficient organization and hospitality for the workshop. We also thank the various experts who completed the survey but could not attend the workshop: Tom Battin, Richard T. Conant, Jason Hall-Spencer, Sandra Lavorel and Klaus Lorenz. We are also grateful to the Cambridge Conservation Initiative (CCI) Shared Challenges Programme who funded the initial literature review, and to Rosamunde Almond (CCI) who was involved in the conception of the project. WJS is funded by Arcadia</t>
  </si>
  <si>
    <t>TAYLOR &amp; FRANCIS LTD</t>
  </si>
  <si>
    <t>ABINGDON</t>
  </si>
  <si>
    <t>2-4 PARK SQUARE, MILTON PARK, ABINGDON OR14 4RN, OXON, ENGLAND</t>
  </si>
  <si>
    <t>1943-815X</t>
  </si>
  <si>
    <t>1943-8168</t>
  </si>
  <si>
    <t>J INTEGR ENVIRON SCI</t>
  </si>
  <si>
    <t>J. Integr. Environ. Sci.</t>
  </si>
  <si>
    <t>JUN-DEC</t>
  </si>
  <si>
    <t>2-4</t>
  </si>
  <si>
    <t>10.1080/1943815X.2016.1159578</t>
  </si>
  <si>
    <t>Environmental Sciences</t>
  </si>
  <si>
    <t>Environmental Sciences &amp; Ecology</t>
  </si>
  <si>
    <t>EA4ST</t>
  </si>
  <si>
    <t>Green Published, Green Submitted, gold, Green Accepted</t>
  </si>
  <si>
    <t>WOS:000386605700002</t>
  </si>
  <si>
    <t>Otsuji, N; Satish-Kumar, M; Kamei, A; Takazawa, E; Tsuchiya, N; Grantham, GH; Kawakami, T; Ishikawa, M; Osanai, Y</t>
  </si>
  <si>
    <t>Otsuji, Naho; Satish-Kumar, M.; Kamei, Atsushi; Takazawa, Eiichi; Tsuchiya, Noriyoshi; Grantham, G. H.; Kawakami, Tetsuo; Ishikawa, Masahiro; Osanai, Yasuhito</t>
  </si>
  <si>
    <t>Sr and Nd Isotopic evidence in metacarbonate rocks for an extinct Island arc-ocean system in East Antarctica</t>
  </si>
  <si>
    <t>JOURNAL OF MINERALOGICAL AND PETROLOGICAL SCIENCES</t>
  </si>
  <si>
    <t>Sr-Nd isotopes; Metacarbonates; Depositional environment; Paleotectonics; Antarctica</t>
  </si>
  <si>
    <t>SOR RONDANE MOUNTAINS; DRONNING MAUD LAND; BASEMENT PROVINCES; CRUSTAL EVOLUTION; GONDWANA; EVENTS; OROGENS; CONSTRAINTS; STRONTIUM; SEAWATER</t>
  </si>
  <si>
    <t>Chemically precipitated carbonate sediments directly record seawater composition that helps to decode the Earth's paleo-environment, the existence of paleo-oceans, and provide valuable clues on the paleo-tectonic position of continents through Earth's history. In addition, the geochemical and isotopic composition of carbonate rocks have a strong dependence on the depositional tectonic setting and surrounding source rock composition. This was particularly important in the Precambrian, during which biological activity was less prominent and vegetation was virtually absent. Here we present evidence for the existence of an extinct East Antarctic Ocean and its peripheral oceanic island arc system that preceded the formation of the East Antarctic continent in the Neoproterozoic before the final assembly of Gondwana. Applying a multi-element isotope geochemical approach on chemostratigraphically well-constrained metacarbonate rocks collected from the remote Sor Rondane Mountains in East Antarctica, we present a model on carbonate deposition surrounding an island arc system, mid-ocean volcanic islands and a shallow marine continental shelf of a yet unidentified interior Antarctic continent, all of which accreted in the late Neoproterozoic to early Paleozoic to form the present day East Antarctic continent prior to the final amalgamation of Gondwana supercontinent. Our results support the presence of an oceanic island arc system that might have separated the Mozambique ocean and East Antarctic ocean.</t>
  </si>
  <si>
    <t>[Otsuji, Naho] Niigata Univ, Grad Sch Sci &amp; Technol, Niigata 9502181, Japan; [Satish-Kumar, M.; Takazawa, Eiichi] Niigata Univ, Dept Geol, Niigata 9502181, Japan; [Kamei, Atsushi] Shimane Univ, Dept Geosci, Matsue, Shimane 6908504, Japan; [Tsuchiya, Noriyoshi] Tohoku Univ, Grad Sch Environm Studies, Sendai, Miyagi 9808579, Japan; [Grantham, G. H.] Univ Johannesburg, Dept Geol, POB 2006, ZA-2006 Auckland Pk, South Africa; [Kawakami, Tetsuo] Kyoto Univ, Dept Geol &amp; Mineral, Kyoto 6068502, Japan; [Ishikawa, Masahiro] Yokahama Natl Univ, Grad Sch Environm &amp; Informat Sci, Yokohama, Kanagawa 248501, Japan; [Osanai, Yasuhito] Kyushu Univ, Fac Social &amp; Cultural Studies, Fukuoka 8190395, Japan; [Otsuji, Naho] JFE Techno Res Corp, Kawasaki, Kanagawa, Japan</t>
  </si>
  <si>
    <t>Niigata University; Niigata University; Shimane University; Tohoku University; University of Johannesburg; Kyoto University; Yokohama National University; Kyushu University</t>
  </si>
  <si>
    <t>Satish-Kumar, M (corresponding author), Niigata Univ, Dept Geol, Niigata 9502181, Japan.</t>
  </si>
  <si>
    <t>satish@geo.sc.niigata-u.ac.jp</t>
  </si>
  <si>
    <t>Satish-Kumar, M./AAN-4420-2021; Kawakami, Tetsuo/AAQ-3357-2021; ISHIKAWA, MASAHIRO/P-5342-2014; Grantham, Geoffrey/M-8637-2014; Takazawa, Eiichi/N-8778-2018</t>
  </si>
  <si>
    <t>Kawakami, Tetsuo/0000-0002-5921-5562; ISHIKAWA, MASAHIRO/0000-0003-1628-3116; Satish-Kumar, Madhusoodhan/0000-0003-3604-7399; Grantham, Geoffrey/0000-0001-9862-0547; Takazawa, Eiichi/0000-0003-4004-6698</t>
  </si>
  <si>
    <t>Ministry of Education, Culture, Sports, Science and Technology, Japan [23340155, 25302008]; Grants-in-Aid for Scientific Research [26610164, 16K12809, 23340155, 16H02743, 15H03748, 16K05577, 16H06347, 25302008, 15K05312, 16H02742, 26400513] Funding Source: KAKEN</t>
  </si>
  <si>
    <t>Ministry of Education, Culture, Sports, Science and Technology, Japan(Ministry of Education, Culture, Sports, Science and Technology, Japan (MEXT)); Grants-in-Aid for Scientific Research(Ministry of Education, Culture, Sports, Science and Technology, Japan (MEXT)Japan Society for the Promotion of ScienceGrants-in-Aid for Scientific Research (KAKENHI))</t>
  </si>
  <si>
    <t>The fieldwork was supported by the 51st Japanese Antarctica Research Expedition (JARE) organized by the National Institute of Polar Research (NIPR), Tokyo, Japan. The members of the expedition, the field assistants in particular, are thanked for the logistics and helps during the field work in the SRM. M.S-K. acknowledges the Grant-in-aid financial support from the Ministry of Education, Culture, Sports, Science and Technology, Japan (Nos. 23340155 and 25302008).</t>
  </si>
  <si>
    <t>JAPAN ASSOC MINERALOGICAL SCIENCES</t>
  </si>
  <si>
    <t>SENDAI</t>
  </si>
  <si>
    <t>C/O GRAD SCH SCIENCES, TOHOKU UNIV, AOBA, SENDAI, 980-8578, JAPAN</t>
  </si>
  <si>
    <t>1345-6296</t>
  </si>
  <si>
    <t>1349-3825</t>
  </si>
  <si>
    <t>J MINER PETROL SCI</t>
  </si>
  <si>
    <t>J. Mineral. Petrol. Sci.</t>
  </si>
  <si>
    <t>10.2465/jmps.151029a</t>
  </si>
  <si>
    <t>Mineralogy</t>
  </si>
  <si>
    <t>DY6VN</t>
  </si>
  <si>
    <t>gold</t>
  </si>
  <si>
    <t>WOS:000385267300003</t>
  </si>
  <si>
    <t>Jenkins, A</t>
  </si>
  <si>
    <t>Jenkins, Adrian</t>
  </si>
  <si>
    <t>A Simple Model of the Ice Shelf-Ocean Boundary Layer and Current</t>
  </si>
  <si>
    <t>JOURNAL OF PHYSICAL OCEANOGRAPHY</t>
  </si>
  <si>
    <t>Geographic location; entity; Ice shelves; Circulation; Dynamics; Bottom currents; Buoyancy; Density currents; Ekman pumping; transport; Models and modeling; Single column models</t>
  </si>
  <si>
    <t>PHASE-SENSITIVE RADAR; PINE ISLAND GLACIER; BASAL MELT RATES; SLOPING BOTTOM; WATER; ANTARCTICA; DRIVEN; FLOW</t>
  </si>
  <si>
    <t>Ocean-forced basal melting has been implicated in the widespread thinning of Antarctic ice shelves, but an understanding of what determines melt rates is hampered by limited knowledge of the buoyancy- and frictionally controlled flows along the ice shelf base that regulate heat transfer from ocean to ice. In an attempt to address this deficiency, a simple model of a buoyant boundary flow, considering only the spatial dimension perpendicular to the boundary, is presented. Results indicate that two possible flow regimes exist: a weakly stratified, geostrophic cross-slope current with upslope flow within a buoyant Ekman layer or a strongly stratified, upslope current with a weak cross-slope flow. The latter regime, which is analogous to the steady solution for a katabatic wind, is most appropriate when the ice-ocean interface is steep. For the gentle slopes typical of Antarctic ice shelves, the buoyant Ekman regime, which has similarities with the case of an unstratified density current on a slope, provides some useful insight. When combined with a background flow, a range of possible near-ice current profiles emerge as a result of arrest or enhancement of the upslope Ekman transport. A simple expression for the upslope transport can be formed that is analogous to that for the wind-forced surface Ekman layer, with curvature of the ice shelf base replacing the wind stress curl in driving exchange between the Ekman layer and the geostrophic current below.</t>
  </si>
  <si>
    <t>[Jenkins, Adrian] British Antarctic Survey, Nat Environm Res Council, Cambridge CB3 0ET, England</t>
  </si>
  <si>
    <t>Jenkins, A (corresponding author), British Antarctic Survey, Madingley Rd, Cambridge CB3 0ET, England.</t>
  </si>
  <si>
    <t>ajen@bas.ac.uk</t>
  </si>
  <si>
    <t>Jenkins, Adrian/IUN-2406-2023</t>
  </si>
  <si>
    <t>Jenkins, Adrian/0000-0002-9117-0616</t>
  </si>
  <si>
    <t>NERC [bas0100033, NE/J005770/1, NE/N01801X/1] Funding Source: UKRI; Natural Environment Research Council [bas0100033, NE/J005770/1, NE/N01801X/1] Funding Source: researchfish</t>
  </si>
  <si>
    <t>NERC(UK Research &amp; Innovation (UKRI)Natural Environment Research Council (NERC)); Natural Environment Research Council(UK Research &amp; Innovation (UKRI)Natural Environment Research Council (NERC))</t>
  </si>
  <si>
    <t>AMER METEOROLOGICAL SOC</t>
  </si>
  <si>
    <t>BOSTON</t>
  </si>
  <si>
    <t>45 BEACON ST, BOSTON, MA 02108-3693 USA</t>
  </si>
  <si>
    <t>0022-3670</t>
  </si>
  <si>
    <t>1520-0485</t>
  </si>
  <si>
    <t>J PHYS OCEANOGR</t>
  </si>
  <si>
    <t>J. Phys. Oceanogr.</t>
  </si>
  <si>
    <t>10.1175/JPO-D-15-0194.1</t>
  </si>
  <si>
    <t>DN5JR</t>
  </si>
  <si>
    <t>WOS:000377103200002</t>
  </si>
  <si>
    <t>Zanardo, N; Bilgmann, K; Parra, GJ; Möller, LM</t>
  </si>
  <si>
    <t>Zanardo, N.; Bilgmann, K.; Parra, G. J.; Moller, L. M.</t>
  </si>
  <si>
    <t>Socio-genetic structure of short-beaked common dolphins in southern Australia</t>
  </si>
  <si>
    <t>JOURNAL OF ZOOLOGY</t>
  </si>
  <si>
    <t>biopsy sampling; bycatch; cetaceans; genetic relatedness; social structure; dolphins; microsatellite markers</t>
  </si>
  <si>
    <t>BOTTLE-NOSED DOLPHINS; DELPHINUS-DELPHIS; POPULATION-GENETICS; ALLIANCE FORMATION; TURSIOPS-ADUNCUS; MITOCHONDRIAL; PATTERNS; KINSHIP; DEMOGRAPHICS; RELATEDNESS</t>
  </si>
  <si>
    <t>Delphinids show a wide range of social structures. However, studies investigating the influence of genetic relatedness and maternal kinship on school associations are limited to a small number of relatively well-studied delphinid species. This study investigated biparental genetic relatedness and potential maternal kinship structure in schools of short-beaked common dolphins Delphinus delphis from southern Australian waters. A total of 128 biopsy samples were obtained from free-ranging individuals within 62 schools of common dolphins. Each sample was genotyped at 13 nuclear microsatellite markers, sequenced at 438bp of the mitochondrial DNA control region, and used for genetic sexing. Pairwise analyses within and between schools showed that the average genetic relatedness between males was greater within schools than between schools. Pairs of individuals within schools were also more likely to share mtDNA haplotypes, for both pairs of males and of females. The results suggest that both biparental relatedness and potentially maternal kinship have an impact on school associations of short-beaked common dolphins in southern Australia, similar to social traits reported of other dolphin species inhabiting shallow coastal environments. The information provided by this study contributes to our understanding of social evolution in delphinids. It also suggests that dolphin bycatch and deaths in fisheries from this region could lead to a reduction in the genetic diversity of this population, particularly if related individuals are simultaneously killed in the nets.</t>
  </si>
  <si>
    <t>[Zanardo, N.; Bilgmann, K.; Parra, G. J.; Moller, L. M.] Flinders Univ S Australia, Sch Biol Sci, Cetacean Ecol Behav &amp; Evolut Lab, Adelaide, SA 5001, Australia; [Zanardo, N.; Bilgmann, K.; Moller, L. M.] Flinders Univ S Australia, Sch Biol Sci, Mol Ecol Lab, Adelaide, SA 5001, Australia</t>
  </si>
  <si>
    <t>Flinders University South Australia; Flinders University South Australia</t>
  </si>
  <si>
    <t>Möller, LM (corresponding author), Flinders Univ S Australia, Sch Biol Sci, Cetacean Ecol Behav &amp; Evolut Lab, Adelaide, SA 5001, Australia.</t>
  </si>
  <si>
    <t>luciana.moller@flinders.edu.au</t>
  </si>
  <si>
    <t>Möller, Luciana M/A-6030-2008</t>
  </si>
  <si>
    <t>Moller, Luciana/0000-0002-7293-5847; Bilgmann, Kerstin/0000-0003-0681-2301; Parra, Guido J./0000-0002-1284-4898</t>
  </si>
  <si>
    <t>Australian Marine Mammal Centre, Australian Antarctic Division, Tasmania</t>
  </si>
  <si>
    <t>This study was conducted under approval from the South Australia Department of Environment Water and Natural Resources (DEWNR; license no. E258891), Victoria Department of Sustainability and Environment (DSE; license no. FF383247), and Ministerial Exemption from the Department of Primary Industries and Regions South Australia (PIRSA; license no. 9902536). The research was also under approval of the Flinders University Animal Welfare Committee (AWC reference no. E326). This study was partially funded by the Australian Marine Mammal Centre, Australian Antarctic Division, Tasmania. We thank the Southern Australian Marine Integrated Observing System (SAIMOS), Curt and Micheline Jenner, and the crew of both the RV Ngerin and RV Whalesong for providing logistical support for the collection of biopsy samples. Thanks also to those who helped in the field: Juliette Shrimpton, Matthias Schmidt, Lauren Holmes, David Rudd, David Donnelly and Sue Mason.</t>
  </si>
  <si>
    <t>0952-8369</t>
  </si>
  <si>
    <t>1469-7998</t>
  </si>
  <si>
    <t>J ZOOL</t>
  </si>
  <si>
    <t>J. Zool.</t>
  </si>
  <si>
    <t>10.1111/jzo.12330</t>
  </si>
  <si>
    <t>Zoology</t>
  </si>
  <si>
    <t>DP5OJ</t>
  </si>
  <si>
    <t>WOS:000378546600003</t>
  </si>
  <si>
    <t>Amaral, AR; Loo, J; Jaris, H; Olavarria, C; Thiele, D; Ensor, P; Aguayo, A; Rosenbaum, HC</t>
  </si>
  <si>
    <t>Amaral, A. R.; Loo, J.; Jaris, H.; Olavarria, C.; Thiele, D.; Ensor, P.; Aguayo, A.; Rosenbaum, H. C.</t>
  </si>
  <si>
    <t>Population genetic structure among feeding aggregations of humpback whales in the Southern Ocean</t>
  </si>
  <si>
    <t>MARINE BIOLOGY</t>
  </si>
  <si>
    <t>MITOCHONDRIAL-DNA VARIATION; WESTERN ANTARCTIC PENINSULA; MEGAPTERA-NOVAEANGLIAE; BREEDING GROUNDS; NORTH-ATLANTIC; CETACEAN POPULATIONS; HARBOR PORPOISES; PACIFIC; ABUNDANCE; DIFFERENTIATION</t>
  </si>
  <si>
    <t>Humpback whales (Megaptera novaeangliae) undertake seasonal migrations between low-latitude breeding grounds in winter and high-latitude feeding grounds in summer. In the Southern Hemisphere, seven primary breeding stocks have been identified based on tropical distribution between which there is limited gene flow. In the summer, these stocks are distributed among six Management Areas (Areas I-VI) defined by the International Whaling Commission in the Southern Ocean feeding grounds. The extent to which different breeding stocks mix on these feeding grounds, and the genetic structure and relationships between them, remains unclear. This uncertainty has led to the review and development of hypotheses to refine stock boundaries in the Antarctic. This study is the first to analyse the circumpolar genetic structure of humpback whales in their feeding aggregations. Sequences of the mitochondrial control region and microsatellite DNA variation were obtained for 399 humpback whale samples, obtained within the six Antarctic Management Areas. Results from both sets of markers were consistent in showing a complex pattern of differentiation between feeding aggregations across the feeding range. Management Area I surrounding the Antarctic Peninsula, associated with Breeding Stock G in the south-eastern Pacific Ocean, was highly differentiated from all other feeding aggregations, suggesting strong fidelity towards the Peninsula. In contrast, adjacent feeding grounds showed much lower levels or no significant differentiation, suggesting interchange of individuals and overlap of breeding stocks on their summer feeding grounds. These results have important implications from the perspective of conservation and management, as failure to recognize overlapping distributions may result in misleading estimates of abundance and growth trends of particular recovering humpback whale populations.</t>
  </si>
  <si>
    <t>[Amaral, A. R.; Loo, J.; Jaris, H.; Rosenbaum, H. C.] Amer Museum Nat Hist, Sackler Inst Comparat Genom, 79th St &amp; Cent Pk West, New York, NY 10024 USA; [Amaral, A. R.] Univ Lisbon, Fac Ciencias, Ctr Ecol Evolut &amp; Environm Changes, P-1749016 Lisbon, Portugal; [Olavarria, C.] Fdn CEQUA, Punta Arenas, Chile; [Olavarria, C.] Univ Auckland, Sch Biol Sci, Auckland 1, New Zealand; [Thiele, D.] Australian Natl Univ, Fenner Sch Environm &amp; Soc, Linnaeus Way, Canberra, ACT 0200, Australia; [Ensor, P.] 33 Governors Bay Teddington Rd,RD1, Lyttelton 8971, New Zealand; [Aguayo, A.] Inst Antartico Chileno, Plaza Munoz Gamero 1055, Punta Arenas, Chile; [Rosenbaum, H. C.] Wildlife Conservat Soc, Ocean Giants Program, Global Conservat, 2300 Southern Blvd, Bronx, NY 10460 USA; [Olavarria, C.] POB 422, Nelson 7040, New Zealand</t>
  </si>
  <si>
    <t>American Museum of Natural History (AMNH); Universidade de Lisboa; University of Auckland; Australian National University; Wildlife Conservation Society</t>
  </si>
  <si>
    <t>Rosenbaum, HC (corresponding author), Amer Museum Nat Hist, Sackler Inst Comparat Genom, 79th St &amp; Cent Pk West, New York, NY 10024 USA.</t>
  </si>
  <si>
    <t>hrosenbaum@wcs.org</t>
  </si>
  <si>
    <t>Amaral, Ana/D-1060-2010; Amaral, Ana Rita/ABG-4271-2021</t>
  </si>
  <si>
    <t>Amaral, Ana/0000-0002-0595-0086; Amaral, Ana Rita/0000-0002-0595-0086</t>
  </si>
  <si>
    <t>INACH; Marsden Fund grant; University of Auckland International Doctoral Scholarship; Fundacion CEQUA; Portuguese Science Foundation [SFRH/BPD/79002/2011]; Fundação para a Ciência e a Tecnologia [SFRH/BPD/79002/2011] Funding Source: FCT</t>
  </si>
  <si>
    <t>INACH; Marsden Fund grant(Royal Society of New ZealandMarsden Fund (NZ)); University of Auckland International Doctoral Scholarship; Fundacion CEQUA(Comision Nacional de Investigacion Cientifica y Tecnologica (CONICYT)CONICYT Regional/CEQUA); Portuguese Science Foundation(Fundacao para a Ciencia e a Tecnologia (FCT)); Fundação para a Ciência e a Tecnologia(Fundacao para a Ciencia e a Tecnologia (FCT))</t>
  </si>
  <si>
    <t>The IWC Secretariat kindly made available humpback whale biopsy samples (from the IDCR and SOWER cruises). Similarly, the Southwest Fisheries Science Center, USA, made available samples from the Southern Ocean GLOBEC cruises and also the Chilean Antarctic Institute (INAC) provided access to samples from the Chilean cruises. We thank K.P. Findlay and P.B. Best for helping to develop the original request to access the IDCR SOWER samples. We also thank INACH for providing funding and support in the AP surveys. We thank A. Larrea, L. Medrano, E. Perez and P. Acuna for field assistance. We thank M. Leslie, C. Pomilla, J. Murrell, D. Steel, A. Hickey and S. Lavery for assistance in the laboratory. We also thank F. Kershaw for the map presented in Fig. 1. Laboratory analysis was supported by a Marsden Fund grant to C.S. Baker for INAC and GLOBEC samples; all other laboratory analyses were supported by grants to HCR. C. Olavarria was supported by a University of Auckland International Doctoral Scholarship and a scholarship from Fundacion CEQUA. A.R. Amaral is supported by a Grant (SFRH/BPD/79002/2011) from the Portuguese Science Foundation.</t>
  </si>
  <si>
    <t>SPRINGER HEIDELBERG</t>
  </si>
  <si>
    <t>HEIDELBERG</t>
  </si>
  <si>
    <t>TIERGARTENSTRASSE 17, D-69121 HEIDELBERG, GERMANY</t>
  </si>
  <si>
    <t>0025-3162</t>
  </si>
  <si>
    <t>1432-1793</t>
  </si>
  <si>
    <t>MAR BIOL</t>
  </si>
  <si>
    <t>Mar. Biol.</t>
  </si>
  <si>
    <t>10.1007/s00227-016-2904-0</t>
  </si>
  <si>
    <t>DQ1BQ</t>
  </si>
  <si>
    <t>WOS:000378936200004</t>
  </si>
  <si>
    <t>Clark, MS; Power, DM; Sundell, K</t>
  </si>
  <si>
    <t>Clark, Melody S.; Power, Deborah M.; Sundell, Kristina</t>
  </si>
  <si>
    <t>Cells to shells: The genomics of mollusc exoskeletons</t>
  </si>
  <si>
    <t>MARINE GENOMICS</t>
  </si>
  <si>
    <t>Editorial Material</t>
  </si>
  <si>
    <t>PHENOTYPIC PLASTICITY; OCEAN ACIDIFICATION; PREDATION; OYSTER; STRESS</t>
  </si>
  <si>
    <t>[Clark, Melody S.] British Antarctic Survey, Nat Environm Res Council, Madingley Rd, Cambridge CB3 0ET, England; [Power, Deborah M.] Univ Algarve, Ctr Marine Sci, Campus Gambelas, P-8005139 Faro, Portugal; [Sundell, Kristina] Univ Gothenburg, Swedish Maticulture Res Ctr, Sea &amp; Soc, S-40530 Gothenburg, Sweden</t>
  </si>
  <si>
    <t>UK Research &amp; Innovation (UKRI); Natural Environment Research Council (NERC); NERC British Antarctic Survey; Universidade do Algarve; University of Gothenburg</t>
  </si>
  <si>
    <t>Clark, MS (corresponding author), British Antarctic Survey, Nat Environm Res Council, Madingley Rd, Cambridge CB3 0ET, England.</t>
  </si>
  <si>
    <t>mscl@bas.ac.uk</t>
  </si>
  <si>
    <t>Power, Deborah M/D-3333-2011; Sundell, Kristina/F-8884-2016; Clark, Melody/D-7371-2014</t>
  </si>
  <si>
    <t>Power, Deborah M/0000-0003-1366-0246; Sundell, Kristina/0000-0002-7643-2083; Clark, Melody/0000-0002-3442-3824</t>
  </si>
  <si>
    <t>NERC [bas0100036] Funding Source: UKRI; Natural Environment Research Council [bas0100036] Funding Source: researchfish</t>
  </si>
  <si>
    <t>ELSEVIER SCIENCE BV</t>
  </si>
  <si>
    <t>AMSTERDAM</t>
  </si>
  <si>
    <t>PO BOX 211, 1000 AE AMSTERDAM, NETHERLANDS</t>
  </si>
  <si>
    <t>1874-7787</t>
  </si>
  <si>
    <t>1876-7478</t>
  </si>
  <si>
    <t>MAR GENOM</t>
  </si>
  <si>
    <t>Mar. Genom.</t>
  </si>
  <si>
    <t>SI</t>
  </si>
  <si>
    <t>10.1016/j.margen.2016.04.011</t>
  </si>
  <si>
    <t>Genetics &amp; Heredity; Marine &amp; Freshwater Biology</t>
  </si>
  <si>
    <t>DQ7GY</t>
  </si>
  <si>
    <t>WOS:000379376100001</t>
  </si>
  <si>
    <t>Yarra, T; Gharbi, K; Blaxter, M; Peck, LS; Clark, MS</t>
  </si>
  <si>
    <t>Yarra, Tejaswi; Gharbi, Karim; Blaxter, Mark; Peck, Lloyd S.; Clark, Melody S.</t>
  </si>
  <si>
    <t>Characterization of the mantle transcriptome in bivalves: Pecten maximus, Mytilus edulis and Crassostrea gigas</t>
  </si>
  <si>
    <t>Molluscs; Biomineralization; Shells; Shell formation</t>
  </si>
  <si>
    <t>RNA-SEQ DATA; CARBONIC-ANHYDRASE; REFERENCE GENOME; SHELL; PROTEINS; SEQUENCE; BIOMINERALIZATION; GENES; ALIGNMENT; MOLLUSCA</t>
  </si>
  <si>
    <t>The calcareous shells secreted by bivalve molluscs display diverse and species specific structural compositions, which indicates possible divergent biomineralization processes. Thus, studying multiple mollusc species will provide a more comprehensive understanding of shell formation. Here, the transcriptomes of the mantle tissues responsible for shell deposition were characterized in three commercially relevant bivalve species. Using high throughput sequencing and bioinformatics tools, de novo transcriptome assemblies of mantle tissues were generated for the mussel Mytilus edulis, the oyster Crassostrea gigas and the scallop Pecten maximus. These transcriptomes were annotated, and contigs with similarity to proteins known to have shell formation roles in other species were identified. Comparison of the shell formation specific proteins in the three bivalves indicates the possibility of species specific shell proteins. (C) 2016 Elsevier B.V. All rights reserved.</t>
  </si>
  <si>
    <t>[Yarra, Tejaswi; Gharbi, Karim; Blaxter, Mark] Univ Edinburgh, Inst Evolutionary Biol, Ashworth Labs, Charlotte Auerbach Rd, Edinburgh EH9 3FL, Midlothian, Scotland; [Yarra, Tejaswi; Peck, Lloyd S.; Clark, Melody S.] British Antarctic Survey, Nat Environm Res Council, Madingley Rd, Cambridge CB3 0ET, England</t>
  </si>
  <si>
    <t>University of Edinburgh; UK Research &amp; Innovation (UKRI); Natural Environment Research Council (NERC); NERC British Antarctic Survey</t>
  </si>
  <si>
    <t>Yarra, T (corresponding author), British Antarctic Survey, Nat Environm Res Council, Madingley Rd, Cambridge CB3 0ET, England.</t>
  </si>
  <si>
    <t>tejra@bas.ac.uk</t>
  </si>
  <si>
    <t>Blaxter, Mark/O-2535-2019; Gharbi, Karim/C-5771-2012; Blaxter, Mark/B-4113-2010; Clark, Melody/D-7371-2014</t>
  </si>
  <si>
    <t>Gharbi, Karim/0000-0003-1092-4488; Blaxter, Mark/0000-0003-2861-949X; Clark, Melody/0000-0002-3442-3824</t>
  </si>
  <si>
    <t>Marie Curie Innovative Training Networks (ITN) [605051]; Biotechnology and Biological Sciences Research Council [BB/F021135/1] Funding Source: researchfish; Natural Environment Research Council [bas0100036, NE/L01288X/1] Funding Source: researchfish; BBSRC [BB/F021135/1] Funding Source: UKRI; NERC [bas0100036, NE/L01288X/1] Funding Source: UKRI</t>
  </si>
  <si>
    <t>Marie Curie Innovative Training Networks (ITN); Biotechnology and Biological Sciences Research Council(UK Research &amp; Innovation (UKRI)Biotechnology and Biological Sciences Research Council (BBSRC)); Natural Environment Research Council(UK Research &amp; Innovation (UKRI)Natural Environment Research Council (NERC)); BBSRC(UK Research &amp; Innovation (UKRI)Biotechnology and Biological Sciences Research Council (BBSRC)); NERC(UK Research &amp; Innovation (UKRI)Natural Environment Research Council (NERC))</t>
  </si>
  <si>
    <t>Funding was received from Marie Curie Innovative Training Networks (ITN) (Grant agreement 605051). We would like to thank Gordon Goldsworthy from Loch Fyne Sea Farms for animal collection, Vicky Sleight from BAS for helping with experiment setup, and Kim Last, Christine Beveridge and Kati Michalek from SAMS for aquaria setup and animal husbandry. Sequencing was performed by Edinburgh Genomics, and we thank the laboratory and bioinformatics teams for support.</t>
  </si>
  <si>
    <t>10.1016/j.margen.2016.04.003</t>
  </si>
  <si>
    <t>WOS:000379376100003</t>
  </si>
  <si>
    <t>Bjärnmark, NA; Yarra, T; Churcher, AM; Felix, RC; Clark, MS; Power, DM</t>
  </si>
  <si>
    <t>Bjarnmark, Nadege A.; Yarra, T.; Churcher, A. M.; Felix, R. C.; Clark, M. S.; Power, D. M.</t>
  </si>
  <si>
    <t>Transcriptomics provides insight into Mytilus galloprovincialis (Mollusca: Bivalvia) mantle function and its role in biomineralisation</t>
  </si>
  <si>
    <t>RNA-seq; Gene expression; Multi-functional; Pfam; Trinity</t>
  </si>
  <si>
    <t>SHELL MATRIX PROTEINS; RNA-SEQ DATA; PEARL OYSTER; DIVERSITY; GENOME; NACRE; CLONING; PRISM; LAYER</t>
  </si>
  <si>
    <t>The mantle is an organ common to all molluscs and is at the forefront of the biomineralisation process. The present study used the Mediterranean mussel (Mytilus galloprovincialis) as a model species to investigate the structural and functional role of the mantle in shell formation. The transcriptomes of three regions of the mantle edge (umbo to posterior edge) were sequenced using Illumina technology which yielded a total of 61,674,325 reads after adapter trimming and filtering. The raw reads assembled into 179,879 transcripts with an N50 value of 1086 bp.A total of 1363 transcripts (321, 223 and 816 in regions 1, 2 and 3, respectively) that differed in abundance in the three mantle regions were identified and putative function was assigned to 54% using BLAST sequence similarity searches (cut-off less than 1 e(-10)). Morphological differences detected by histology of the three mantle regions was linked to functional heterogeneity by selecting the top five most abundant Pfam domains in the annotated 1363 differentially abundant transcripts across the three mantle regions. Calcium binding domains dominated region two (middle segment of the mantle edge). Candidate biomineralisation genes were mined and tested by qPCR. This revealed that Flp-like, a penicillin binding protein potentially involved in shell matrix maintenance of the Pacific oyster (Crassostrea gigas), had significantly higher expression in the posterior end of the mantle edge (region one). Our findings are intriguing as they indicate that the mantle edge appears to be a heterogeneous tissue, displaying structural and functional bias. (C) 2016 Elsevier B.V. All rights reserved.</t>
  </si>
  <si>
    <t>[Bjarnmark, Nadege A.; Churcher, A. M.; Felix, R. C.; Power, D. M.] Univ Algarve, Ctr Marine Sci, Comparat Endocrinol &amp; Integrat Biol, Gambelas Campus, P-8005139 Faro, Portugal; [Yarra, T.; Clark, M. S.] British Antarctic Survey, NERC, Madingley Rd, Cambridge CB3 0ET, England; [Yarra, T.] Univ Edinburgh, Inst Evolutionary Biol, Ashworth Labs, Charlotte Auerbach Rd, Edinburgh EH9 3FL, Midlothian, Scotland</t>
  </si>
  <si>
    <t>Universidade do Algarve; UK Research &amp; Innovation (UKRI); Natural Environment Research Council (NERC); NERC British Antarctic Survey; University of Edinburgh</t>
  </si>
  <si>
    <t>Bjärnmark, NA; Power, DM (corresponding author), Univ Algarve, Ctr Marine Sci, Comparat Endocrinol &amp; Integrat Biol, Gambelas Campus, P-8005139 Faro, Portugal.</t>
  </si>
  <si>
    <t>nallan@ualg.pt; dpower@ualg.pt</t>
  </si>
  <si>
    <t>Churcher, Allison M/M-6169-2013; Power, Deborah M/D-3333-2011; Félix, Rute/AAC-2912-2020; Clark, Melody/D-7371-2014</t>
  </si>
  <si>
    <t>Power, Deborah M/0000-0003-1366-0246; Félix, Rute/0000-0002-4144-3452; Clark, Melody/0000-0002-3442-3824</t>
  </si>
  <si>
    <t>European Regional Development Fund (ERDF) COMPETE; Portuguese funds through Foundation for Science and Technology (FCT) [UID/Multi/04326/2013]; CACHE a Marie Curie ITN [PITN-GA-2013-605051]; FCT [SFRH/BDP/8911/2012, SFRH/BPD/85408/2012]; NERC [bas0100036] Funding Source: UKRI; Natural Environment Research Council [bas0100036] Funding Source: researchfish</t>
  </si>
  <si>
    <t>European Regional Development Fund (ERDF) COMPETE(European Union (EU)); Portuguese funds through Foundation for Science and Technology (FCT); CACHE a Marie Curie ITN; FCT(Fundacao para a Ciencia e a Tecnologia (FCT)); NERC(UK Research &amp; Innovation (UKRI)Natural Environment Research Council (NERC)); Natural Environment Research Council(UK Research &amp; Innovation (UKRI)Natural Environment Research Council (NERC))</t>
  </si>
  <si>
    <t>This study was financed by the European Regional Development Fund (ERDF) COMPETE and Portuguese funds through Foundation for Science and Technology (FCT, project UID/Multi/04326/2013) and CACHE a Marie Curie ITN (PITN-GA-2013-605051). RCF is in receipt of a FCT Postdoctoral grant SFRH/BDP/8911/2012 and AMC is in receipt of the FCT fellowship (SFRH/BPD/85408/2012). The authors would also like to thank Joao Cardoso for help with sampling, Rute Martins and Anna-Patricia Mateus for help with molecular biology, and Shanghai Ocean University Sequencing Service for the sequencing.</t>
  </si>
  <si>
    <t>ELSEVIER</t>
  </si>
  <si>
    <t>RADARWEG 29, 1043 NX AMSTERDAM, NETHERLANDS</t>
  </si>
  <si>
    <t>10.1016/j.margen.2016.03.004</t>
  </si>
  <si>
    <t>WOS:000379376100006</t>
  </si>
  <si>
    <t>Sleight, VA; Thorne, MAS; Peck, LS; Arivalagan, J; Berland, S; Marie, A; Clark, MS</t>
  </si>
  <si>
    <t>Sleight, Victoria A.; Thorne, Michael A. S.; Peck, Lloyd S.; Arivalagan, Jaison; Berland, Sophie; Marie, Arul; Clark, Melody S.</t>
  </si>
  <si>
    <t>Characterisation of the mantle transcriptome and biomineralisation genes in the blunt-gaper clam, Mya truncata</t>
  </si>
  <si>
    <t>Gene expression; Calcification; Phylogenetics; Bioinformatics; Shell</t>
  </si>
  <si>
    <t>LATERNULA-ELLIPTICA; ANTARCTIC BIVALVE; MATRIX PROTEIN; ORGANIC MATRIX; SHELL; EVOLUTION; EXPRESSION; MOLLUSKS; REVEALS; TISSUE</t>
  </si>
  <si>
    <t>Members of the Myidae family are ecologically and economically important, but there is currently very little molecular data on these species. The present study sequenced and assembled the mantle transcriptome of Mya truncata from the North West coast of Scotland and identified candidate biomineralisation genes. RNA-Seq reads were assembled to create 20,106 contigs in a de novo transciptome, 18.81% of which were assigned putative functions using BLAST sequence similarity searching (cuttoff E-value 1 E - 10). The most highly expressed genes were compared to the Antarctic clam (Laternula elliptica) and showed that many of the dominant biological functions (muscle contraction, energy production, biomineralisation) in the mantle were conserved. There were however, differences in the constitutive expression of heat shock proteins, which were possibly due to the M. truncata sampling location being at a relatively low latitude, and hence relatively warm, in terms of the global distribution of the species. Phylogenetic analyses of the Tyrosinase proteins from M. truncata showed a gene expansion which was absent in L. elliptica. The tissue distribution expression patterns of putative biomineralisation genes were investigated using quantitative PCR, all genes showed a mantle specific expression pattern supporting their hypothesised role in shell secretion. The present study provides some preliminary insights into how clams from different environments - temperate versus polar - build their shells. In addition, the transcriptome data provides a valuable resource for future comparative studies investigating biomineralisation. (C) 2016 The Authors. Published by Elsevier B.V.</t>
  </si>
  <si>
    <t>[Sleight, Victoria A.; Thorne, Michael A. S.; Peck, Lloyd S.; Clark, Melody S.] British Antarctic Survey, NERC, Madingley Rd, Cambridge CB3 0ET, England; [Arivalagan, Jaison; Berland, Sophie] Univ Paris 04, Museum Natl Hist Nat, UMR CNRS MNHN Mol Commun &amp; Adaptat Microorganisme, F-75005 Paris, France; [Arivalagan, Jaison; Marie, Arul] Univ Paris 04, Museum Natl Hist Nat, UMR CNRS MNHN UPMC IRD Biol Organismes Aquat &amp; Ec, F-75005 Paris, France</t>
  </si>
  <si>
    <t>UK Research &amp; Innovation (UKRI); Natural Environment Research Council (NERC); NERC British Antarctic Survey; Museum National d'Histoire Naturelle (MNHN); Sorbonne Universite; Sorbonne Universite; Museum National d'Histoire Naturelle (MNHN)</t>
  </si>
  <si>
    <t>Sleight, VA (corresponding author), British Antarctic Survey, NERC, Madingley Rd, Cambridge CB3 0ET, England.</t>
  </si>
  <si>
    <t>viceig15@bas.ac.uk</t>
  </si>
  <si>
    <t>Sleight, Victoria A./AHE-7337-2022; Arivalagan, Jaison/ABB-6738-2021; MARIE, Arul/JXL-6199-2024; Clark, Melody/D-7371-2014</t>
  </si>
  <si>
    <t>Sleight, Victoria A./0000-0003-0550-8500; Arivalagan, Jaison/0000-0001-8426-5273; MARIE, Arul/0000-0003-4104-140X; Thorne, Michael/0000-0001-7759-612X; Clark, Melody/0000-0002-3442-3824</t>
  </si>
  <si>
    <t>NERC DTG studentship [NE/J500173/1]; NERC core funding; European Union [605051]; Natural Environment Research Council [bas0100036, 1384018, dml011000] Funding Source: researchfish; NERC [bas0100036, dml011000] Funding Source: UKRI</t>
  </si>
  <si>
    <t>NERC DTG studentship; NERC core funding; European Union(European Union (EU)); Natural Environment Research Council(UK Research &amp; Innovation (UKRI)Natural Environment Research Council (NERC)); NERC(UK Research &amp; Innovation (UKRI)Natural Environment Research Council (NERC))</t>
  </si>
  <si>
    <t>VAS was funded by a NERC DTG studentship (Project Reference: NE/J500173/1) to the British Antarctic Survey. MSC, MAST and LSP were financed by NERC core funding to the British Antarctic Survey, Polar Sciences for Planet Earth Programme. JA was funded by the European Union Seventh Framework Programme under grant agreement no. 605051. We would like to thank Laura J. Weir for technical assistance, Elizabeth M. Harper for advice on shell microstructure and Felipe Aguilera for providing a molluscan Tyrosinase alignment. We thank the dive team at the NERC National Centre for Scientific Diving, Oban for animal collection and Dr Kim Last at the Scottish Association for Marine Science for overseeing animal husbandry.</t>
  </si>
  <si>
    <t>10.1016/j.margen.2016.01.003</t>
  </si>
  <si>
    <t>hybrid, Green Accepted</t>
  </si>
  <si>
    <t>WOS:000379376100007</t>
  </si>
  <si>
    <t>Arivalagan, J; Marie, B; Sleight, VA; Clark, MS; Berland, S; Marie, A</t>
  </si>
  <si>
    <t>Arivalagan, Jaison; Marie, Benjamin; Sleight, Victoria A.; Clark, Melody S.; Berland, Sophie; Marie, Arul</t>
  </si>
  <si>
    <t>Shell matrix proteins of the clam, Mya truncata: Roles beyond shell formation through proteomic study</t>
  </si>
  <si>
    <t>Mya truncata; Shell matrix proteins; Biomineralization</t>
  </si>
  <si>
    <t>BINDING-PROTEIN; IN-DEPTH; NACRE; CHITIN; DOMAIN; ALPHA(2)-MACROGLOBULIN; SEQUENCES; LAYERS; PRISM</t>
  </si>
  <si>
    <t>Mya truncata, a soft shell clam, is presented as a new model to study biomineralization through a proteomics approach. In this study, the shell and mantle tissue were analysed in order to retrieve knowledge about the secretion of shell matrix proteins (SMPs). Out of 67 and 127 shell and mantle proteins respectively, 16 were found in both shell and mantle. Bioinformatic analysis of SMP sequences for domain prediction revealed the presence of several new domains such as fucolectin tachylectin-4 pentraxin-1 (FTP), scavenger receptor, alpha-2-macroglobulin (alpha 2 M), lipocalin and myosin tail along with previously reported SMP domains such as chitinase, carbonic anhydrase, tyrosinase, sushi, and chitin binding. Interestingly, these newly predicted domains are attributed with molecular functions other than biomineralization. These findings suggest that shells may not only act as protective armour from predatory action, but could also actively be related to other functions such as immunity. In this context, the roles of SMPs in biomineralization need to be looked in a new perspective. (C) 2016 Elsevier B.V. All rights reserved.</t>
  </si>
  <si>
    <t>[Arivalagan, Jaison; Marie, Benjamin; Marie, Arul] Univ Paris 04, Museum Natl Hist Nat, UMR CNRS MNHN Mol Commun &amp; Adaptat Microorganisme, Paris, France; [Arivalagan, Jaison; Berland, Sophie] Univ Paris 04, Museum Natl Hist Nat, UMR CNRS MNHN UPMC IRD Biol Organismes Aquat &amp; Ec, Paris, France; [Sleight, Victoria A.; Clark, Melody S.] British Antarctic Survey, NERC, Madingley Rd, Cambridge CB3 0ET, England</t>
  </si>
  <si>
    <t>Sorbonne Universite; Museum National d'Histoire Naturelle (MNHN); Sorbonne Universite; Museum National d'Histoire Naturelle (MNHN); UK Research &amp; Innovation (UKRI); Natural Environment Research Council (NERC); NERC British Antarctic Survey</t>
  </si>
  <si>
    <t>Marie, A (corresponding author), Univ Paris 04, Museum Natl Hist Nat, UMR CNRS MNHN Mol Commun &amp; Adaptat Microorganisme, Paris, France.</t>
  </si>
  <si>
    <t>Arivalagan, Jaison/ABB-6738-2021; Sleight, Victoria A./AHE-7337-2022; MARIE, Arul/JXL-6199-2024; Marie, Benjamin/A-3930-2012; Clark, Melody/D-7371-2014</t>
  </si>
  <si>
    <t>Arivalagan, Jaison/0000-0001-8426-5273; Sleight, Victoria A./0000-0003-0550-8500; MARIE, Arul/0000-0003-4104-140X; Marie, Benjamin/0000-0001-9880-5541; Clark, Melody/0000-0002-3442-3824</t>
  </si>
  <si>
    <t>European Union [605051]; Natural Environment Research Council [1384018, bas0100036] Funding Source: researchfish; NERC [bas0100036] Funding Source: UKRI</t>
  </si>
  <si>
    <t>European Union(European Union (EU)); Natural Environment Research Council(UK Research &amp; Innovation (UKRI)Natural Environment Research Council (NERC)); NERC(UK Research &amp; Innovation (UKRI)Natural Environment Research Council (NERC))</t>
  </si>
  <si>
    <t>This research received funding from the European Union Seventh Framework Programme under grant agreement no. 605051. G. Bolbach and L. Matheron (IBPS FR3631, UPMC, Paris) are kindly acknowledged for proteomics analysis and useful discussions.</t>
  </si>
  <si>
    <t>10.1016/j.margen.2016.03.005</t>
  </si>
  <si>
    <t>WOS:000379376100009</t>
  </si>
  <si>
    <t>Cavanagh, RD; Hill, SL; Knowland, CA; Grant, SM</t>
  </si>
  <si>
    <t>Cavanagh, Rachel D.; Hill, Simeon L.; Knowland, Cheryl A.; Grant, Susie M.</t>
  </si>
  <si>
    <t>Stakeholder perspectives on ecosystem-based management of the Antarctic krill fishery</t>
  </si>
  <si>
    <t>MARINE POLICY</t>
  </si>
  <si>
    <t>Ecosystem-based management; Stakeholder engagement; Southern Ocean; Antarctic krill fishery; Q methodology</t>
  </si>
  <si>
    <t>CONSERVATION; PEOPLE; HEALTH; IMPLEMENTATION; FUTURE; LIFE</t>
  </si>
  <si>
    <t>Information about stakeholder aspirations is a fundamental requirement for ecosystem-based management, but the detail is often elusive, and debates may focus on simplistic opposing positions. This is exemplified by the Antarctic krill fishery, which, despite a current operational catch limit equivalent to just 1% of the estimated biomass and actual annual catches much lower than this, is the subject of a high profile debate framed around ambiguous concepts such as sustainability. Q methodology was applied to explore the detailed views of representatives of three stakeholder sectors (the fishing industry, conservation-focused non-governmental organisations (NGOs), and scientists from seven countries involved in research on the krill-based ecosystem). The analysis distinguished two clear groupings, one of which included the views of all NGO participants while the other included the views of fishing industry participants and a subset of the scientists. Key differences between the groups included the priority given to different management measures, and to continued commercial fishing. However, the results also revealed considerable overlap between viewpoints. Both groups prioritised the maintenance of ecosystem health and recognised the importance of defining management objectives. Also, neither group prioritised a decrease in catch limits. This suggests that most participants in the study agree that management should improve but do not perceive a major problem in the ecosystem's ability to support current catch levels. Cooperation to identify shared management objectives based on stakeholder aspirations for the ecosystem might enhance progress, whereas polarised discussions about preferred management measures or ambiguous concepts are likely to impede progress. (C) 2016 The Authors. Published by Elsevier Ltd.</t>
  </si>
  <si>
    <t>[Cavanagh, Rachel D.; Hill, Simeon L.; Knowland, Cheryl A.; Grant, Susie M.] British Antarctic Survey, Madingley Rd, Cambridge CB3 0ET, England</t>
  </si>
  <si>
    <t>Cavanagh, RD (corresponding author), British Antarctic Survey, Madingley Rd, Cambridge CB3 0ET, England.</t>
  </si>
  <si>
    <t>rcav@bas.ac.uk</t>
  </si>
  <si>
    <t>Simeon, Hill L/B-2307-2008</t>
  </si>
  <si>
    <t>Integrating Climate and Ecosystem Dynamics in the Southern Ocean (ICED) programme under a Natural Environment Research Council (NERC) International Opportunities Fund [NE/I029943/1]; NERC; WWF-UK; Natural Environment Research Council [bas0100035, NE/I029943/1] Funding Source: researchfish; NERC [bas0100035, NE/I029943/1] Funding Source: UKRI</t>
  </si>
  <si>
    <t>Integrating Climate and Ecosystem Dynamics in the Southern Ocean (ICED) programme under a Natural Environment Research Council (NERC) International Opportunities Fund; NERC(UK Research &amp; Innovation (UKRI)Natural Environment Research Council (NERC)); WWF-UK; Natural Environment Research Council(UK Research &amp; Innovation (UKRI)Natural Environment Research Council (NERC)); NERC(UK Research &amp; Innovation (UKRI)Natural Environment Research Council (NERC))</t>
  </si>
  <si>
    <t>The authors would like to thank all the participants and organisers of the workshop Understanding the objectives for krill fishing and conservation in the Scotia Sea and Antarctic Peninsula region, especially R. Downie, L. Heaps and S. Smith. The authors would also like to thank R. Downie and E. Murphy for helpful comments on the manuscript. The study was supported by the Integrating Climate and Ecosystem Dynamics in the Southern Ocean (ICED) programme under a Natural Environment Research Council (NERC) International Opportunities Fund Grant NE/I029943/1, together with NERC core funding to British Antarctic Survey (BAS), and additional support and hosting of the workshop provided by WWF-UK. J. Silk provided the map.</t>
  </si>
  <si>
    <t>ELSEVIER SCI LTD</t>
  </si>
  <si>
    <t>OXFORD</t>
  </si>
  <si>
    <t>THE BOULEVARD, LANGFORD LANE, KIDLINGTON, OXFORD OX5 1GB, OXON, ENGLAND</t>
  </si>
  <si>
    <t>0308-597X</t>
  </si>
  <si>
    <t>1872-9460</t>
  </si>
  <si>
    <t>MAR POLICY</t>
  </si>
  <si>
    <t>Mar. Pol.</t>
  </si>
  <si>
    <t>10.1016/j.marpol.2016.03.006</t>
  </si>
  <si>
    <t>Environmental Studies; International Relations</t>
  </si>
  <si>
    <t>Social Science Citation Index (SSCI)</t>
  </si>
  <si>
    <t>Environmental Sciences &amp; Ecology; International Relations</t>
  </si>
  <si>
    <t>DL3FJ</t>
  </si>
  <si>
    <t>WOS:000375519300023</t>
  </si>
  <si>
    <t>Lescroël, A; Mathevet, R; Péron, C; Authier, M; Provost, P; Takahashi, A; Grémillet, D</t>
  </si>
  <si>
    <t>Lescroel, Amelie; Mathevet, Raphael; Peron, Clara; Authier, Matthieu; Provost, Pascal; Takahashi, Akinori; Gremillet, David</t>
  </si>
  <si>
    <t>Seeing the ocean through the eyes of seabirds: A new path for marine conservation?</t>
  </si>
  <si>
    <t>Biologging; Animal-borne imaging; Surrogate species; Public participation; Marine protected areas; Social-ecological systems</t>
  </si>
  <si>
    <t>PROTECTED AREAS; TROPHIC CASCADES; BIODIVERSITY CONSERVATION; PUBLIC-PARTICIPATION; PREDATOR DIVERSITY; PLASTIC DEBRIS; TOP PREDATORS; GPS-TRACKING; FISHERIES; FISH</t>
  </si>
  <si>
    <t>Seeing the ocean through the eyes of seabirds could help meet the challenges of managing common-pool marine resources both in protected and unprotected areas. First, seabirds are top-predators, exposed to all threats affecting the oceans, and this makes them ideal sentinel organisms for monitoring changes within marine ecosystems. Second, seabirds cross both ecological and political boundaries, and following their movements should help making interdependencies within and between marine ecosystems more visible. Third, seabirds are conspicuous and often charismatic animals, which interact differently with different groups of stakeholders and provide the opportunity to acknowledge and discuss each other's values and interests. In this paper, we present these research avenues using a seabirds' view, for tackling marine conservation and management issues, and we give operational examples of implementation based on our work in the English Channel. (C) 2016 Elsevier Ltd. All rights reserved.</t>
  </si>
  <si>
    <t>[Lescroel, Amelie; Mathevet, Raphael; Gremillet, David] Univ Montpellier, Ctr Ecol Fonct &amp; Evolut, UMR 5175, CNRS,Univ Paul Valery Montpellier,EPHE, F-34059 Montpellier, France; [Peron, Clara] Univ Tasmania, IMAS, Australian Antarctic Div, Hobart, Tas, Australia; [Authier, Matthieu] Univ La Rochelle, Observ PELAGIS CRMM, UMS 3462, CNRS, La Rochelle, France; [Provost, Pascal] Reserve Nat Natl Sept Iles, LPO, Pleumeur Bodou, France; [Takahashi, Akinori] Natl Inst Polar Res, Tokyo, Japan; [Gremillet, David] Univ Cape Town, Fitzpatrick Inst, DST NRF Ctr Excellence, ZA-7701 Rondebosch, South Africa</t>
  </si>
  <si>
    <t>Universite PSL; Ecole Pratique des Hautes Etudes (EPHE); Institut Agro; Montpellier SupAgro; CIRAD; Centre National de la Recherche Scientifique (CNRS); Institut de Recherche pour le Developpement (IRD); Universite Paul-Valery; Universite de Montpellier; CNRS - Institute of Ecology &amp; Environment (INEE); University of Tasmania; Australian Antarctic Division; Centre National de la Recherche Scientifique (CNRS); CNRS - Institute of Ecology &amp; Environment (INEE); La Rochelle Universite; Research Organization of Information &amp; Systems (ROIS); National Institute of Polar Research (NIPR) - Japan; University of Cape Town; National Research Foundation - South Africa</t>
  </si>
  <si>
    <t>Lescroël, A (corresponding author), Univ Montpellier, Ctr Ecol Fonct &amp; Evolut, UMR 5175, CNRS,Univ Paul Valery Montpellier,EPHE, F-34059 Montpellier, France.</t>
  </si>
  <si>
    <t>amelie.lescroel@cefe.cnrs.fr</t>
  </si>
  <si>
    <t>; Gremillet, David/W-1946-2018</t>
  </si>
  <si>
    <t>Mathevet, Raphael/0000-0002-1778-1080; Takahashi, Akinori/0000-0002-9868-0408; Authier, Matthieu/0000-0001-7394-1993; Gremillet, David/0000-0002-7711-9398</t>
  </si>
  <si>
    <t>Fondation de France [00030728]</t>
  </si>
  <si>
    <t>Fondation de France(Fondation de France)</t>
  </si>
  <si>
    <t>We warmly thank the 'Fondation de France' (Grant 00030728) for providing financial support as well as a forum for discussion among environmental managers and researchers working on coastal areas. Many thanks to Carole Vuillot for stimulating discussions about social representations and participative modeling. Thanks to the 'Agence des Aires Marines Protegees' for providing GIS layers of areas of conservation interest and wind farm, projects. AL also wishes to thank her Crozier team for never ending motivation and inspiration. Special thanks to Dennis Jongsomjit for improving the English and providing useful comments on the structure of the manuscript.</t>
  </si>
  <si>
    <t>10.1016/j.marpol.2016.02.015</t>
  </si>
  <si>
    <t>WOS:000375519300024</t>
  </si>
  <si>
    <t>Genge, MJ</t>
  </si>
  <si>
    <t>Genge, Matthew J.</t>
  </si>
  <si>
    <t>The origins of I-type spherules and the atmospheric entry of iron micrometeoroids</t>
  </si>
  <si>
    <t>METEORITICS &amp; PLANETARY SCIENCE</t>
  </si>
  <si>
    <t>PLATINUM-GROUP NUGGETS; DEEP-SEA SEDIMENTS; COSMIC SPHERULES; ANTARCTIC MICROMETEORITES; NICKEL; ICE; COLLECTION; METEORITES; OXYGEN; DUST</t>
  </si>
  <si>
    <t>The Earth's extraterrestrial dust flux includes a wide variety of dust particles that include FeNi metallic grains. During their atmospheric entry iron micrometeoroids melt and oxidize to form cosmic spherules termed I-type spherules. These particles are chemically resistant and readily collected by magnetic separation and are thus the most likely micrometeorites to be recovered from modern and ancient sediments. Understanding their behavior during atmospheric entry is crucial in constraining their abundance relative to other particle types and the nature of the zodiacal dust population at 1 AU. This article presents numerical simulations of the atmospheric entry heating of iron meteoroids to investigate the abundance and nature of these materials. The results indicate that iron micrometeoroids experience peak temperatures 300-800 K higher than silicate particles explaining the rarity of unmelted iron particles which can only be present at sizes of &lt;50 mu m. The lower evaporation rates of liquid iron oxide leads to greater survival of iron particles compared with silicates, which enhances their abundance among micrometeorites by a factor of 2. The abundance of I-types is shown to be broadly consistent with the abundance and size of metal in ordinary chondrites and the current day flux of ordinary chondrite-derived MMs arriving at Earth. Furthermore, carbonaceous asteroids and cometary dust are suggested to make negligible contributions to the I-type spherule flux. Events involving such objects, therefore, cannot be recognized from I-type spherule abundances in the geological record.</t>
  </si>
  <si>
    <t>[Genge, Matthew J.] Imperial Coll London, Dept Earth Sci &amp; Engn, IARC, Exhibit Rd, London SW7 2AZ, England; [Genge, Matthew J.] Nat Hist Museum, Dept Mineral, Cromwell Rd, London SW7 2BT, England</t>
  </si>
  <si>
    <t>Imperial College London; Natural History Museum London; Natural History Museum London</t>
  </si>
  <si>
    <t>Genge, MJ (corresponding author), Imperial Coll London, Dept Earth Sci &amp; Engn, IARC, Exhibit Rd, London SW7 2AZ, England.;Genge, MJ (corresponding author), Nat Hist Museum, Dept Mineral, Cromwell Rd, London SW7 2BT, England.</t>
  </si>
  <si>
    <t>m.genge@imperial.ac.uk</t>
  </si>
  <si>
    <t>Science and Technology Council (STFC) [ST/J001260/1]; Science and Technology Facilities Council [ST/N000803/1, ST/J001260/1] Funding Source: researchfish; UK Space Agency [ST/M003167/1] Funding Source: researchfish; STFC [ST/J001260/1, ST/N000803/1] Funding Source: UKRI</t>
  </si>
  <si>
    <t>Science and Technology Council (STFC); Science and Technology Facilities Council(UK Research &amp; Innovation (UKRI)Science &amp; Technology Facilities Council (STFC)); UK Space Agency; STFC(UK Research &amp; Innovation (UKRI)Science &amp; Technology Facilities Council (STFC))</t>
  </si>
  <si>
    <t>Susan Taylor is thanked for providing images of I-type spherules containing iron-nickel metal beads. Susan Taylor and Carole Cordier are thanked for providing helpful and insightful reviews. Carole Cordier in particular is thanked for highlighting the role of sulfides. This study was funded by the Science and Technology Council (STFC), grant number ST/J001260/1.</t>
  </si>
  <si>
    <t>WILEY-BLACKWELL</t>
  </si>
  <si>
    <t>1086-9379</t>
  </si>
  <si>
    <t>1945-5100</t>
  </si>
  <si>
    <t>METEORIT PLANET SCI</t>
  </si>
  <si>
    <t>Meteorit. Planet. Sci.</t>
  </si>
  <si>
    <t>10.1111/maps.12645</t>
  </si>
  <si>
    <t>Geochemistry &amp; Geophysics</t>
  </si>
  <si>
    <t>DS0GL</t>
  </si>
  <si>
    <t>Green Submitted, hybrid</t>
  </si>
  <si>
    <t>WOS:000380273400004</t>
  </si>
  <si>
    <t>Cristofari, R; Bertorelle, G; Ancel, A; Benazzo, A; Le Maho, Y; Ponganis, PJ; Stenseth, NC; Trathan, PN; Whittington, JD; Zanetti, E; Zitterbart, DP; Le Bohec, C; Trucchi, E</t>
  </si>
  <si>
    <t>Cristofari, Robin; Bertorelle, Giorgio; Ancel, Andre; Benazzo, Andrea; Le Maho, Yvon; Ponganis, Paul J.; Stenseth, Nils Chr; Trathan, Phil N.; Whittington, Jason D.; Zanetti, Enrico; Zitterbart, Daniel P.; Le Bohec, Celine; Trucchi, Emiliano</t>
  </si>
  <si>
    <t>Full circumpolar migration ensures evolutionary unity in the Emperor penguin</t>
  </si>
  <si>
    <t>NATURE COMMUNICATIONS</t>
  </si>
  <si>
    <t>CLIMATE-CHANGE; POPULATION-GENETICS; R-PACKAGE; TOOL SET; DIVERSITY; DISCOVERY; FRAMEWORK; INFERENCE; RESPONSES; DECLINES</t>
  </si>
  <si>
    <t>Defining reliable demographic models is essential to understand the threats of ongoing environmental change. Yet, in the most remote and threatened areas, models are often based on the survey of a single population, assuming stationarity and independence in population responses. This is the case for the Emperor penguin Aptenodytes forsteri, a flagship Antarctic species that may be at high risk continent-wide before 2100. Here, using genome-wide data from the whole Antarctic continent, we reveal that this top-predator is organized as one single global population with a shared demography since the late Quaternary. We refute the view of the local population as a relevant demographic unit, and highlight that (i) robust extinction risk estimations are only possible by including dispersal rates and (ii) colony-scaled population size is rather indicative of local stochastic events, whereas the species' response to global environmental change is likely to follow a shared evolutionary trajectory.</t>
  </si>
  <si>
    <t>[Cristofari, Robin; Ancel, Andre; Le Maho, Yvon; Le Bohec, Celine] Univ Strasbourg UdS, Inst Pluridisciplinaire Hubert Curien, 23 Rue Becquerel, F-67087 Strasbourg 02, France; [Cristofari, Robin; Ancel, Andre; Le Maho, Yvon; Le Bohec, Celine] CNRS, UMR 7178, 23 Rue Becquerel, F-67087 Strasbourg 02, France; [Cristofari, Robin; Le Maho, Yvon; Whittington, Jason D.; Le Bohec, Celine] CSM, Dept Biol Polaire, 8 Quai Antoine 1er, Monaco 98000, Monaco; [Cristofari, Robin; Le Maho, Yvon; Whittington, Jason D.; Le Bohec, Celine] CSM CNRS UdS, Lab Int Associe LIA BioSensib 647, 8 Quai Antoine 1er, Monaco 98000, Monaco; [Cristofari, Robin; Stenseth, Nils Chr; Whittington, Jason D.; Trucchi, Emiliano] Univ Oslo, Dept Biosci, CEES, N-1066 Oslo, Norway; [Bertorelle, Giorgio; Benazzo, Andrea; Zanetti, Enrico] Univ Ferrara, Dept Life Sci &amp; Biotechnol, Via Borsari 46, I-44121 Ferrara, Italy; [Ponganis, Paul J.] Univ Calif San Diego, Scripps Inst Oceanog, Ctr Marine Biotechnol &amp; Biomed, 9500 Gilman Dr, La Jolla, CA 92093 USA; [Trathan, Phil N.] British Antarctic Survey, NERC, Madingley Rd, Cambridge CB3 0ET, England; [Zitterbart, Daniel P.] Helmholtz Ctr Polar &amp; Marine Res, Alfred Wegener Inst, Ocean Acoust Lab, Alten Hafen 26, D-27568 Bremerhaven, Germany; [Zitterbart, Daniel P.] Woods Hole Oceanog Inst, Dept Appl Ocean Phys &amp; Engn, Woods Hole, MA 02543 USA; [Zitterbart, Daniel P.] Univ Erlangen Nurnberg, Dept Phys, Biophys Lab, Henkestr 91, D-91054 Erlangen, Germany; [Trucchi, Emiliano] Univ Vienna, Dept Bot &amp; Biodivers Res, Rennweg 14, A-1030 Vienna, Austria</t>
  </si>
  <si>
    <t>Centre National de la Recherche Scientifique (CNRS); University of Oslo; University of Ferrara; University of California System; University of California San Diego; Scripps Institution of Oceanography; UK Research &amp; Innovation (UKRI); Natural Environment Research Council (NERC); NERC British Antarctic Survey; Helmholtz Association; Alfred Wegener Institute, Helmholtz Centre for Polar &amp; Marine Research; Woods Hole Oceanographic Institution; University of Erlangen Nuremberg; University of Vienna</t>
  </si>
  <si>
    <t>Cristofari, R; Le Bohec, C (corresponding author), Univ Strasbourg UdS, Inst Pluridisciplinaire Hubert Curien, 23 Rue Becquerel, F-67087 Strasbourg 02, France.;Cristofari, R; Le Bohec, C (corresponding author), CNRS, UMR 7178, 23 Rue Becquerel, F-67087 Strasbourg 02, France.;Cristofari, R; Le Bohec, C (corresponding author), CSM, Dept Biol Polaire, 8 Quai Antoine 1er, Monaco 98000, Monaco.;Cristofari, R; Le Bohec, C (corresponding author), CSM CNRS UdS, Lab Int Associe LIA BioSensib 647, 8 Quai Antoine 1er, Monaco 98000, Monaco.;Cristofari, R; Trucchi, E (corresponding author), Univ Oslo, Dept Biosci, CEES, N-1066 Oslo, Norway.;Trucchi, E (corresponding author), Univ Vienna, Dept Bot &amp; Biodivers Res, Rennweg 14, A-1030 Vienna, Austria.</t>
  </si>
  <si>
    <t>robin.cristofari@iphc.cnrs.fr; celine.lebohec@iphc.cnrs.fr; emiliano.trucchi@ibv.uio.no</t>
  </si>
  <si>
    <t>Bertorelle, Giorgio/AAE-9078-2022; Whittington, Jason/JFL-0182-2023; LE BOHEC, CELINE/AAD-3589-2022; Cristofari, Robin/AAO-8097-2021; Zitterbart, Daniel P/N-7489-2013; Stenseth, Nils Chr./G-5212-2016; Bertorelle, Giorgio/JBR-9056-2023</t>
  </si>
  <si>
    <t>Bertorelle, Giorgio/0000-0002-2498-2702; LE BOHEC, Celine/0000-0003-0149-6477; Zitterbart, Daniel/0000-0001-9429-4350</t>
  </si>
  <si>
    <t>French National Research Agency (ANR) 'PICASO' grant [ANR-2010-BLAN-1728-01]; Marie Curie Intra European Fellowship (FP7-PEOPLE-IEF, European Commission) [235962, 252252]; Centre Scientifique de Monaco through budget allocated to the Laboratoire International Associe 647 'BioSensib' (CSM/CNRS-University of Strasbourg); Centre National de la Recherche Scientifique (Programme Zone Atelier de Recherches sur l'Environnement Antarctique et Subantarctique); British Antarctic Survey Ecosystems Programme, NERC; IPEV; AWI; US NSF grant [NSF 0229638]; NERC [bas0100035] Funding Source: UKRI; Natural Environment Research Council [bas0100035] Funding Source: researchfish</t>
  </si>
  <si>
    <t>French National Research Agency (ANR) 'PICASO' grant(Agence Nationale de la Recherche (ANR)); Marie Curie Intra European Fellowship (FP7-PEOPLE-IEF, European Commission); Centre Scientifique de Monaco through budget allocated to the Laboratoire International Associe 647 'BioSensib' (CSM/CNRS-University of Strasbourg); Centre National de la Recherche Scientifique (Programme Zone Atelier de Recherches sur l'Environnement Antarctique et Subantarctique); British Antarctic Survey Ecosystems Programme, NERC; IPEV; AWI; US NSF grant(National Science Foundation (NSF)); NERC(UK Research &amp; Innovation (UKRI)Natural Environment Research Council (NERC)); Natural Environment Research Council(UK Research &amp; Innovation (UKRI)Natural Environment Research Council (NERC))</t>
  </si>
  <si>
    <t>This study was undertaken within the framework of the Programme 137 of the Institut Polaire Francais Paul-Emile Victor (IPEV), with additional support from the French National Research Agency (ANR) 'PICASO' grant (ANR-2010-BLAN-1728-01, PI: Y.L.M.), from Marie Curie Intra European Fellowships (FP7-PEOPLE-IEF-2008, European Commission; project no. 235962 to CLB and FP7-PEOPLE-IEF-2010, European Commission; project no. 252252 to E.T.), from the Centre Scientifique de Monaco through budget allocated to the Laboratoire International Associe 647 'BioSensib' (CSM/CNRS-University of Strasbourg), from the Centre National de la Recherche Scientifique (Programme Zone Atelier de Recherches sur l'Environnement Antarctique et Subantarctique) and from the British Antarctic Survey Ecosystems Programme, NERC (P.N.T.). Logistic and field costs of research were supported by IPEV (C.L.B.), the British Antarctic Survey Ecosystems Programme, NERC (P.N.T.), AWI (D.P.Z.), US NSF grant number NSF 0229638 (P.J.P.). This work was performed on the Abel Cluster, owned by the University of Oslo and the Norwegian metacenter for High Performance Computing (NOTUR), and operated by the Department for Research Computing at USIT, the University of Oslo. We are very grateful to Morten Skage, Ave Tooming-Klunderud, Marianne Selander-Hansen, and the Norwegian Sequencing Center for their very valuable help in the laboratory, as well as Lex Nederbragt and Michael Matschiner for their assistance with the Abel cluster, Matteo Fumagalli and Thorfinn Korneliussen for their precious advice regarding ngsTools and ANGSD, and Alexei J. Drummond for his insights on BEAST2 parametrization. We thank the IPEV Programme 109 (head: Henri Weimerskirch) for shared data collection on egg and chick mortality in the Emperor penguin colony of Pointe Geologie and Christophe Barbraud and Karine Delord for data management, Matthieu Boureau, and the British Antarctic Survey staff at Halley Bay for the sample collection. Last but not the least, we thank Romain Loriol for his help with Greek lexicology.</t>
  </si>
  <si>
    <t>NATURE PORTFOLIO</t>
  </si>
  <si>
    <t>BERLIN</t>
  </si>
  <si>
    <t>HEIDELBERGER PLATZ 3, BERLIN, 14197, GERMANY</t>
  </si>
  <si>
    <t>2041-1723</t>
  </si>
  <si>
    <t>NAT COMMUN</t>
  </si>
  <si>
    <t>Nat. Commun.</t>
  </si>
  <si>
    <t>10.1038/ncomms11842</t>
  </si>
  <si>
    <t>Multidisciplinary Sciences</t>
  </si>
  <si>
    <t>Science &amp; Technology - Other Topics</t>
  </si>
  <si>
    <t>DP7KQ</t>
  </si>
  <si>
    <t>gold, Green Published, Green Submitted, Green Accepted</t>
  </si>
  <si>
    <t>WOS:000378678500001</t>
  </si>
  <si>
    <t>Hubbard, B; Luckman, A; Ashmore, DW; Bevan, S; Kulessa, B; Munneke, PK; Philippe, M; Jansen, D; Booth, A; Sevestre, H; Tison, JL; O'Leary, M; Rutt, I</t>
  </si>
  <si>
    <t>Hubbard, Bryn; Luckman, Adrian; Ashmore, David W.; Bevan, Suzanne; Kulessa, Bernd; Munneke, Peter Kuipers; Philippe, Morgane; Jansen, Daniela; Booth, Adam; Sevestre, Heidi; Tison, Jean-Louis; O'Leary, Martin; Rutt, Ian</t>
  </si>
  <si>
    <t>Massive subsurface ice formed by refreezing of ice-shelf melt ponds</t>
  </si>
  <si>
    <t>ANTARCTIC PENINSULA; SURFACE; BOREHOLE; STABILITY; GLACIER; CLIMATE; BALANCE; WATER</t>
  </si>
  <si>
    <t>Surface melt ponds form intermittently on several Antarctic ice shelves. Although implicated in ice-shelf break up, the consequences of such ponding for ice formation and ice-shelf structure have not been evaluated. Here we report the discovery of a massive subsurface ice layer, at least 16 km across, several kilometres long and tens of metres deep, located in an area of intense melting and intermittent ponding on Larsen C Ice Shelf, Antarctica. We combine borehole optical televiewer logging and radar measurements with remote sensing and firn modelling to investigate the layer, found to be similar to 10 degrees C warmer and B170 kgm(-3) denser than anticipated in the absence of ponding and hitherto used in models of ice-shelf fracture and flow. Surface ponding and ice layers such as the one we report are likely to form on a wider range of Antarctic ice shelves in response to climatic warming in forthcoming decades.</t>
  </si>
  <si>
    <t>[Hubbard, Bryn; Ashmore, David W.] Aberystwyth Univ, Dept Geog &amp; Earth Sci, Ctr Glaciol, Aberystwyth SY23 3DB, Dyfed, Wales; [Luckman, Adrian; Bevan, Suzanne; Kulessa, Bernd; Munneke, Peter Kuipers; O'Leary, Martin; Rutt, Ian] Swansea Univ, Dept Geog, Glaciol Grp, Swansea SA2 8PP, W Glam, Wales; [Philippe, Morgane; Tison, Jean-Louis] Univ Libre Bruxelles, Lab Glaciol, Dept Geosci Environm &amp; Soc, B-1050 Brussels, Belgium; [Jansen, Daniela] Helmholtz Zentrum Polar &amp; Meeresforsch, Alfred Wegener Inst, D-27568 Bremerhaven, Germany; [Booth, Adam] Univ Leeds, Sch Earth &amp; Environm, Leeds LS2 9JT, W Yorkshire, England; [Sevestre, Heidi] Univ Ctr Svalbard, Dept Arctic Geol, N-9171 Longyearbyen, Norway</t>
  </si>
  <si>
    <t>Aberystwyth University; Swansea University; Universite Libre de Bruxelles; Helmholtz Association; Alfred Wegener Institute, Helmholtz Centre for Polar &amp; Marine Research; University of Leeds; University Centre Svalbard (UNIS)</t>
  </si>
  <si>
    <t>Hubbard, B (corresponding author), Aberystwyth Univ, Dept Geog &amp; Earth Sci, Ctr Glaciol, Aberystwyth SY23 3DB, Dyfed, Wales.</t>
  </si>
  <si>
    <t>byh@aber.ac.uk</t>
  </si>
  <si>
    <t>Jansen, Daniela/AAG-2773-2019; Rutt, Ian C/A-6307-2012; Luckman, Adrian/GVS-1716-2022</t>
  </si>
  <si>
    <t>Hubbard, Bryn/0000-0002-3565-3875; Luckman, Adrian/0000-0002-9618-5905; Booth, Adam/0000-0002-8166-9608; Kulessa, Bernd/0000-0002-4830-4949; Jansen, Daniela/0000-0002-4412-5820; Ashmore, David/0000-0003-4829-7854</t>
  </si>
  <si>
    <t>Natural Environment Research Council [NE/L005409/1, NE/L006707/1]; Aberystwyth University; NERC [NE/L006707/1, NE/L005409/1] Funding Source: UKRI; Natural Environment Research Council [NE/L005409/1, NE/L006707/1] Funding Source: researchfish</t>
  </si>
  <si>
    <t>Natural Environment Research Council(UK Research &amp; Innovation (UKRI)Natural Environment Research Council (NERC)); Aberystwyth University; NERC(UK Research &amp; Innovation (UKRI)Natural Environment Research Council (NERC)); Natural Environment Research Council(UK Research &amp; Innovation (UKRI)Natural Environment Research Council (NERC))</t>
  </si>
  <si>
    <t>This research was funded by the Natural Environment Research Council, grants NE/L005409/1 and NE/L006707/1, and Aberystwyth University's Capital Equipment fund. The Leica VIVA GS10 GNSS system and Sensors and Software Pulse Ekko Pro radar transmitter were loaned by the Natural Environment Research Council Geophysical Equipment Facility, loan number 1028. We thank the British Antarctic Survey for logistical support, and in particular the project's field assistants Ashly Fusiarski and Nicholas Gillett.</t>
  </si>
  <si>
    <t>NATURE PUBLISHING GROUP</t>
  </si>
  <si>
    <t>LONDON</t>
  </si>
  <si>
    <t>MACMILLAN BUILDING, 4 CRINAN ST, LONDON N1 9XW, ENGLAND</t>
  </si>
  <si>
    <t>10.1038/ncomms11897</t>
  </si>
  <si>
    <t>DO8CA</t>
  </si>
  <si>
    <t>Green Submitted, gold, Green Published, Green Accepted</t>
  </si>
  <si>
    <t>WOS:000378008500001</t>
  </si>
  <si>
    <t>Kender, S; McClymont, EL; Elmore, AC; Emanuele, D; Leng, MJ; Elderfield, H</t>
  </si>
  <si>
    <t>Kender, Sev; McClymont, Erin L.; Elmore, Aurora C.; Emanuele, Dario; Leng, Melanie J.; Elderfield, Henry</t>
  </si>
  <si>
    <t>Mid Pleistocene foraminiferal mass extinction coupled with phytoplankton evolution</t>
  </si>
  <si>
    <t>ANTARCTIC INTERMEDIATE WATER; SUBTROPICAL FRONT; NEW-ZEALAND; OCEAN; MIDPLEISTOCENE; TEMPERATURE; SEASONALITY; TRANSITION; ALKENONE; ATLANTIC</t>
  </si>
  <si>
    <t>Understanding the interaction between climate and biotic evolution is crucial for deciphering the sensitivity of life. An enigmatic mass extinction occurred in the deep oceans during the Mid Pleistocene, with a loss of over 100 species (20%) of sea floor calcareous foraminifera. An evolutionarily conservative group, benthic foraminifera often comprise 450% of eukaryote biomass on the deep-ocean floor. Here we test extinction hypotheses (temperature, corrosiveness and productivity) in the Tasman Sea, using geochemistry and micropalaeontology, and find evidence from several globally distributed sites that the extinction was caused by a change in phytoplankton food source. Coccolithophore evolution may have enhanced the seasonal 'bloom' nature of primary productivity and fundamentally shifted it towards a more intra-annually variable state at similar to 0.8 Ma. Our results highlight intra-annual variability as a potential new consideration for Mid Pleistocene global biogeochemical climate models, and imply that deep-sea biota may be sensitive to future changes in productivity.</t>
  </si>
  <si>
    <t>[Kender, Sev; Leng, Melanie J.] Univ Nottingham, Sch Geog, Ctr Environm Geochem, Nottingham NG7 2RD, England; [Kender, Sev; Leng, Melanie J.] British Geol Survey, Keyworth NG12 5GG, Notts, England; [McClymont, Erin L.; Elmore, Aurora C.] Univ Durham, Dept Geog, Durham DH1 3LE, England; [Elmore, Aurora C.; Elderfield, Henry] Univ Cambridge, Dept Earth Sci, Cambridge CB2 3EQ, England; [Emanuele, Dario] DST Univ Sannio, Via Mulini 59a, I-82100 Benevento, Italy</t>
  </si>
  <si>
    <t>University of Nottingham; UK Research &amp; Innovation (UKRI); Natural Environment Research Council (NERC); NERC British Geological Survey; Durham University; University of Cambridge</t>
  </si>
  <si>
    <t>Kender, S (corresponding author), Univ Nottingham, Sch Geog, Ctr Environm Geochem, Nottingham NG7 2RD, England.;Kender, S (corresponding author), British Geol Survey, Keyworth NG12 5GG, Notts, England.</t>
  </si>
  <si>
    <t>sev.kender@nottingham.ac.uk</t>
  </si>
  <si>
    <t>McClymont, Erin/AAX-3567-2020; McClymont, Erin/AAX-3657-2020; McClymont, Erin L/K-2153-2012; Kender, Sev/B-9409-2016</t>
  </si>
  <si>
    <t>McClymont, Erin/0000-0003-1562-8768; McClymont, Erin/0000-0003-1562-8768; McClymont, Erin L/0000-0003-1562-8768; Kender, Sev/0000-0003-4216-3214; Leng, Melanie/0000-0003-1115-5166</t>
  </si>
  <si>
    <t>UK Natural Environment Research Council [NE/I024372/1, NE/I027703/1, IP-1339-1112]; Philip Leverhulme Prize; European Research Council [2010-NEWLOG ADG-267931]; NERC [NE/I027703/1, NE/I024372/1, nigl010001, bgs05002, bgs05016] Funding Source: UKRI; Natural Environment Research Council [bgs05016, bgs05002, NE/I024372/1, NE/I027703/1] Funding Source: researchfish</t>
  </si>
  <si>
    <t>UK Natural Environment Research Council(UK Research &amp; Innovation (UKRI)Natural Environment Research Council (NERC)); Philip Leverhulme Prize(Leverhulme Trust); European Research Council(European Research Council (ERC)); NERC(UK Research &amp; Innovation (UKRI)Natural Environment Research Council (NERC)); Natural Environment Research Council(UK Research &amp; Innovation (UKRI)Natural Environment Research Council (NERC))</t>
  </si>
  <si>
    <t>We thank Mervyn Greaves for analytical assistance, Adeyinka Aturamu for SEM assistance, and the International Ocean Discovery Program for providing samples. This work was supported by the UK Natural Environment Research Council (awards NE/I024372/1 to S.K., NE/I027703/1 to E.L.M. and IP-1339-1112 to E.L.M.), a Philip Leverhulme Prize (awarded to E.L.M.) and The European Research Council (award 2010-NEWLOG ADG-267931 to H.E.).</t>
  </si>
  <si>
    <t>10.1038/ncomms11970</t>
  </si>
  <si>
    <t>DQ3FE</t>
  </si>
  <si>
    <t>gold, Green Submitted, Green Published, Green Accepted</t>
  </si>
  <si>
    <t>WOS:000379087400001</t>
  </si>
  <si>
    <t>Crawford, AJ; Wadhams, P; Wagner, TJW; Stern, A; Abrahamsen, EP; Church, I; Bates, R; Nicholls, KW</t>
  </si>
  <si>
    <t>Crawford, Anna J.; Wadhams, Peter; Wagner, Till J. W.; Stern, Alon; Abrahamsen, E. Povl; Church, Ian; Bates, Richard; Nicholls, Keith W.</t>
  </si>
  <si>
    <t>Journey of an Arctic Ice Island</t>
  </si>
  <si>
    <t>OCEANOGRAPHY</t>
  </si>
  <si>
    <t>EAST GREENLAND; ICEBERGS; SHELF; OCEAN; ECOSYSTEMS; MARGINS; WATERS; SCOUR; SHEET; MODEL</t>
  </si>
  <si>
    <t>In August 2010, a 253 km(2) ice island calved from the floating glacial tongue of Petermann Glacier in Northwest Greenland. Petermann Ice Island (PII)-B, a large fragment of this original ice island, is the most intensively observed ice island in recent decades. We chronicle PII-B's deterioration over four years while it drifted more than 2,400 km south along Canada's eastern Arctic coast, investigate the ice island's interactions with surrounding ocean waters, and report on its substantial seafloor scour. Three-dimensional sidewall scans of PII-B taken while it was grounded 130 km southeast of Clyde River, Nunavut, show that prolonged wave erosion at the waterline during sea ice-free conditions created a large underwater protrusion. The resulting buoyancy forces caused a 100 m x 1 km calving event, which was recorded by two GPS units. A field team observed surface waters to be warmer and fresher on the side of PII-B where the calving occurred, which perhaps led to the accelerated growth of the protrusion. PII-B produced up to 3.8 gigatonnes (3.8 x 1012 kg) of ice fragments, known hazards to the shipping and resource extraction industries, monitored over 22 months. Ice island seafloor scour, such as a 850 m long, 3 m deep trench at PII-B's grounding location, also puts subseafloor installations (e.g., pipelines) at risk. This long-term and interdisciplinary assessment of PII-B is the first such study in the eastern Canadian Arctic and captures the multiple implications and risks that ice islands impose on the natural environment and offshore industries.</t>
  </si>
  <si>
    <t>[Crawford, Anna J.] Carleton Univ, Water &amp; Ice Res Lab, Dept Geog &amp; Environm Studies, Ottawa, ON, Canada; [Wadhams, Peter] Univ Cambridge, Dept Appl Math &amp; Theoret Phys, Cambridge, England; [Wagner, Till J. W.] Univ Calif San Diego, Scripps Inst Oceanog, La Jolla, CA 92093 USA; [Stern, Alon] Princeton Univ, Geophys Fluid Dynam Lab, Princeton, NJ 08544 USA; [Abrahamsen, E. Povl; Nicholls, Keith W.] NERC, British Antarctic Survey, Cambridge, England; [Church, Ian] Univ New Brunswick, Dept Geodesy &amp; Geomat Engn, Fredericton, NB, Canada; [Bates, Richard] Univ St Andrews, St Andrews, Fife, Scotland</t>
  </si>
  <si>
    <t>Carleton University; University of Cambridge; University of California System; University of California San Diego; Scripps Institution of Oceanography; Princeton University; National Oceanic Atmospheric Admin (NOAA) - USA; UK Research &amp; Innovation (UKRI); Natural Environment Research Council (NERC); NERC British Antarctic Survey; University of New Brunswick; University of St Andrews</t>
  </si>
  <si>
    <t>Crawford, AJ (corresponding author), Carleton Univ, Water &amp; Ice Res Lab, Dept Geog &amp; Environm Studies, Ottawa, ON, Canada.</t>
  </si>
  <si>
    <t>anna.crawford@carleton.ca</t>
  </si>
  <si>
    <t>Abrahamsen, Povl/B-2140-2008; Church, Ian/A-4048-2017</t>
  </si>
  <si>
    <t>Abrahamsen, Povl/0000-0001-5924-5350; Church, Ian/0000-0002-1889-356X; Bates, Charles Richard/0000-0001-9147-7151; Wagner, Till/0000-0003-4572-1285</t>
  </si>
  <si>
    <t>CIS (Leah Braithwaite with Environment Canada); ArcticNet (Martin Fortier and Keith Levesque); Natural Science and Engineering Research Council; Northern Scientific Training Program; Office of Naval Research Sea State Program; Pedro Elosegui (CSIC/MIT); NERC [bas0100033] Funding Source: UKRI; Natural Environment Research Council [bas0100033] Funding Source: researchfish</t>
  </si>
  <si>
    <t>CIS (Leah Braithwaite with Environment Canada); ArcticNet (Martin Fortier and Keith Levesque); Natural Science and Engineering Research Council(Natural Sciences and Engineering Research Council of Canada (NSERC)); Northern Scientific Training Program; Office of Naval Research Sea State Program(Office of Naval Research); Pedro Elosegui (CSIC/MIT); NERC(UK Research &amp; Innovation (UKRI)Natural Environment Research Council (NERC)); Natural Environment Research Council(UK Research &amp; Innovation (UKRI)Natural Environment Research Council (NERC))</t>
  </si>
  <si>
    <t>We would like to thank Luke Copland and the anonymous reviewers of this paper who provided valuable critiques that led to a greatly improved manuscript. We also thank all who were involved with PII-B data collection efforts. This includes Project Iceberg (the 2011 field campaign) members Andrew Hamilton, Alexander Forrest, Derek Mueller, Bernard Laval, Val Schmidt, and Richard Yeo. John Hughes Clarke and Danar Pratomo of the University of New Brunswick's Ocean Mapping Group are acknowledged for aiding with bathymetry data collection, while Jonathan Gagnon and Steeve Gagne are thanked for their on-ice support during 2012 fieldwork. Operation Iceberg was coordinated by Louise Ferguson, Laura Deponio, Andrew Thompson, Sarah Conner, and Heather Nicol of BBC Scotland. The captains and crews of CCGS Amundsen and M/V Neptune are acknowledged for their transportation and logistical support, as is Micheal O'Sullivan of Trinity Helicopters, and the employees of Arctic Kingdom, as well as Pedro Elosegui (CSIC/MIT) for GPS beacon support. Neither Project Icebergs nor Operation Iceberg would have been possible without the financial and in-kind support of the CIS (Leah Braithwaite with Environment Canada) and ArcticNet (Martin Fortier and Keith Levesque) for Project Icebergs and BBC Scotland (Mark Hedgecoe) for Operation Iceberg. Financial support was also provided by the Natural Science and Engineering Research Council, the Northern Scientific Training Program, and the Office of Naval Research Sea State Program. The interest and experience of Luc Desjardins, Ron Saper, and Gregory Crocker in ice island dynamics is greatly appreciated. Hai Train, Tom Carrieres, and Paul Pestieau are thanked for providing ablation modeling data from the Canadian Meteorological Centre. GPS beacons were provided by C-CORE (Tony King), the CIS, and Navidatum Ltd. (Tim Scott-Douglass). Finally, the research on PII-B would not be possible without the approval of the Nunavut Research Institute (Mosha Cote and Jamal Shirley, License #02 002 12R-M).</t>
  </si>
  <si>
    <t>OCEANOGRAPHY SOC</t>
  </si>
  <si>
    <t>ROCKVILLE</t>
  </si>
  <si>
    <t>P.O. BOX 1931, ROCKVILLE, MD USA</t>
  </si>
  <si>
    <t>1042-8275</t>
  </si>
  <si>
    <t>10.5670/oceanog.2016.30</t>
  </si>
  <si>
    <t>DS2EY</t>
  </si>
  <si>
    <t>gold, Green Published, Green Accepted</t>
  </si>
  <si>
    <t>WOS:000380572500028</t>
  </si>
  <si>
    <t>Ullermann, J; Lamy, F; Ninnemann, U; Lembke-Jene, L; Gersonde, R; Tiedemann, R</t>
  </si>
  <si>
    <t>Ullermann, Johannes; Lamy, Frank; Ninnemann, Ulysses; Lembke-Jene, Lester; Gersonde, Rainer; Tiedemann, Ralf</t>
  </si>
  <si>
    <t>Pacific-Atlantic Circumpolar Deep Water coupling during the last 500ka</t>
  </si>
  <si>
    <t>PALEOCEANOGRAPHY</t>
  </si>
  <si>
    <t>Southern Ocean</t>
  </si>
  <si>
    <t>TOTAL GEOSTROPHIC CIRCULATION; SOUTHERN-OCEAN; ATMOSPHERIC CO2; INTERMEDIATE WATER; FLOW PATTERNS; CARBON; DELTA-C-13; SIGMA-CO2; NORTHERN; TRACERS</t>
  </si>
  <si>
    <t>Investigating the interbasin deepwater exchange between the Pacific and Atlantic Oceans over glacial-interglacial climate cycles is important for understanding circum-Antarctic Southern Ocean circulation changes and their impact on the global Meridional Overturning Circulation. We use benthic foraminiferal C-13 records from the southern East Pacific Rise to characterize the C-13 composition of Circumpolar Deep Water in the South Pacific, prior to its transit through the Drake Passage into the South Atlantic. A comparison with published South Atlantic deepwater records from the northern Cape Basin suggests a continuous water mass exchange throughout the past 500ka. Almost identical glacial-interglacial C-13 variations imply a common deepwater evolution in both basins suggesting persistent Circumpolar Deep Water exchange and homogenization. By contrast, deeper abyssal waters occupying the more southern Cape Basin and the southernmost South Atlantic have lower C-13 values during most, but not all, stadial periods. We conclude that these values represent the influence of a more southern water mass, perhaps Antarctic Bottom Water (AABW). During many interglacials and some glacial periods, the gradient between Circumpolar Deep Water and the deeper southern Cape Basin bottom water disappears suggesting either no presence of AABW or indistinguishable C-13 values of both water masses.</t>
  </si>
  <si>
    <t>[Ullermann, Johannes; Lamy, Frank; Lembke-Jene, Lester; Gersonde, Rainer; Tiedemann, Ralf] Alfred Wegener Inst, Helmholtz Zentrum Polar &amp; Meeresforsch, Bremerhaven, Germany; [Ninnemann, Ulysses] Univ Bergen, Dept Earth Sci, Bergen, Norway; [Ninnemann, Ulysses] Univ Bergen, Bjerknes Ctr Climate Res, Bergen, Norway</t>
  </si>
  <si>
    <t>Helmholtz Association; Alfred Wegener Institute, Helmholtz Centre for Polar &amp; Marine Research; University of Bergen; Bjerknes Centre for Climate Research; University of Bergen</t>
  </si>
  <si>
    <t>Lamy, F (corresponding author), Alfred Wegener Inst, Helmholtz Zentrum Polar &amp; Meeresforsch, Bremerhaven, Germany.</t>
  </si>
  <si>
    <t>Frank.Lamy@awi.de</t>
  </si>
  <si>
    <t>Lembke-Jene, Lester/ABC-6275-2020; Lembke-Jene, Lester/F-5084-2013; Lamy, Frank/H-3611-2014</t>
  </si>
  <si>
    <t>Gersonde, Rainer/0000-0002-7340-6269; Tiedemann, Ralf/0000-0001-7211-8049; Lembke-Jene, Lester/0000-0002-6873-8533; Lamy, Frank/0000-0001-5952-1765</t>
  </si>
  <si>
    <t>Alfred-Wegener-Institut Helmholtz-Zentrum fur Polar- und Meeresforschung</t>
  </si>
  <si>
    <t>We thank the captain, crew, and scientific party of R/V Polarstern for their support during the ANT-XXVI-2 cruise. We thank A. Mackensen for discussions and S. Steph for providing unpublished isotope data and for supporting the isotope measurements. U. Bock, G. Meier, and L. Schonborn provided technical support at the Alfred Wegener Institute. G. Martinez-Mendez, J. Collins, C. Lange, and S. Romahn provided valuable comments and suggestions that helped to improve the manuscript. M. Menzel assisted in software questions. This work is a contribution to the PACES II research program and was financially supported by the Alfred-Wegener-Institut Helmholtz-Zentrum fur Polar- und Meeresforschung. The data reported in this manuscript are available online in the PANGAEA data repository (https://doi.pangaea.de/10.1594/PANGAEA.833422).</t>
  </si>
  <si>
    <t>0883-8305</t>
  </si>
  <si>
    <t>1944-9186</t>
  </si>
  <si>
    <t>Paleoceanography</t>
  </si>
  <si>
    <t>10.1002/2016PA002932</t>
  </si>
  <si>
    <t>Geosciences, Multidisciplinary; Oceanography; Paleontology</t>
  </si>
  <si>
    <t>Geology; Oceanography; Paleontology</t>
  </si>
  <si>
    <t>DR5CL</t>
  </si>
  <si>
    <t>Bronze, Green Published</t>
  </si>
  <si>
    <t>WOS:000379920500002</t>
  </si>
  <si>
    <t>Schmittner, A; Somes, CJ</t>
  </si>
  <si>
    <t>Schmittner, A.; Somes, C. J.</t>
  </si>
  <si>
    <t>Complementary constraints from carbon (13C) and nitrogen (15N) isotopes on the glacial ocean's soft-tissue biological pump</t>
  </si>
  <si>
    <t>Last Glacial Maximum; carbon; nitrogen; isotopes; biological pump; AMOC</t>
  </si>
  <si>
    <t>ATMOSPHERIC CO2; SOUTHERN-OCEAN; SEA-ICE; BENTHIC FORAMINIFERA; IRON FERTILIZATION; CLIMATE-CHANGE; SCALE CHANGES; DENITRIFICATION; CIRCULATION; DELTA-C-13</t>
  </si>
  <si>
    <t>A three-dimensional, process-based model of the ocean's carbon and nitrogen cycles, including C-13 and N-15 isotopes, is used to explore effects of idealized changes in the soft-tissue biological pump. Results are presented from one preindustrial control run (piCtrl) and six simulations of the Last Glacial Maximum (LGM) with increasing values of the spatially constant maximum phytoplankton growth rate (max), which accelerates biological nutrient utilization mimicking iron fertilization. The default LGM simulation, without increasing (max) and with a shallower and weaker Atlantic Meridional Overturning Circulation and increased sea ice cover, leads to 280Pg more respired organic carbon (C-org) storage in the deep ocean with respect to piCtrl. Dissolved oxygen concentrations in the colder glacial thermocline increase, which reduces water column denitrification and, with delay, nitrogen fixation, thus increasing the ocean's fixed nitrogen inventory and decreasing N-15(NO3) almost everywhere. This simulation already fits sediment reconstructions of carbon and nitrogen isotopes relatively well, but it overestimates deep ocean C-13(DIC) and underestimates N-15(NO3) at high latitudes. Increasing (max) enhances C-org and lowers deep ocean C-13(DIC), improving the agreement with sediment data. In the model's Antarctic and North Pacific Oceans modest increases in (max) result in higher N-15(NO3) due to enhanced local nutrient utilization, improving the agreement with reconstructions there. Models with moderately increased (max) fit both isotope data best, whereas large increases in nutrient utilization are inconsistent with nitrogen isotopes although they still fit the carbon isotopes reasonably well. The best fitting models reproduce major features of the glacial C-13(DIC), N-15, and oxygen reconstructions while simulating increased C-org by 510-670Pg compared with the preindustrial ocean. These results are consistent with the idea that the soft-tissue pump was more efficient during the LGM. Both circulation and biological nutrient utilization could contribute. However, these conclusions are preliminary given our idealized experiments, which do not consider changes in benthic denitrification and spatially inhomogenous changes in aeolian iron fluxes. The analysis illustrates interactions between the carbon and nitrogen cycles as well as the complementary constraints provided by their isotopes. Whereas carbon isotopes are sensitive to circulation changes and indicate well the three-dimensional C-org distribution, nitrogen isotopes are more sensitive to biological nutrient utilization.</t>
  </si>
  <si>
    <t>[Schmittner, A.] Oregon State Univ, Coll Earth Ocean &amp; Atmospher Sci, Corvallis, OR 97331 USA; [Somes, C. J.] Helmholtz Ctr Ocean Res Kiel, GEOMAR, Kiel, Germany</t>
  </si>
  <si>
    <t>Oregon State University; Helmholtz Association; GEOMAR Helmholtz Center for Ocean Research Kiel</t>
  </si>
  <si>
    <t>Schmittner, A (corresponding author), Oregon State Univ, Coll Earth Ocean &amp; Atmospher Sci, Corvallis, OR 97331 USA.</t>
  </si>
  <si>
    <t>aschmitt@coas.oregonstate.edu</t>
  </si>
  <si>
    <t>Schmittner, Andreas/O-9647-2015</t>
  </si>
  <si>
    <t>Schmittner, Andreas/0000-0002-8376-0843; Somes, Christopher/0000-0003-2635-7617</t>
  </si>
  <si>
    <t>National Science Foundation's Marine Geology and Geophysics program [OCE-1131834]; Deutsche Forschungsgemeinschaft [SFB 754]</t>
  </si>
  <si>
    <t>National Science Foundation's Marine Geology and Geophysics program(National Science Foundation (NSF)NSF - Directorate for Geosciences (GEO)); Deutsche Forschungsgemeinschaft(German Research Foundation (DFG))</t>
  </si>
  <si>
    <t>Thanks to Carly Peterson for providing her carbon isotope compilation. We are greatly indebted to the many original producers of sedimentary carbon and nitrogen isotope data. This study was made possible by grant OCE-1131834 from the National Science Foundation's Marine Geology and Geophysics program. C.J.S was supported by the Deutsche Forschungsgemeinschaft via the SFB 754. We thank Eric Galbraith for constructive review comments. Data and model code used for this paper are available at the World Data Center for Paleoclimatology at the National Oceanic and Atmospheric Administration (https://www.ncdc.noaa.gov/paleo/study/19842).</t>
  </si>
  <si>
    <t>10.1002/2015PA002905</t>
  </si>
  <si>
    <t>WOS:000379920500004</t>
  </si>
  <si>
    <t>Pohl, A; Donnadieu, Y; Le Hir, G; Ladant, JB; Dumas, C; Alvarez-Solas, J; Vandenbroucke, TRA</t>
  </si>
  <si>
    <t>Pohl, Alexandre; Donnadieu, Yannick; Le Hir, Guillaume; Ladant, Jean-Baptiste; Dumas, Christophe; Alvarez-Solas, Jorge; Vandenbroucke, Thijs R. A.</t>
  </si>
  <si>
    <t>Glacial onset predated Late Ordovician climate cooling</t>
  </si>
  <si>
    <t>Earth system model; Ordovician glaciation; pCO2</t>
  </si>
  <si>
    <t>ANTARCTIC ICE-SHEET; ATMOSPHERIC CARBON-DIOXIDE; EARLY SILURIAN GLACIATION; SEA-LEVEL RISE; LAND PLANTS; CO2 LEVELS; MODEL; CYCLE; PALEOGEOGRAPHY; PERIOD</t>
  </si>
  <si>
    <t>The Ordovician glaciation represents the acme of one of only three major icehouse periods in Earth's Phanerozoic history and is notorious for setting the scene for one of the big five mass extinction events. Nevertheless, the mechanisms that drove ice sheet growth remain poorly understood and the final extent of the ice sheet crudely constrained. Here using an Earth system model with an innovative coupling method between ocean, atmosphere, and land ice accounting for climate and ice sheet feedback processes, we report simulations portraying for the first time the detailed evolution of the Ordovician ice sheet. We show that the emergence of the ice sheet happened in two discrete phases. In a counterintuitive sequence of events, the continental ice sheet appeared suddenly in a warm climate. Only during the second act, and set against a background of decreasing atmospheric CO2, followed steeply dropping temperatures and extending sea ice. The comparison with abundant sedimentological, geochemical, and micropaleontological data suggests that glacial onset may have occurred as early as the Middle Ordovician Darriwilian, in agreement with recent studies reporting third-order glacioeustatic cycles during the same period. The second step in ice sheet growth, typified by a sudden drop in tropical sea surface temperatures by approximate to 8 degrees C and the further extension of a single, continental-scale ice sheet over Gondwana, marked the onset of the Hirnantian glacial maximum. By suggesting the presence of an ice sheet over Gondwana throughout most of the Middle and Late Ordovician, our models embrace the emerging paradigm of an early Paleozoic Ice Age.</t>
  </si>
  <si>
    <t>[Pohl, Alexandre; Donnadieu, Yannick; Ladant, Jean-Baptiste; Dumas, Christophe] Univ Paris Saclay, CEA CNRS UVSQ, LSCE IPSL, Lab Sci Climat &amp; Environm, Gif Sur Yvette, France; [Le Hir, Guillaume] Univ Paris 07, Inst Phys Globe Paris, 1 Rue Jussieu, Paris, France; [Alvarez-Solas, Jorge] Univ Complutense Madrid, Dept Astrofis &amp; Ciencias Atmosfera, Madrid, Spain; [Vandenbroucke, Thijs R. A.] Univ Ghent, Dept Geol, Krijgslaan, Belgium; [Vandenbroucke, Thijs R. A.] Univ Lille, Evoecopaleo UMR 8198, Villeneuve Dascq, France</t>
  </si>
  <si>
    <t>Universite Paris Cite; CEA; Centre National de la Recherche Scientifique (CNRS); Universite Paris Saclay; Universite Paris Cite; Complutense University of Madrid; Ghent University; Centre National de la Recherche Scientifique (CNRS); CNRS - Institute of Ecology &amp; Environment (INEE); Universite de Lille</t>
  </si>
  <si>
    <t>Pohl, A (corresponding author), Univ Paris Saclay, CEA CNRS UVSQ, LSCE IPSL, Lab Sci Climat &amp; Environm, Gif Sur Yvette, France.</t>
  </si>
  <si>
    <t>pohl.alexandre@gmail.com</t>
  </si>
  <si>
    <t>Le Hir, Guillaume/A-5676-2011; Vandenbroucke, Thijs R. A./B-7974-2009; donnadieu, yannick/G-7546-2016; Pohl, Alexandre/L-3098-2016</t>
  </si>
  <si>
    <t>Le Hir, Guillaume/0000-0002-6799-8173; Vandenbroucke, Thijs R. A./0000-0002-8182-3708; donnadieu, yannick/0000-0002-7315-2684; Pohl, Alexandre/0000-0003-2328-351X</t>
  </si>
  <si>
    <t>ANR [ANR-12-BS06-0014-SeqStrat-Ice]; CEA PhD grant CFR</t>
  </si>
  <si>
    <t>ANR(Agence Nationale de la Recherche (ANR)); CEA PhD grant CFR</t>
  </si>
  <si>
    <t>We thank David Pollard and an anonymous reviewer for careful and helpful reviews and Heiko Palike for editorial handling. A.P. also thanks J.-F. Buoncristiani for fruitful discussions and valuable inputs. This work was granted access to the HPC resources of TGCC under the allocation 2014-012212 made by GENCI. T.R.A.V. acknowledges ANR support through grant ANR-12-BS06-0014-SeqStrat-Ice. This research was funded by a CEA PhD grant CFR. This is a contribution to IGCP 591. The code of the FOAM model is available here http://www.mcs.anl.gov/research/projects/foam/index.html. LMDZ can be downloaded from the dedicated website as well http://lmdz.lmd.jussieu.fr/utilisateurs/distribution-du-modele. The code of the GRISLI model is available on request to Catherine Ritz (LGGE, Grenoble). Requests for the model output can be sent to A.P. (alexandre.pohl@lsce.ipsl.fr) or Y.D. (yannick.donnadieu@lsce.ipsl.fr).</t>
  </si>
  <si>
    <t>10.1002/2016PA002928</t>
  </si>
  <si>
    <t>WOS:000379920500011</t>
  </si>
  <si>
    <t>McClymont, EL; Elmore, AC; Kender, S; Leng, MJ; Greaves, M; Elderfield, H</t>
  </si>
  <si>
    <t>McClymont, Erin L.; Elmore, Aurora C.; Kender, Sev; Leng, Melanie J.; Greaves, Mervyn; Elderfield, Henry</t>
  </si>
  <si>
    <t>Pliocene-Pleistocene evolution of sea surface and intermediate water temperatures from the southwest Pacific</t>
  </si>
  <si>
    <t>Pliocene; Pleistocene; SST; AAIW; South Pacific; DSDP</t>
  </si>
  <si>
    <t>SUBTROPICAL FRONT; SOUTHERN-OCEAN; TASMAN SEA; NEW-ZEALAND; ICE VOLUME; CLIMATE; VARIABILITY; CIRCULATION; MG/CA; RECORD</t>
  </si>
  <si>
    <t>Over the last 5 million years, the global climate system has evolved toward a colder mean state, marked by large-amplitude oscillations in continental ice volume. Equatorward expansion of polar waters and strengthening temperature gradients have been detected. However, the response of the mid latitudes and high latitudes of the Southern Hemisphere is not well documented, despite the potential importance for climate feedbacks including sea ice distribution and low-high latitude heat transport. Here we reconstruct the Pliocene-Pleistocene history of both sea surface and Antarctic Intermediate Water (AAIW) temperatures on orbital time scales from Deep Sea Drilling Project Site 593 in the Tasman Sea, southwest Pacific. We confirm overall Pliocene-Pleistocene cooling trends in both the surface ocean and AAIW, although the patterns are complex. The Pliocene is warmer than modern, but our data suggest an equatorward displacement of the subtropical front relative to present and a poleward displacement of the subantarctic front of the Antarctic Circumpolar Current (ACC). Two main intervals of cooling, from similar to 3Ma and similar to 1.5Ma, are coeval with cooling and ice sheet expansion noted elsewhere and suggest that equatorward expansion of polar water masses also characterized the southwest Pacific through the Pliocene-Pleistocene. However, the observed trends in sea surface temperature and AAIW temperature are not identical despite an underlying link to the ACC, and intervals of unusual surface ocean warmth (similar to 2Ma) and large-amplitude variability in AAIW temperatures (from similar to 1Ma) highlight complex interactions between equatorward displacements of fronts associated with the ACC and/or varying poleward heat transport from the subtropics.</t>
  </si>
  <si>
    <t>[McClymont, Erin L.; Elmore, Aurora C.] Univ Durham, Dept Geog, Durham, England; [Kender, Sev; Leng, Melanie J.] Univ Nottingham, Sch Geog, Ctr Environm Geochem, Nottingham, England; [Kender, Sev; Leng, Melanie J.] British Geol Survey, Nottingham, England; [Greaves, Mervyn; Elderfield, Henry] Univ Cambridge, Dept Earth Sci, Cambridge, England</t>
  </si>
  <si>
    <t>Durham University; University of Nottingham; UK Research &amp; Innovation (UKRI); Natural Environment Research Council (NERC); NERC British Geological Survey; University of Cambridge</t>
  </si>
  <si>
    <t>McClymont, EL (corresponding author), Univ Durham, Dept Geog, Durham, England.</t>
  </si>
  <si>
    <t>erin.mcclymont@durham.ac.uk</t>
  </si>
  <si>
    <t>McClymont, Erin/0000-0003-1562-8768; McClymont, Erin/0000-0003-1562-8768; McClymont, Erin L/0000-0003-1562-8768; Kender, Sev/0000-0003-4216-3214; Greaves, Mervyn/0000-0001-8014-8627; Leng, Melanie/0000-0003-1115-5166</t>
  </si>
  <si>
    <t>UK Natural Environment Research Council [NE/I027703/1, IP-1339-1112, NE/I024372/1]; Philip Leverhulme Prize; European Research Council [2010-NEWLOG ADG-267931]; NERC [NE/I027703/1, nigl010001, NE/I024372/1] Funding Source: UKRI; Natural Environment Research Council [NE/I027703/1, NE/I024372/1] Funding Source: researchfish</t>
  </si>
  <si>
    <t>The new data presented here are stored at the NOAA-National Climatic Data Center (NCDC) paleoclimate repository (available at https://www.ncdc.noaa.gov/paleo/study/20225). This work was supported by the UK Natural Environment Research Council (awards NE/I027703/1 and IP-1339-1112 to E.L.M. and NE/I024372/1 to S.K.) and a Philip Leverhulme Prize (awarded to E.L.M.). This work was also funded (in part) by The European Research Council (grant 2010-NEWLOG ADG-267931 (awarded to H.E.). We thank Jessica Bownes, Martin West, Benjamin Petrick, Joanne Menegazzo, Hilary Sloane, and James Rolfe for the laboratory support and analytical assistance. We thank David Evans and Stella Woodard for their discussions, and two anonymous reviewers for providing valuable comments to improve the manuscript. This research used samples provided by the Integrated Ocean Drilling Program (IODP), and we would like to thank the Kochi IODP Core Center Repository for the help with core sampling.</t>
  </si>
  <si>
    <t>10.1002/2016PA002954</t>
  </si>
  <si>
    <t>Green Accepted, Green Published, Green Submitted, hybrid</t>
  </si>
  <si>
    <t>WOS:000379920500016</t>
  </si>
  <si>
    <t>Nair, V; Schuhmann, I; Anke, H; Kelter, G; Fiebig, HH; Helmke, E; Laatsch, H</t>
  </si>
  <si>
    <t>Nair, Vimal; Schuhmann, Imelda; Anke, Heidrun; Kelter, Gerhard; Fiebig, Heinz-Herbert; Helmke, Elisabeth; Laatsch, Hartmut</t>
  </si>
  <si>
    <t>Marine Bacteria, XLVII - Psychrotolerant Bacteria from Extreme Antarctic Habitats as Producers of Rare Bis- and Trisindole Alkaloids</t>
  </si>
  <si>
    <t>PLANTA MEDICA</t>
  </si>
  <si>
    <t>Vibrio splendidus; Vibrionaceae; Arthrobacter psychrochitiniphilus; Micrococcaceae; trisindoles; bisindoles; Antarctic bacteria; psychrotolerant bacteria</t>
  </si>
  <si>
    <t>TRIS-INDOLE ALKALOIDS; DEEP-WATER; STAUROSPORINE; REBECCAMYCIN; TAXONOMY; VIBRIO</t>
  </si>
  <si>
    <t>From the gastrointestinal tract of a fish dredged near the South Orkney Islands in Antarctica, we isolated the psychrotolerant bacterial strain T262, which belongs to the species Vibrio splendidus. Investigation of this strain led to the isolation of a series of 15 bis- and trisindole derivatives. Among them, six new indole alkaloids, namely, turbomycin C [4'-n-butoxyphenyl-bis (1H-indol-3-yl)methane, 1a], turbomycin D [4'-n-propoxyphenyl-bis(1H-indol-3-yl) methane, 1b], turbomycin E [4'-ethoxyphenyl-bis(1H-indol-3-yl) methane, 1c], turbomycin F [4'-methoxy-3', 5'-dinitrophenyl-bis(1H-indol-3-yl) methane, 2], trisindolal (3a), and 4-(1H-indol-3-yl-sulfanyl)phenol (4). Another new bisindole derivative elucidated as 2-(indol-3-ylmethyl)-indol-3-ylethanol (7a) was obtained together with six known compounds from the psychrotolerant Arthrobacter psychrochitiniphilus strain T406, isolated from the excrement of penguins. Some of the isolated compounds showed activity against both gram-positive and gram-negative bacteria at 10 mu g/paper disk. Trisindolal (3a) was active against the peronosporomycetes Botrytis cinerea and Phytophthora infestans, and some of the indole derivatives indicated promising cytotoxicity towards human tumor cell lines. By exhibiting a mean IC50 of 0.45 mu g/mL (1.17 mu M), trisindolal (3a) showed pronounced potency and selectivity in a panel of 11 human tumor cell lines derived from 10 different tumor histotypes.</t>
  </si>
  <si>
    <t>[Nair, Vimal; Schuhmann, Imelda; Laatsch, Hartmut] Univ Gottingen, Inst Organ &amp; Biomol Chem, Tammannstr 2, D-37077 Gottingen, Germany; [Anke, Heidrun] Inst Biotechnol &amp; Drug Res, Kaiserslautern, Germany; [Kelter, Gerhard; Fiebig, Heinz-Herbert] Oncotest GmbH, Freiburg, Germany; [Helmke, Elisabeth] Alfred Wegener Inst Polar &amp; Marine Res, Bremerhaven, Germany</t>
  </si>
  <si>
    <t>University of Gottingen; Oncotest GmbH; Helmholtz Association; Alfred Wegener Institute, Helmholtz Centre for Polar &amp; Marine Research</t>
  </si>
  <si>
    <t>Laatsch, H (corresponding author), Univ Gottingen, Inst Organ &amp; Biomol Chem, Tammannstr 2, D-37077 Gottingen, Germany.</t>
  </si>
  <si>
    <t>hlaatsc@gwdg.de</t>
  </si>
  <si>
    <t>Nair, Vimal Kumar/N-4889-2017</t>
  </si>
  <si>
    <t>Nair, Vimal Kumar/0000-0002-5752-9824</t>
  </si>
  <si>
    <t>German Academic Exchange Service (DAAD) [A/07/92815]</t>
  </si>
  <si>
    <t>German Academic Exchange Service (DAAD)(Deutscher Akademischer Austausch Dienst (DAAD))</t>
  </si>
  <si>
    <t>The authors are thankful to M. Teinert, F. Lissy, and A. Kohl for technical assistance. For the spectroscopic measurements, we thank Dr. H. Frauendorf and R. Machinek. V. N. thanks the German Academic Exchange Service (DAAD) for a PhD grant, no. A/07/92815.</t>
  </si>
  <si>
    <t>GEORG THIEME VERLAG KG</t>
  </si>
  <si>
    <t>STUTTGART</t>
  </si>
  <si>
    <t>RUDIGERSTR 14, D-70469 STUTTGART, GERMANY</t>
  </si>
  <si>
    <t>0032-0943</t>
  </si>
  <si>
    <t>1439-0221</t>
  </si>
  <si>
    <t>PLANTA MED</t>
  </si>
  <si>
    <t>Planta Med.</t>
  </si>
  <si>
    <t>9-10</t>
  </si>
  <si>
    <t>10.1055/s-0042-108204</t>
  </si>
  <si>
    <t>Plant Sciences; Chemistry, Medicinal; Integrative &amp; Complementary Medicine; Pharmacology &amp; Pharmacy</t>
  </si>
  <si>
    <t>Plant Sciences; Pharmacology &amp; Pharmacy; Integrative &amp; Complementary Medicine</t>
  </si>
  <si>
    <t>DQ0TN</t>
  </si>
  <si>
    <t>WOS:000378913600018</t>
  </si>
  <si>
    <t>Van Putten, IE; Dichmont, CM; Dutra, LXC; Thébaud, O; Deng, RA; Jebreen, E; Owens, R; Pascual, R; Read, M; Thompson, C</t>
  </si>
  <si>
    <t>Van Putten, Ingrid Elizabeth; Dichmont, Catherine Mary; Dutra, Leo Ximenes Cabral; Thebaud, Olivier; Deng, Roy Aijun; Jebreen, Eddie; Owens, Randall; Pascual, Ricardo; Read, Mark; Thompson, Carolyn</t>
  </si>
  <si>
    <t>Objectives for management of socio-ecological systems in the Great Barrier Reef region, Australia</t>
  </si>
  <si>
    <t>REGIONAL ENVIRONMENTAL CHANGE</t>
  </si>
  <si>
    <t>Coastal management; Management objectives; Case study research; Community consultation; Great Barrier Reef</t>
  </si>
  <si>
    <t>ADAPTIVE MANAGEMENT; FISHERIES MANAGEMENT; DRIVERS; MODELS; UK</t>
  </si>
  <si>
    <t>A wide range of goals and objectives have to be taken into account in natural resources management. Defining these objectives in operational terms, including dimensions such as sustainability, productivity, and equity, is by no means easy, especially if they must capture the diversity of community and stakeholder values. This is especially true in the coastal zone where land activities affect regional marine ecosystems. In this study, the aim was firstly to identify and hierarchically organise the goals and objectives for coastal systems, as defined by local stakeholders. Two case study areas are used within the Great Barrier Reef region being Mackay and Bowen-Burdekin. Secondly, the aim was to identify similarities between the case study results and thus develop a generic set of goals to be used as a starting point in other coastal communities. Results show that overarching high-level goals have nested sub-goals that contain a set of more detailed regional objectives. The similarities in high-level environmental, governance, and socio-economic goals suggest that regionally specific objectives can be developed based on a generic set of goals. The prominence of governance objectives reflects local stakeholder perceptions that current coastal zone management is not achieving the outcomes they feel important and that there is a need for increased community engagement and co-management. More importantly, it raises the question of how to make issues relevant for the local community and entice participation in the local management of public resources to achieve sustainable environmental, social, and economic management outcomes.</t>
  </si>
  <si>
    <t>[Van Putten, Ingrid Elizabeth; Pascual, Ricardo] CSIRO Oceans &amp; Atmosphere Flagship, GPO Box 1538, Hobart, Tas 7001, Australia; [Van Putten, Ingrid Elizabeth] Univ Tasmania, Inst Marine &amp; Antarctic Studies, Hobart, Tas 7000, Australia; [Dichmont, Catherine Mary; Dutra, Leo Ximenes Cabral; Thebaud, Olivier; Deng, Roy Aijun] CSIRO Oceans &amp; Atmosphere Flagship, Ecosci Precinct, 41 Boggo Rd, Dutton Pk, Qld 4102, Australia; [Thebaud, Olivier] IFREMER, Ctr Bretagne, ZI Pointe Diable,10070, F-29280 Plouzane, France; [Jebreen, Eddie] Queensland Dept Agr Fisheries &amp; Forestry, Primary Ind Bldg,80 Ann St, Brisbane, Qld 4001, Australia; [Owens, Randall; Read, Mark] Great Barrier Reef Marine Pk Author, 2-68 Flinders St,POB 1379, Townsville, Qld 4810, Australia; [Thompson, Carolyn] Great Barrier Reef Marine Pk Author, 43 River St, Mackay, Qld 4740, Australia</t>
  </si>
  <si>
    <t>Commonwealth Scientific &amp; Industrial Research Organisation (CSIRO); University of Tasmania; Commonwealth Scientific &amp; Industrial Research Organisation (CSIRO); Universite de Bretagne Occidentale; Ifremer; Queensland Department of Agriculture &amp; Fisheries</t>
  </si>
  <si>
    <t>Van Putten, IE (corresponding author), CSIRO Oceans &amp; Atmosphere Flagship, GPO Box 1538, Hobart, Tas 7001, Australia.;Van Putten, IE (corresponding author), Univ Tasmania, Inst Marine &amp; Antarctic Studies, Hobart, Tas 7000, Australia.</t>
  </si>
  <si>
    <t>ingrid.vanputten@csiro.au</t>
  </si>
  <si>
    <t>Pascual, Ricardo/A-2846-2012; Deng, Roy/U-3502-2019; van putten, ingrid/AAV-1301-2021; Dutra, Leo/R-6256-2019; Thebaud, Olivier/D-9792-2011</t>
  </si>
  <si>
    <t>Pascual, Ricardo/0000-0001-5171-4300; van putten, ingrid/0000-0001-8397-9768; Thebaud, Olivier/0000-0001-8665-3827; Deng, Roy/0000-0001-9368-1332; Dutra, Leo/0000-0002-5781-3956</t>
  </si>
  <si>
    <t>1436-3798</t>
  </si>
  <si>
    <t>1436-378X</t>
  </si>
  <si>
    <t>REG ENVIRON CHANGE</t>
  </si>
  <si>
    <t>Reg. Envir. Chang.</t>
  </si>
  <si>
    <t>10.1007/s10113-015-0867-1</t>
  </si>
  <si>
    <t>Environmental Sciences; Environmental Studies</t>
  </si>
  <si>
    <t>Science Citation Index Expanded (SCI-EXPANDED); Social Science Citation Index (SSCI)</t>
  </si>
  <si>
    <t>DM4JU</t>
  </si>
  <si>
    <t>WOS:000376314400015</t>
  </si>
  <si>
    <t>Tretyak, K; Hlotov, V; Holubinka, Y; Marusazh, K</t>
  </si>
  <si>
    <t>Tretyak, Kornyliy; Hlotov, Volodymyr; Holubinka, Yuriy; Marusazh, Khrystyna</t>
  </si>
  <si>
    <t>COMPLEX GEODETIC RESEARCH IN UKRAINIAN ANTARCTIC STATION ACADEMICIAN VERNADSKY (YEARS 2002 - 2005, 2013-2014)</t>
  </si>
  <si>
    <t>REPORTS ON GEODESY AND GEOINFORMATICS</t>
  </si>
  <si>
    <t>Review</t>
  </si>
  <si>
    <t>Argentinian islands; glacier; terrestrial laser scanning; digital stereo photogrammetric survey; Penola strain tectonic fault; GNSS observations; geodynamic polygon</t>
  </si>
  <si>
    <t>In this paper is given an information about complex geodetic research in Ukrainian Antarctic station Academician Vernadsky. Research were carried by Lviv polytechnic scientists, during Antarctic expeditions in years 2002 - 2005, 2013, 2014. Main objectives of the studies were: (a) study of the islands glaciers surface volumes changes in Antarctic archipelago and Antarctic Peninsula using terestrial laser scaning and digital terrestrial stereophotogrammetry survey; (b) investigation of Penola strain tectonic fault, using the results of precise GNSS observations.</t>
  </si>
  <si>
    <t>[Tretyak, Kornyliy; Hlotov, Volodymyr; Holubinka, Yuriy; Marusazh, Khrystyna] Natl Univ Lviv Polytech, Inst Geodesy, 12 Bandera St, UA-79013 Lvov, Ukraine</t>
  </si>
  <si>
    <t>Ministry of Education &amp; Science of Ukraine; Lviv Polytechnic National University</t>
  </si>
  <si>
    <t>Tretyak, K (corresponding author), Natl Univ Lviv Polytech, Inst Geodesy, 12 Bandera St, UA-79013 Lvov, Ukraine.</t>
  </si>
  <si>
    <t>kornel@lp.edu.ua; volodymyr.m.hlotov@lpnu.ua; iurii.golubinka@gmail.com; kh.marusazh@gmail.com</t>
  </si>
  <si>
    <t>Marusazh, Khrystyna/L-9861-2017; Tretyak, Kornyliy R/B-8678-2018; Golubinka, Iurii/S-3977-2017</t>
  </si>
  <si>
    <t>Marusazh, Khrystyna/0000-0002-4889-0781; Golubinka, Iurii/0000-0001-9696-686X; Hlotov, Volodymyr/0000-0002-1779-763X; Tretyak, Kornyliy/0000-0001-5231-3517</t>
  </si>
  <si>
    <t>DE GRUYTER OPEN LTD</t>
  </si>
  <si>
    <t>WARSAW</t>
  </si>
  <si>
    <t>BOGUMILA ZUGA 32A ST, 01-811 WARSAW, POLAND</t>
  </si>
  <si>
    <t>2391-8365</t>
  </si>
  <si>
    <t>2391-8152</t>
  </si>
  <si>
    <t>REP GEOD GEOINFORMAT</t>
  </si>
  <si>
    <t>Rep. Geod. Geoinformatics</t>
  </si>
  <si>
    <t>10.1515/rgg-2016-0012</t>
  </si>
  <si>
    <t>Remote Sensing</t>
  </si>
  <si>
    <t>Emerging Sources Citation Index (ESCI)</t>
  </si>
  <si>
    <t>DO8OM</t>
  </si>
  <si>
    <t>WOS:000378042900011</t>
  </si>
  <si>
    <t>Metcalf, JL; Turney, C; Barnett, R; Martin, F; Bray, SC; Vilstrup, JT; Orlando, L; Salas-Gismondi, R; Loponte, D; Medina, M; De Nigris, M; Civalero, T; Fernández, PM; Gasco, A; Duran, V; Seymour, KL; Otaola, C; Gil, A; Paunero, R; Prevosti, FJ; Bradshaw, CJA; Wheeler, JC; Borrero, L; Austin, JJ; Cooper, A</t>
  </si>
  <si>
    <t>Metcalf, Jessica L.; Turney, Chris; Barnett, Ross; Martin, Fabiana; Bray, Sarah C.; Vilstrup, Julia T.; Orlando, Ludovic; Salas-Gismondi, Rodolfo; Loponte, Daniel; Medina, Matias; De Nigris, Mariana; Civalero, Teresa; Marcelo Fernandez, Pablo; Gasco, Alejandra; Duran, Victor; Seymour, Kevin L.; Otaola, Clara; Gil, Adolfo; Paunero, Rafael; Prevosti, Francisco J.; Bradshaw, Corey J. A.; Wheeler, Jane C.; Borrero, Luis; Austin, Jeremy J.; Cooper, Alan</t>
  </si>
  <si>
    <t>Synergistic roles of climate warming and human occupation in Patagonian megafaunal extinctions during the Last Deglaciation</t>
  </si>
  <si>
    <t>SCIENCE ADVANCES</t>
  </si>
  <si>
    <t>COMPLETE MITOCHONDRIAL GENOME; LATE PLEISTOCENE; SOUTH-AMERICA; CALIBRATION; SYSTEMATICS; ARTIODACTYLA; QUATERNARY; EVOLUTION; CARNIVORA; PROGRAM</t>
  </si>
  <si>
    <t>The causes of Late Pleistocene megafaunal extinctions (60,000 to 11,650 years ago, hereafter 60 to 11.65 ka) remain contentious, with major phases coinciding with both human arrival and climate change around the world. The Americas provide a unique opportunity to disentangle these factors as human colonization took place over a narrow time frame (similar to 15 to 14.6 ka) but during contrasting temperature trends across each continent. Unfortunately, limited data sets in South America have so far precluded detailed comparison. We analyze genetic and radiocarbon data from 89 and 71 Patagonian megafaunal bones, respectively, more than doubling the high-quality Pleistocene megafaunal radiocarbon data sets from the region. We identify a narrow megafaunal extinction phase 12,280 +/- 110 years ago, some 1 to 3 thousand years after initial human presence in the area. Although humans arrived immediately prior to a cold phase, the Antarctic Cold Reversal stadial, megafaunal extinctions did not occur until the stadial finished and the subsequent warming phase commenced some 1 to 3 thousand years later. The increased resolution provided by the Patagonian material reveals that the sequence of climate and extinction events in North and South America were temporally inverted, but in both cases, megafaunal extinctions did not occur until human presence and climate warming coincided. Overall, metapopulation processes involving subpopulation connectivity on a continental scale appear to have been critical for megafaunal species survival of both climate change and human impacts.</t>
  </si>
  <si>
    <t>[Metcalf, Jessica L.; Bray, Sarah C.; Austin, Jeremy J.; Cooper, Alan] Univ Adelaide, Australian Ctr Ancient DNA, Sch Biol Sci, Adelaide, SA 5005, Australia; [Metcalf, Jessica L.] Univ Colorado, Dept Ecol &amp; Evolutionary Biol, Ramaley Biol, Boulder, CO 80309 USA; [Turney, Chris] Univ New South Wales, Sch Biol Earth &amp; Environm Sci, Climate Change Res Ctr, Sydney, NSW, Australia; [Barnett, Ross; Cooper, Alan] Univ Oxford, Dept Zool, Henry Wellcome Ancient Biomol Ctr, South Parks Rd, Oxford OX1 3PS, England; [Barnett, Ross; Vilstrup, Julia T.; Orlando, Ludovic] Univ Copenhagen, Nat Hist Museum Denmark, Ctr GeoGenet, Oster Voldgade 5-7, DK-1350 Copenhagen, Denmark; [Martin, Fabiana] UMAG, Inst Patagonia, Ctr Estudios Hombre Austral, Ave Bulnes 01890, Punta Arenas, Chile; [Bray, Sarah C.] Univ South Australia, Ctr Canc Biol, Acute Leukaemia Lab, Adelaide, SA 5001, Australia; [Salas-Gismondi, Rodolfo] Univ Montpellier, CNRS, Inst Sci Evolut, IRD,EPHE, F-34095 Montpellier, France; [Salas-Gismondi, Rodolfo] UNMSM, Dept Paleontol Vertebrados, Museo Hist Nat, Ave Arenales 1256, Lima 14, Peru; [Loponte, Daniel] Inst Nacl Antropol &amp; Pensamiento Latinoamer, C1426BJN Ciudad Buenos Aires, Buenos Aires, DF, Argentina; [Medina, Matias] Consejo Nacl Invest Cient &amp; Tecn, Area Arqueol &amp; Etnohist, Ctr Estudios Hist Prof Carlos SA Segreti, Miguel C Corro 308, RA-5000 Cordoba, Argentina; [De Nigris, Mariana; Civalero, Teresa; Marcelo Fernandez, Pablo] CONICET UBA, Inst Nacl Antropol &amp; Pensamiento Latinoamer, 3 Febrero 1370,C1426BJN Buenos Aires, Buenos Aires, DF, Argentina; [Gasco, Alejandra; Duran, Victor] Univ Nacl Cuyo, Fac Ciencias Exactas &amp; Nat, Lab Paleoecol Humana, CONICET, Mendoza, Argentina; [Seymour, Kevin L.] Royal Ontario Museum, Dept Nat Hist, 100 Queens Pk, Toronto, ON M5S 2C6, Canada; [Otaola, Clara; Gil, Adolfo] CONICET IANGLA Grp Vincualdo San Rafael UTN MHNSR, Parque Mariano Moreno, RA-5600 Mendoza, Argentina; [Paunero, Rafael] UNLP, Dept Cient Arqueol, Fac Ciencias Nat &amp; Museo, Ave Paseo Bosque S-N, RA-1900 La Plata, Buenos Aires, Argentina; [Prevosti, Francisco J.] UNCa, Ctr Reg Invest Cient &amp; Transferencia Tecnol La Ri, SEGEMAR, UNLaR,CONICET, Entre Rios y Mendoza S-N, RA-5301 Anillaco, La Rioja, Argentina; [Bradshaw, Corey J. A.] Univ Adelaide, Sch Biol Sci, Adelaide, SA 5005, Australia; [Wheeler, Jane C.] Inst Invest &amp; Desarrollo Camelidos Sudamer, CONOPA, Lima, Peru; [Borrero, Luis] Univ Buenos Aires, CONICET IMHICIHU, Saavedra 15,5 1083 ACA, Buenos Aires, DF, Argentina</t>
  </si>
  <si>
    <t>University of Adelaide; University of Colorado System; University of Colorado Boulder; University of New South Wales Sydney; University of Oxford; University of Copenhagen; Universidad de Magallanes; University of South Australia; Centre for Cancer Biology; Universite PSL; Ecole Pratique des Hautes Etudes (EPHE); Centre National de la Recherche Scientifique (CNRS); Institut de Recherche pour le Developpement (IRD); Universite de Montpellier; Universidad Nacional Mayor de San Marcos; Consejo Nacional de Investigaciones Cientificas y Tecnicas (CONICET); Consejo Nacional de Investigaciones Cientificas y Tecnicas (CONICET); University of Buenos Aires; University Nacional Cuyo Mendoza; Consejo Nacional de Investigaciones Cientificas y Tecnicas (CONICET); Royal Ontario Museum; National University of La Plata; Museo La Plata; Consejo Nacional de Investigaciones Cientificas y Tecnicas (CONICET); University of Adelaide; University of Buenos Aires; Consejo Nacional de Investigaciones Cientificas y Tecnicas (CONICET)</t>
  </si>
  <si>
    <t>Cooper, A (corresponding author), Univ Adelaide, Australian Ctr Ancient DNA, Sch Biol Sci, Adelaide, SA 5005, Australia.;Cooper, A (corresponding author), Univ Oxford, Dept Zool, Henry Wellcome Ancient Biomol Ctr, South Parks Rd, Oxford OX1 3PS, England.</t>
  </si>
  <si>
    <t>alan.cooper@adelaide.edu.au</t>
  </si>
  <si>
    <t>Barnett, Ross/G-1920-2011; Bradshaw, Corey J. A./A-1311-2008; Bray, Sarah/AAL-1099-2021; Cooper, Alan/E-8171-2012; Fernandez, Pablo Marcelo/I-2734-2019; Vilstrup Mouatt, Julia T./N-4553-2017; ORLANDO, Ludovic/A-8932-2013; ORLANDO, Ludovic/JEP-5411-2023; Turney, Chris/P-8701-2018; Austin, Jeremy/F-8729-2010</t>
  </si>
  <si>
    <t>Barnett, Ross/0000-0003-4023-0284; Bradshaw, Corey J. A./0000-0002-5328-7741; Fernandez, Pablo Marcelo/0000-0002-3874-6305; Vilstrup Mouatt, Julia T./0000-0001-6534-8452; ORLANDO, Ludovic/0000-0003-3936-1850; Bray, Sarah/0000-0001-7067-4551; Gil, Adolfo F./0000-0001-5718-8866; Turney, Chris/0000-0001-6733-0993; wheeler, jane/0000-0001-9020-0660; METCALF, JESSICA/0000-0001-8374-8046; Salas-Gismondi, Rodolfo/0000-0001-9990-8841; Austin, Jeremy/0000-0003-4244-2942; Cooper, Alan/0000-0002-7738-7851</t>
  </si>
  <si>
    <t>Australian Research Council (ARC) [DP140104233, DP0664562]; UK Natural Environment Research Council (NERC) [NER/B/S/2003/00181]; Danish National Research Foundation [DNRF94]; Biotechnology and Biological Sciences Research Council [02/A1/G/08351]; NERC [NER/B/S/2003/00181]; ARC [FL140100260, FT099233, FF0457313, FL100100195, DP130103842, FT110100306, FT10010010]; CONICET; Agencia Nacional de Promocion Cientifica y Tecnologica [PICT 2011-309, PIP 2011-164]; Australian Research Council [FF0457313, FL140100260, DP0664562, FT110100306] Funding Source: Australian Research Council</t>
  </si>
  <si>
    <t>Australian Research Council (ARC)(Australian Research Council); UK Natural Environment Research Council (NERC)(UK Research &amp; Innovation (UKRI)Natural Environment Research Council (NERC)); Danish National Research Foundation(Danmarks Grundforskningsfond); Biotechnology and Biological Sciences Research Council(UK Research &amp; Innovation (UKRI)Biotechnology and Biological Sciences Research Council (BBSRC)); NERC(UK Research &amp; Innovation (UKRI)Natural Environment Research Council (NERC)); ARC(Australian Research Council); CONICET(Consejo Nacional de Investigaciones Cientificas y Tecnicas (CONICET)); Agencia Nacional de Promocion Cientifica y Tecnologica(ANPCyTSpanish Government); Australian Research Council(Australian Research Council)</t>
  </si>
  <si>
    <t>This research was funded by the Australian Research Council (ARC) (DP140104233 and DP0664562) and the UK Natural Environment Research Council (NERC) (grant NER/B/S/2003/00181 to A.C.). J.T.V. was funded by the Danish National Research Foundation (DNRF94), and R.B. was funded by the Biotechnology and Biological Sciences Research Council (02/A1/G/08351) and NERC (NER/B/S/2003/00181). ARC Future, Federation, and Laureate fellowships supported A.C. (FL140100260, FT099233, and FF0457313), C.T. (FL100100195), C.J.A.B. (DP130103842 and FT110100306), and J.J.A. (FT10010010). F.J.P. was funded by CONICET and Agencia Nacional de Promocion Cientifica y Tecnologica (PICT 2011-309 and PIP 2011-164).</t>
  </si>
  <si>
    <t>AMER ASSOC ADVANCEMENT SCIENCE</t>
  </si>
  <si>
    <t>1200 NEW YORK AVE, NW, WASHINGTON, DC 20005 USA</t>
  </si>
  <si>
    <t>2375-2548</t>
  </si>
  <si>
    <t>SCI ADV</t>
  </si>
  <si>
    <t>Sci. Adv.</t>
  </si>
  <si>
    <t>e1501682</t>
  </si>
  <si>
    <t>10.1126/sciadv.1501682</t>
  </si>
  <si>
    <t>DR7IS</t>
  </si>
  <si>
    <t>Green Published, gold, Green Submitted</t>
  </si>
  <si>
    <t>WOS:000380073800010</t>
  </si>
  <si>
    <t>Gaddam, VK; Kulkarni, AV; Gupta, AK</t>
  </si>
  <si>
    <t>Gaddam, Vinay Kumar; Kulkarni, Anil V.; Gupta, Anil Kumar</t>
  </si>
  <si>
    <t>Estimation of glacial retreat and mass loss in Baspa basin, Western Himalaya</t>
  </si>
  <si>
    <t>SPATIAL INFORMATION RESEARCH</t>
  </si>
  <si>
    <t>Mass loss; Retreat; Baspa; Rakcham</t>
  </si>
  <si>
    <t>EQUILIBRIUM-LINE ALTITUDE; CHHOTA SHIGRI GLACIER; CLIMATE-CHANGE; HIMACHAL-PRADESH; TERMINUS RETREAT; GARHWAL HIMALAYA; DEBRIS COVER; INDIA; BALANCE; REGION</t>
  </si>
  <si>
    <t>Glaciers are one of the valuable natural resources in Indian Himalaya. A large number of people depend on glacier melt for social and industrial activities. Therefore, monitoring the glacial changes becomes crucial. In the present study, retreat and mass balance of 19 glaciers in Baspa basin were analysed. An overall de-glaciation of 24 % (41.1 +/- 8.37 km(2)) was observed between 1962 and 2014. Mass balance was estimated by Accumulation Area Ratio and Equilibrium Line Altitude (ELA) methods. The mean ELA estimate varies between 5147 +/- 178 and 5405 +/- 173 m. Negative mass balance was observed and the estimated mass loss is 3.6 mega tonne (3.6 +/- 10(6) m(3)), for a period of 9 years between 1998 and 2014. In addition, temperature and precipitation data obtained at Rackham observatory (3050 m) were analysed for a period of 29 years, between 1984 and 2013. The analysis showed an increasing trend in annual mean temperature, decreasing trend in precipitation and a higher rise in minimum temperatures of both summer and winter. Thus, the overall observations suggest continuous loss of glacier area and mass, which may influence the glacier's health and run-off in Baspa basin.</t>
  </si>
  <si>
    <t>[Gaddam, Vinay Kumar] ESSO Natl Ctr Antarctic &amp; Ocean Res, Cryosphere Sci Div, Vascodagama, India; [Kulkarni, Anil V.] Indian Inst Sci, Divecha Ctr Climate Change, Bangalore, Karnataka, India; [Gaddam, Vinay Kumar; Gupta, Anil Kumar] Visvesvaraya Technol Univ, Dept Civil Engn, Belgaum, India</t>
  </si>
  <si>
    <t>Ministry of Earth Sciences (MoES) - India; National Centre for Polar and Ocean Research (NCPOR); Indian Institute of Science (IISC) - Bangalore; Visvesvaraya Technological University</t>
  </si>
  <si>
    <t>Gaddam, VK (corresponding author), ESSO Natl Ctr Antarctic &amp; Ocean Res, Cryosphere Sci Div, Vascodagama, India.;Gaddam, VK (corresponding author), Visvesvaraya Technol Univ, Dept Civil Engn, Belgaum, India.</t>
  </si>
  <si>
    <t>gaddam_vinay@ymail.com</t>
  </si>
  <si>
    <t>GADDAM, VINAY/T-4283-2017</t>
  </si>
  <si>
    <t>GADDAM, VINAY/0000-0002-9400-1893</t>
  </si>
  <si>
    <t>Indian Institute of Science and National Center for Antarctica and Ocean Research, India</t>
  </si>
  <si>
    <t>The authors would like to thank the United States Geological Survey for Landsat imagery, National Remote Sensing Center-Indian Space Research Organization for Elevation datasets, Bhakra Beas Management Board-Chandigarh for meteorological data, Divecha Center for Climate Change, Indian Institute of Science and National Center for Antarctica and Ocean Research, India for the financial support. A special thanks to Dr. Thamban Meloth, National Center for Antarctica and Ocean Research, Dr. H. S. Negi, Snow &amp; Avalanche Studies Establishment-DRDO, Dr. S.S. Randhawa, State Center on Climate Change-Himachal Pradesh and Prof. Rajesh Kumar Sharda University for suggestions and support during field study.</t>
  </si>
  <si>
    <t>SPRINGER SINGAPORE PTE LTD</t>
  </si>
  <si>
    <t>SINGAPORE</t>
  </si>
  <si>
    <t>#04-01 CENCON I, 1 TANNERY RD, SINGAPORE 347719, SINGAPORE</t>
  </si>
  <si>
    <t>2366-3286</t>
  </si>
  <si>
    <t>2366-3294</t>
  </si>
  <si>
    <t>SPAT INF RES</t>
  </si>
  <si>
    <t>Spat. Inf. Res.</t>
  </si>
  <si>
    <t>10.1007/s41324-016-0026-x</t>
  </si>
  <si>
    <t>FK2ER</t>
  </si>
  <si>
    <t>WOS:000413295900009</t>
  </si>
  <si>
    <t>Hays, GC; Ferreira, LC; Sequeira, AMM; Meekan, MG; Duarte, CM; Bailey, H; Bailleul, F; Don Bowen, W; Caley, MJ; Costa, DP; Eguíluz, VM; Fossette, S; Friedlaender, AS; Gales, N; Gleiss, AC; Gunn, J; Harcourt, R; Hazen, EL; Heithaus, MR; Heupel, M; Holland, K; Horning, M; Jonsen, I; Kooyman, GL; Lowe, CG; Madsen, PT; Marsh, H; Phillips, RA; Righton, D; Ropert-Coudert, Y; Sato, K; Shaffer, SA; Simpfendorfer, CA; Sims, DW; Skomal, G; Takahashi, A; Trathan, PN; Wikelski, M; Womble, JN; Thums, M</t>
  </si>
  <si>
    <t>Hays, Graeme C.; Ferreira, Luciana C.; Sequeira, Ana M. M.; Meekan, Mark G.; Duarte, Carlos M.; Bailey, Helen; Bailleul, Fred; Don Bowen, W.; Caley, M. Julian; Costa, Daniel P.; Eguiluz, Victor M.; Fossette, Sabrina; Friedlaender, Ari S.; Gales, Nick; Gleiss, Adrian C.; Gunn, John; Harcourt, Rob; Hazen, Elliott L.; Heithaus, Michael R.; Heupel, Michelle; Holland, Kim; Horning, Markus; Jonsen, Ian; Kooyman, Gerald L.; Lowe, Christopher G.; Madsen, Peter T.; Marsh, Helene; Phillips, Richard A.; Righton, David; Ropert-Coudert, Yan; Sato, Katsufumi; Shaffer, Scott A.; Simpfendorfer, Colin A.; Sims, David W.; Skomal, Gregory; Takahashi, Akinori; Trathan, Philip N.; Wikelski, Martin; Womble, Jamie N.; Thums, Michele</t>
  </si>
  <si>
    <t>Key Questions in Marine Megafauna Movement Ecology</t>
  </si>
  <si>
    <t>TRENDS IN ECOLOGY &amp; EVOLUTION</t>
  </si>
  <si>
    <t>LIONS EUMETOPIAS-JUBATUS; LONG-DISTANCE MIGRATION; TOP-PREDATOR; OXYGEN-CONSUMPTION; BODY ACCELERATION; ANIMAL-TRACKING; GLOBAL PATTERNS; SCALING LAWS; BEHAVIOR; MANAGEMENT</t>
  </si>
  <si>
    <t>It is a golden age for animal movement studies and so an opportune time to assess priorities for future work. We assembled 40 experts to identify key questions in this field, focussing on marine megafauna, which include a broad range of birds, mammals, reptiles, and fish. Research on these taxa has both underpinned many of the recent technical developments and led to fundamental discoveries in the field. We show that the questions have broad applicability to other taxa, including terrestrial animals, flying insects, and swimming invertebrates, and, as such, this exercise provides a useful roadmap for targeted deployments and data syntheses that should advance the field of movement ecology.</t>
  </si>
  <si>
    <t>[Hays, Graeme C.] Deakin Univ, Geelong, Vic 3217, Australia; [Hays, Graeme C.] Sch Life &amp; Environm Sci, Ctr Integrat Ecol, Warrnambool, Vic 3280, Australia; [Ferreira, Luciana C.; Sequeira, Ana M. M.] IOMRC, Crawley, WA 6009, Australia; [Ferreira, Luciana C.; Sequeira, Ana M. M.] Univ Western Australia, Oceans Inst, Sch Anim Biol, Crawley, WA 6009, Australia; [Ferreira, Luciana C.; Sequeira, Ana M. M.] Univ Western Australia, Ctr Marine Futures, Crawley, WA 6009, Australia; [Ferreira, Luciana C.; Meekan, Mark G.; Thums, Michele] Univ Western Australia, Australian Inst Marine Sci, Oceans Inst, 35 Stirling Highway, Crawley, WA 6009, Australia; [Duarte, Carlos M.] King Abdullah Univ Sci &amp; Technol, Red Sea Res Ctr, Thuwal 239556900, Saudi Arabia; [Bailey, Helen] Univ Maryland, Ctr Environm Sci, Chesapeake Biol Lab, Solomons, MD 20688 USA; [Bailleul, Fred] South Australian Res &amp; Dev Inst Aquat Sci, 2 Hamra Ave, Adelaide, SA 5024, Australia; [Don Bowen, W.] Fisheries &amp; Oceans Canada, Bedford Inst Oceanog, Populat Ecol Div, POB 1006, Dartmouth, NS B2Y 4A2, Canada; [Caley, M. Julian] Australian Res Council Ctr Excellence Math &amp; Stat, Melbourne, Vic, Australia; [Caley, M. Julian; Gunn, John; Heupel, Michelle] Australlan Inst Marine Sci, PMB 3, Townsville, Qld 4810, Australia; [Costa, Daniel P.] Univ Calif Santa Cruz, Dept Ecol &amp; Evolutionary Biol, Santa Cruz, CA 95060 USA; [Eguiluz, Victor M.] UIB, CSIC, IFISC, E-07122 Palma De Mallorca, Spain; [Fossette, Sabrina] Univ Western Australia, Sch Anim Biol, 35 Stirling Highway, Crawley, WA 6009, Australia; [Friedlaender, Ari S.] Oregon State Univ, Marine Mammal Inst, Dept Fisheries &amp; Wildlife, 2030 Marine Sci Dr, Newport, OR 97365 USA; [Gales, Nick] Australian Govt, Dept Environm, Australian Antarctic Div, Kingston, Tas 7050, Australia; [Gleiss, Adrian C.] Murdoch Univ, Sch Vet &amp; Life Sci, Ctr Fish &amp; Fisheries Res, 90 South St, Murdoch, WA 6150, Australia; [Harcourt, Rob; Jonsen, Ian] Macquarie Univ, Dept Biol Sci, Sydney, NSW 2109, Australia; [Hazen, Elliott L.] NOAA, Div Environm Res, Southwest Fisheries Sci Ctr, 99 Pacific St,Suite 255A, Monterey, CA 93940 USA; [Heithaus, Michael R.] Florida Int Univ, Dept Biol Sci, Miami, FL 33174 USA; [Heupel, Michelle; Simpfendorfer, Colin A.] James Cook Univ, Ctr Sustainable Trop Fisheries &amp; Aquaculture, Townsville, Qld 4811, Australia; [Heupel, Michelle; Marsh, Helene; Simpfendorfer, Colin A.] James Cook Univ, Coll Marine &amp; Environm Sci, Townsville, Qld 4811, Australia; [Holland, Kim] Univ Hawaii Manoa, Hawaii Inst Marine Biol, POB 1346, Kaneohe, HI 96744 USA; [Horning, Markus] Alaska SeaLife Ctr, Dept Sci, Seward, AK 99664 USA; [Kooyman, Gerald L.] Univ Calif San Diego, Scripps Inst Oceanog, San Diego, CA 92093 USA; [Lowe, Christopher G.] Calif State Univ Long Beach, Dept Biol Sci, Long Beach, CA 90840 USA; [Madsen, Peter T.] Aarhus Univ, Dept Biosci, Zoophysiol, DK-8000 Aarhus, Denmark; [Madsen, Peter T.] Murdoch Univ, Sch Vet &amp; Life Sci, Cetacean Res Unit, Perth, WA 6150, Australia; [Phillips, Richard A.; Trathan, Philip N.] British Antarctic Survey, Nat Environm Res Council, Cambridge CB3 0ET, England; [Righton, David] Cefas Lab, Fisheries &amp; Ecosyst Div, Pakefield Rd, Lowestoft NR34 7RU, Suffolk, England; [Ropert-Coudert, Yan] Univ La Rochelle, Ctr Etud Biol Chize, Stn Ecol Chize, CNRS,UMR 7372, F-79360 Villiers En Bois, France; [Sato, Katsufumi] Univ Tokyo, Atmosphere &amp; Ocean Res Inst, 5-1-5 Kashiwanoha, Kashiwa, Chiba 2778564, Japan; [Shaffer, Scott A.] San Jose State Univ, Dept Biol Sci, San Jose, CA 95192 USA; [Sims, David W.] Marine Biol Assoc UK, Citadel Hill, Plymouth PL1 2PB, Devon, England; [Sims, David W.] Univ Southampton, Natl Oceanog Ctr Southampton, Ocean &amp; Earth Sci, Waterfront Campus, Southampton S014 3ZH, Hants, England; [Sims, David W.] Univ Southampton, Ctr Biol Sci, Bldg 85,Highfield Campus, Southampton SO17 1BJ, Hants, England; [Skomal, Gregory] Massachusetts Shark Res Project, Div Marine Fisheries, 1213 Purchase St, New Bedford, MA 02740 USA; [Takahashi, Akinori] Natl Inst Polar Res, Tachikawa, Tokyo 1908518, Japan; [Wikelski, Martin] Max Planck Inst Ornithol, Dept Migrat &amp; ImmunoEcol, Obstberg 1, D-78315 Radolfzell am Bodensee, Germany; [Wikelski, Martin] Univ Konstanz, Dept Biol, D-78457 Constance, Germany; [Womble, Jamie N.] Natl Pk Serv, Glacier Bay Field Stn, 3100 Natl Pk Rd, Juneau, AK 99801 USA</t>
  </si>
  <si>
    <t>Deakin University; University of Western Australia; University of Western Australia; Australian Institute of Marine Science; University of Western Australia; King Abdullah University of Science &amp; Technology; University System of Maryland; University of Maryland Center for Environmental Science; Fisheries &amp; Oceans Canada; Bedford Institute of Oceanography; Melbourne Genomics Health Alliance; University of California System; University of California Santa Cruz; Consejo Superior de Investigaciones Cientificas (CSIC); Universitat de les Illes Balears; CSIC-UIB - Instituto de Fisica Interdisciplinar y Sistemas Complejos (IFISC); University of Western Australia; Oregon State University; Australian Antarctic Division; Murdoch University; Macquarie University; National Oceanic Atmospheric Admin (NOAA) - USA; State University System of Florida; Florida International University; James Cook University; James Cook University; University of Hawaii System; University of Hawaii Manoa; University of California System; University of California San Diego; Scripps Institution of Oceanography; California State University System; California State University Long Beach; Aarhus University; Murdoch University; UK Research &amp; Innovation (UKRI); Natural Environment Research Council (NERC); NERC British Antarctic Survey; Centre for Environment Fisheries &amp; Aquaculture Science; Centre National de la Recherche Scientifique (CNRS); CNRS - Institute of Ecology &amp; Environment (INEE); La Rochelle Universite; University of Tokyo; California State University System; San Jose State University; Marine Biological Association United Kingdom; University of Southampton; NERC National Oceanography Centre; University of Southampton; Research Organization of Information &amp; Systems (ROIS); National Institute of Polar Research (NIPR) - Japan; Max Planck Society; University of Konstanz; United States Department of the Interior</t>
  </si>
  <si>
    <t>Hays, GC (corresponding author), Deakin Univ, Geelong, Vic 3217, Australia.;Hays, GC (corresponding author), Sch Life &amp; Environm Sci, Ctr Integrat Ecol, Warrnambool, Vic 3280, Australia.</t>
  </si>
  <si>
    <t>g.hays@deakin.edu.au</t>
  </si>
  <si>
    <t>Righton, David/D-6140-2013; Duarte, Carlos M/A-7670-2013; Heithaus, Michael/AAF-9914-2020; Holland, Kim/ABH-1490-2021; Duarte Quesada, Carlos Manuel/ABD-6208-2021; Sequeira, Ana M M/AAE-9741-2021; Eguíluz, Víctor M./B-9655-2008; Simpfendorfer, Colin A/G-9681-2011; Hazen, Elliott/G-4149-2014; Bailey, Helen/E-6813-2012; Shaffer, Scott/D-5015-2009; Horning, Markus/I-3019-2015; Costa, Daniel Paul/E-2616-2013; Madsen, Peter T./K-5832-2013; Thums, Michele/A-3850-2013</t>
  </si>
  <si>
    <t>Duarte, Carlos M/0000-0002-1213-1361; Heithaus, Michael/0000-0002-3219-1003; Sequeira, Ana M M/0000-0001-6906-799X; Eguíluz, Víctor M./0000-0003-1133-1289; Hazen, Elliott/0000-0002-0412-7178; Jonsen, Ian/0000-0001-5423-6076; Gleiss, Adrian/0000-0002-9960-2858; Shaffer, Scott/0000-0002-7751-5059; Hays, Graeme/0000-0002-3314-8189; Horning, Markus/0000-0001-6178-4935; Righton, David/0000-0001-8643-3672; Costa, Daniel Paul/0000-0002-0233-5782; Sims, David/0000-0002-0916-7363; Madsen, Peter T./0000-0002-5208-5259; Harcourt, Robert/0000-0003-4666-2934; Thums, Michele/0000-0002-8669-8440; , gerald/0000-0002-8872-2950; Heupel, Michelle/0000-0002-8245-7332; Meekan, Mark/0000-0002-3067-9427; Fossette, Sabrina/0000-0001-8580-9084; Takahashi, Akinori/0000-0002-9868-0408; Cerqueira Ferreira, Luciana/0000-0001-6755-2799; Womble, Jamie/0000-0002-6635-1490</t>
  </si>
  <si>
    <t>UWA Oceans Institute; Australian Institute of Marine Science; Office of Sponsored Research at King Abdullah University of Science and Technology (KAUST); NERC [bas0100035] Funding Source: UKRI; Natural Environment Research Council [bas0100035] Funding Source: researchfish</t>
  </si>
  <si>
    <t>UWA Oceans Institute; Australian Institute of Marine Science; Office of Sponsored Research at King Abdullah University of Science and Technology (KAUST); NERC(UK Research &amp; Innovation (UKRI)Natural Environment Research Council (NERC)); Natural Environment Research Council(UK Research &amp; Innovation (UKRI)Natural Environment Research Council (NERC))</t>
  </si>
  <si>
    <t>G.C.H. conceived the study at a workshop organized by M.T., A.M.M.S., M.M., V.M.E., and C.M.D. G.C.H. assembled the questions with help from L.C.F., M.T., A.M.M.S., and M.M. All authors submitted questions and voted on the assembled questions. G.C.H. wrote the manuscript with W.D.B., Y.R.C., E.L.H., M.M., A.M.M.S., D.W.S., A.T., L.C.F., M.T., P.N.T., and P.T.M. All authors commented on drafts. Workshop funding was granted to M.T., A.M.M.S., and C.M.D. by the UWA Oceans Institute, the Australian Institute of Marine Science, and the Office of Sponsored Research at King Abdullah University of Science and Technology (KAUST).</t>
  </si>
  <si>
    <t>ELSEVIER SCIENCE LONDON</t>
  </si>
  <si>
    <t>84 THEOBALDS RD, LONDON WC1X 8RR, ENGLAND</t>
  </si>
  <si>
    <t>0169-5347</t>
  </si>
  <si>
    <t>1872-8383</t>
  </si>
  <si>
    <t>TRENDS ECOL EVOL</t>
  </si>
  <si>
    <t>Trends Ecol. Evol.</t>
  </si>
  <si>
    <t>10.1016/j.tree.2016.02.015</t>
  </si>
  <si>
    <t>Ecology; Evolutionary Biology; Genetics &amp; Heredity</t>
  </si>
  <si>
    <t>Environmental Sciences &amp; Ecology; Evolutionary Biology; Genetics &amp; Heredity</t>
  </si>
  <si>
    <t>DN1DY</t>
  </si>
  <si>
    <t>Green Accepted, Green Submitted</t>
  </si>
  <si>
    <t>Y</t>
  </si>
  <si>
    <t>N</t>
  </si>
  <si>
    <t>WOS:000376807700009</t>
  </si>
  <si>
    <t>Amin, MN; Carter, CG; Barnes, RSK; Adams, LR</t>
  </si>
  <si>
    <t>Amin, M. N.; Carter, C. G.; Barnes, R. S. Katersky; Adams, L. R.</t>
  </si>
  <si>
    <t>Protein and energy nutrition of brook trout (Salvelinus fontinalis) at optimal and elevated temperatures</t>
  </si>
  <si>
    <t>AQUACULTURE NUTRITION</t>
  </si>
  <si>
    <t>brook trout; climate change; factorial model; feed formulation; nutrient requirement</t>
  </si>
  <si>
    <t>SALMON SALMO-SALAR; BASS DICENTRARCHUS-LABRAX; RAINBOW-TROUT; ATLANTIC SALMON; BODY-COMPOSITION; NUTRIENT DEPOSITION; FEED-UTILIZATION; APPARENT DIGESTIBILITY; ONCORHYNCHUS-MYKISS; FACTORIAL APPROACH</t>
  </si>
  <si>
    <t>The digestible protein (DP) and digestible energy (DE) requirements for maintenance and growth of brook trout (Salvelinus fontinalis) were determined using a factorial model at either optimum (15 degrees C) or elevated temperature (19 degrees C). Several key parameters of the factorial model were measured using a series of inter-related studies. The maintenance requirements for DP and DE were 0.10 gDP kg(-0.69) day(-1) (15 degrees C) and 0.31 gDP kg(-0.78) day(-1) (19 degrees C), and 34.86 kJDE kg(-0.84) day(-1) (15 degrees C) and 46.14 kJDE kg(-0.86) day(-1) (19 degrees C). The total requirements for DP were 0.10 gDP kg(-0.69) day(-1) + 2.14PG (protein gain) (15 degrees C) and 0.31 gDP kg(-0.78) day(-1) + 1.98PG (19 degrees C). The total requirements for DE were 36.86 kJDE kg-0.84 day(-1) + 1.58EG (energy gain) (15 degrees C) and 46.14 kJDE kg-0.86 day(-1) + 1.64EG (19 degrees C). The partial efficiencies for growth were 0.47 (15 degrees C) and 0.51 (19 degrees C) for protein, and 0.63 (15 degrees C) and 0.61 (19 degrees C) for energy. Nutrient gain was lower at the elevated temperature; however, feed formulation for brook trout should be adjusted to match changes in nutrient requirements at different culture temperatures. The protein and energy requirements model will be useful for developing commercial feeds and feeding charts for brook trout.</t>
  </si>
  <si>
    <t>[Amin, M. N.; Carter, C. G.; Barnes, R. S. Katersky; Adams, L. R.] Univ Tasmania, Inst Marine &amp; Antarctic Studies, Fisheries &amp; Aquaculture Ctr, Hobart, Tas 7001, Australia</t>
  </si>
  <si>
    <t>University of Tasmania</t>
  </si>
  <si>
    <t>Amin, MN (corresponding author), Univ Tasmania, Inst Marine &amp; Antarctic Studies, Fisheries &amp; Aquaculture Ctr, Hobart, Tas 7001, Australia.</t>
  </si>
  <si>
    <t>DR.Amin0877@gmail.com</t>
  </si>
  <si>
    <t>Adams, Louise/AAH-4511-2020; Carter, Chris Guy/A-3438-2008; Amin, Md Nurul/GXV-3562-2022</t>
  </si>
  <si>
    <t>Adams, Louise/0000-0001-5535-5253; Carter, Chris Guy/0000-0001-5210-1282; Amin, Md. Nurul/0000-0002-3640-6913</t>
  </si>
  <si>
    <t>Endeavour International Postgraduate Research Scholarship (EIPRS) award, University of Tasmania, Australia</t>
  </si>
  <si>
    <t>Endeavour International Postgraduate Research Scholarship (EIPRS) award, University of Tasmania, Australia(Australian GovernmentDepartment of Industry, Innovation and Science)</t>
  </si>
  <si>
    <t>This study was supported by an Endeavour International Postgraduate Research Scholarship (EIPRS) award, University of Tasmania, Australia. I acknowledge Mountain Stream Fishery (Nunamara, Tasmania, Australia) for donating fish and also Skretting, Australia, for providing fish meal and fish oil for this study. A special thanks to Petuna Seafoods Pty Ltd (Cressy, Tasmania) for providing commercial growth data. The experiment was greatly assisted by Dr Mark Adams. We are grateful to Dr Trevor Lewis, Department of Chemistry, University of Tasmania, Australia, for Flame AA analysis. We are also grateful to Dominique P Bureau, UG/OMNR Fish Nutrition Research Lab, Dept. of Animal and Poultry Science, University of Guelph, Canada, for his valuable suggestion to choose regression model of nutrient intake and its response.</t>
  </si>
  <si>
    <t>1353-5773</t>
  </si>
  <si>
    <t>1365-2095</t>
  </si>
  <si>
    <t>AQUACULT NUTR</t>
  </si>
  <si>
    <t>Aquac. Nutr.</t>
  </si>
  <si>
    <t>10.1111/anu.12274</t>
  </si>
  <si>
    <t>Fisheries</t>
  </si>
  <si>
    <t>DK2XP</t>
  </si>
  <si>
    <t>WOS:000374778000004</t>
  </si>
  <si>
    <t>Rabbia, V; Bello-Toledo, H; Jiménez, S; Quezada, M; Domínguez, M; Vergara, L; Gómez-Fuentes, C; Calisto-Ulloa, N; González-Acuña, D; López, J; González-Rocha, G</t>
  </si>
  <si>
    <t>Rabbia, Virginia; Bello-Toledo, Helia; Jimenez, Sebastian; Quezada, Mario; Dominguez, Mariana; Vergara, Luis; Gomez-Fuentes, Claudio; Calisto-Ulloa, Nancy; Gonzalez-Acuna, Daniel; Lopez, Juana; Gonzalez-Rocha, Gerardo</t>
  </si>
  <si>
    <t>Antibiotic resistance in Escherichia coli strains isolated from Antarctic bird feces, water from inside a wastewater treatment plant, and seawater samples collected in the Antarctic Treaty area</t>
  </si>
  <si>
    <t>POLAR SCIENCE</t>
  </si>
  <si>
    <t>Antibiotic resistance; Antarctica; Fildes Peninsula; Escherichia coli</t>
  </si>
  <si>
    <t>ANTIMICROBIAL RESISTANCE; ENTERIC BACTERIA</t>
  </si>
  <si>
    <t>Antibiotic resistance is a problem of global concern and is frequently associated with human activity. Studying antibiotic resistance in bacteria isolated from pristine environments, such as Antarctica, extends our understanding of these fragile ecosystems. Escherichia coli strains, important fecal indicator bacteria, were isolated on the Fildes Peninsula (which has the strongest human influence in Antarctica), from seawater, bird droppings, and water samples from inside a local wastewater treatment plant. The strains were subjected to molecular typing with pulsed-field gel electrophoresis to determine their genetic relationships, and tested for antibiotic susceptibility with disk diffusion tests for several antibiotic families: beta-lactams, quinolones, aminoglycosides, tetracyclines, phenicols, and trimethoprim -sulfonamide. The highest E. coli count in seawater samples was 2400 cfu/100 mL. Only strains isolated from seawater and the wastewater treatment plant showed any genetic relatedness between groups. Strains of both these groups were resistant to beta-lactams, aminoglycosides, tetracycline, and trimethoprim -sulfonamide. In contrast, strains from bird feces were susceptible to all the antibiotics tested. We conclude that naturally occurring antibiotic resistance in E. coli strains isolated from Antarctic bird feces is rare and the bacterial antibiotic resistance found in seawater is probably associated with discharged treated wastewater originating from Fildes Peninsula treatment plants. (C) 2016 Elsevier B.V. and NIPR. All rights reserved.</t>
  </si>
  <si>
    <t>[Rabbia, Virginia; Bello-Toledo, Helia; Quezada, Mario; Dominguez, Mariana; Gonzalez-Rocha, Gerardo] Univ Concepcion, Fac Ciencias Biol, Lab Invest Agentes Antibacterianos, Concepcion, Chile; [Jimenez, Sebastian] Univ Concepcion, Fac Ciencias Nat &amp; Oceanog, Concepcion, Chile; [Vergara, Luis] Univ San Sebastian, Fac Ciencia, Concepcion, Chile; [Gomez-Fuentes, Claudio; Calisto-Ulloa, Nancy] Univ Magallanes, Dept Ingn Quim, Punta Arenas, Chile; [Gonzalez-Acuna, Daniel] Univ Concepcion, Fac Ciencias Vet, Dept Ciencias Pecuarias, Concepcion, Chile; [Lopez, Juana] Univ Concepcion, Fac Ciencias Vet, Dept Patol &amp; Med Prevent, Concepcion, Chile</t>
  </si>
  <si>
    <t>Universidad de Concepcion; Universidad de Concepcion; Universidad San Sebastian; Universidad de Magallanes; Universidad de Concepcion; Universidad de Concepcion</t>
  </si>
  <si>
    <t>Bello-Toledo, H (corresponding author), Arco Univ Concepcion, Dept Microbiol, Fac Ciencias Biol, Barrio Univ S-N,POB 160-C, Concepcion, Chile.</t>
  </si>
  <si>
    <t>hbello@udec.cl</t>
  </si>
  <si>
    <t>Gonzalez, Luis Vergara/N-4886-2017; Jimenez, Sebastian Jimenez S/K-6168-2017; Gonzalez, Gerardo/KHE-5265-2024; Gonzalez-Rocha, Gerardo/AAP-1793-2021; Jimenez, Sebastian/JMC-9419-2023; Bello-Toledo, H/AAA-2387-2022; Gonzalez, Luis Vergara/P-6897-2019</t>
  </si>
  <si>
    <t>Gonzalez, Luis Vergara/0000-0002-9287-2855; Gonzalez-Rocha, Gerardo/0000-0003-2351-1236; Bello-Toledo, H/0000-0002-9277-4681; Gonzalez, Luis Vergara/0000-0002-9287-2855; Calisto Ulloa, Nancy Cristina/0000-0002-5517-1750</t>
  </si>
  <si>
    <t>INACH projects [RT_06-12, RT_12-13, MA_01-12]</t>
  </si>
  <si>
    <t>INACH projects</t>
  </si>
  <si>
    <t>The contribution of INACH projects RT_06-12, RT_12-13 and MA_01-12 to the funding of this study is greatly appreciated. We also thank Dr. Celia Fernandes de Lima and Dr. Diane Haughney for their help with English grammar and editing.</t>
  </si>
  <si>
    <t>1873-9652</t>
  </si>
  <si>
    <t>1876-4428</t>
  </si>
  <si>
    <t>POLAR SCI</t>
  </si>
  <si>
    <t>Polar Sci.</t>
  </si>
  <si>
    <t>10.1016/j.polar.2016.04.002</t>
  </si>
  <si>
    <t>Ecology; Geosciences, Multidisciplinary</t>
  </si>
  <si>
    <t>Environmental Sciences &amp; Ecology; Geology</t>
  </si>
  <si>
    <t>DL3TY</t>
  </si>
  <si>
    <t>WOS:000375557500002</t>
  </si>
  <si>
    <t>Aoyama, Y; Kim, TH; Doi, K; Hayakawa, H; Higashi, T; Ohsono, S; Shibuya, K</t>
  </si>
  <si>
    <t>Aoyama, Yuichi; Kim, Tae-Hee; Doi, Koichiro; Hayakawa, Hideaki; Higashi, Toshihiro; Ohsono, Shingo; Shibuya, Kazuo</t>
  </si>
  <si>
    <t>Observations of vertical tidal motions of a floating iceberg in front of Shirase Glacier, East Antarctica, using a geodetic-mode GPS buoy</t>
  </si>
  <si>
    <t>Vertical tidal motion by GPS-buoy; Fluctuating horizontal flow; Tidal harmonic; Global ocean tide model; Subsidence by basal melting</t>
  </si>
  <si>
    <t>SEA-LEVEL VARIATION; LUTZOW-HOLM BAY; ICE; EFFICIENT</t>
  </si>
  <si>
    <t>A dual-frequency GPS receiver was deployed on a floating iceberg downstream of the calving front of Shirase Glacier, East Antarctica, on 28 December 2011 for utilizing as floating buoy. The three-dimensional position of the buoy was obtained by GPS every 30 s with a 4-5-cm precision for ca. 25 days. The height uncertainty of the 1-h averaged vertical position was similar to 0.5 cm, even considering the uncertainties of un-modeled ocean loading effects. The daily evolution of north-south (NS), east-west (EW), and up-down (UD) motions shows periodic UD variations sometimes attaining an amplitude of 1 m. Observed amplitudes of tidal harmonics of major constituents were 88%-93% (O1) and 85%-88% (M2) of values observed in the global ocean tide models FES2004 and TPXO-8 Atlas. The basal melting rate of the iceberg is estimated to be similar to 0.6 m/day, based on a firn densification model and using a quasi-linear sinking rate of the iceberg surface. The 30-s sampling frequency geodetic-mode GPS buoy helps to reveal ice-ocean dynamics around the calving front of Antarctic glaciers. (C) 2016 Elsevier B.V. and NIPR. All rights reserved.</t>
  </si>
  <si>
    <t>[Aoyama, Yuichi; Doi, Koichiro; Hayakawa, Hideaki; Shibuya, Kazuo] Res Org Informat &amp; Syst, Natl Inst Polar Res, 10-3 Midori Cho, Tachikawa, Tokyo 1908518, Japan; [Aoyama, Yuichi; Doi, Koichiro] Grad Univ Adv Studies SOKENDAI, Sch Multidisciplinary Sci, Dept Polar Sci, 10-3 Midori Cho, Tachikawa, Tokyo 1908518, Japan; [Kim, Tae-Hee] Tohoku Univ, Aoba Ku, 6-3 Aramaki Aza Aoba, Sendai, Miyagi 9808578, Japan; [Higashi, Toshihiro] TerraGrav LLC, Fushimi Ku, 1-31 Momoyama Minami Oshima Cho, Kyoto 6128017, Japan; [Ohsono, Shingo] GNSS Technol Inc, Shinjuku Ku, 4th Floor Matsuki Bldg,6-12-5 Shinjuku, Tokyo 1600022, Japan</t>
  </si>
  <si>
    <t>Research Organization of Information &amp; Systems (ROIS); National Institute of Polar Research (NIPR) - Japan; Graduate University for Advanced Studies - Japan; Tohoku University</t>
  </si>
  <si>
    <t>Aoyama, Y (corresponding author), Res Org Informat &amp; Syst, Natl Inst Polar Res, 10-3 Midori Cho, Tachikawa, Tokyo 1908518, Japan.</t>
  </si>
  <si>
    <t>aoyama@nipr.ac.jp</t>
  </si>
  <si>
    <t>National Institute of Polar Research (NIPR); Ministry of Education, Culture, Sports, Science and Technology; NIPR</t>
  </si>
  <si>
    <t>National Institute of Polar Research (NIPR)(National Institute of Polar Research (NIPR) - Japan); Ministry of Education, Culture, Sports, Science and Technology(Ministry of Education, Culture, Sports, Science and Technology, Japan (MEXT)); NIPR(National Institute of Polar Research (NIPR) - Japan)</t>
  </si>
  <si>
    <t>This research was conducted as part of the Science Program of the Japanese Antarctic Research Expedition (JARE), supported by the National Institute of Polar Research (NIPR) and the Ministry of Education, Culture, Sports, Science and Technology. Deployment and recovery of the GPS-buoy were conducted as part of the summer operations of the 53rd JARE (JARE-53). We are grateful for the assistance provided by members of JARE-53 and the crew of the Icebreaker Shirase 5003. The publication of this paper is supported by an NIPR publication subsidy. The authors thank two anonymous reviewers for helpful and insightful comments.</t>
  </si>
  <si>
    <t>10.1016/j.polar.2016.02.005</t>
  </si>
  <si>
    <t>WOS:000375557500003</t>
  </si>
  <si>
    <t>Folco, L; D'Orazio, M; Gemelli, M; Rochette, P</t>
  </si>
  <si>
    <t>Folco, Luigi; D'Orazio, Massimo; Gemelli, Maurizio; Rochette, Pierre</t>
  </si>
  <si>
    <t>Stretching out the Australasian microtektite strewn field in Victoria Land Transantarctic Mountains</t>
  </si>
  <si>
    <t>Microtektite; Australasian; Impact cratering; Transantarctic Mountains; Bedrock denudation; East Antarctic Ice Sheet</t>
  </si>
  <si>
    <t>SOUTH CHINA SEA; CONSTRAINTS; LOCATION; BE-10; REVERSAL; TEKTITES; HISTORY; SIZE</t>
  </si>
  <si>
    <t>Petrographic and geochemical studies of microtektites collected in newly explored summit plateaus of the Transantarctic Mountains (i.e., Schroeder Spur, Killer Nunatak, Miller Butte in the inland catchment of the Rennick Glacier, and Allan Hills, in the inland catchment of the Mackay-David Glaciers) document a regional distribution of Australasian microtektites in Victoria Land. A geochemical comparison with Australasian microtektites from deep sea sediments at lower latitudes identifies a possible projectile geochemical signature for the first time, and confirms that Transantarctic Mountains microtektites experienced higher thermal regimes. Ballistic calculations reveal that the extraordinary distance of the Transantarctic Mountains microtektites from the hypothetical impact location in Indochina (similar to 11,000 km) could be more efficiently attained at relatively low ejection angles (20 degrees-40 degrees). Finally, the occurrence of Australasian microtektites (similar to 0.8 Ma old) on specific glacial surfaces of the Antarctic bedrock constrains the glacial history of the East Antarctic Ice Sheet in Victoria Land. In particular, data from Allan Hills supports a glaciological scenario envisaging an extremely stable East Antarctic Ice Sheet over at least the last similar to 1 Ma in the inland catchment of the Mackay/David glaciers. This is consistent with the large accumulation of meteorites in the adjacent blue ice fields. (C) 2016 Elsevier B.V. and NIPR. All rights reserved.</t>
  </si>
  <si>
    <t>[Folco, Luigi; D'Orazio, Massimo; Gemelli, Maurizio] Univ Pisa, Dipartimento Sci Terra, Via S Maria 53, I-56126 Pisa, Italy; [Rochette, Pierre] Aix Marseille Univ, CNRS, IRD, CEREGE UM34, Technopole Arbois BP80, F-13545 Aix En Provence 4, France</t>
  </si>
  <si>
    <t>University of Pisa; Universite PSL; College de France; Aix-Marseille Universite; Centre National de la Recherche Scientifique (CNRS); Institut de Recherche pour le Developpement (IRD)</t>
  </si>
  <si>
    <t>Folco, L (corresponding author), Univ Pisa, Dipartimento Sci Terra, Via S Maria 53, I-56126 Pisa, Italy.</t>
  </si>
  <si>
    <t>luigi.folco@unipi.it</t>
  </si>
  <si>
    <t>Rochette, Pierre/O-4612-2019; Folco, Luigi/AAB-8586-2021; Folco, Luigi/AAA-6351-2020; Gemelli, Maurizio/F-6244-2013</t>
  </si>
  <si>
    <t>Rochette, Pierre/0000-0002-7362-0660; D'Orazio, Massimo/0000-0003-1366-3260; Gemelli, Maurizio/0000-0001-5621-0339; Folco, Luigi/0000-0002-7276-3483</t>
  </si>
  <si>
    <t>Italian Programma Nazionale delle Ricerche in Antartide (PNRA) [PEA2013 AZ2.04]; Pisa University's Fondi di Ateneo; Italian Ministero dell'Istruzione, dell'Universita e della Ricerca, MIUR [RBFR13FIVO]</t>
  </si>
  <si>
    <t>Italian Programma Nazionale delle Ricerche in Antartide (PNRA)(Ministry of Education, Universities and Research (MIUR)); Pisa University's Fondi di Ateneo; Italian Ministero dell'Istruzione, dell'Universita e della Ricerca, MIUR(Ministry of Education, Universities and Research (MIUR))</t>
  </si>
  <si>
    <t>This work is supported by the Italian Programma Nazionale delle Ricerche in Antartide (PNRA) through the PEA2013 AZ2.04 Meteoriti Antartiche. LF and MDO research is also supported by Pisa University's Fondi di Ateneo. MG is also supported by the Italian Ministero dell'Istruzione, dell'Universita e della Ricerca, MIUR 'Futuro in Ricerca Programme 2013' (project ID#: RBFR13FIVO). Dr. Alberto Zanetti is thanked in LA-ICP-MS analyses. Two anonymous reviewers are kindly acknowledged for constructive review. The Associate Editor, Prof. Akira Yamaguchi, is thanked for editorial handling.</t>
  </si>
  <si>
    <t>10.1016/j.polar.2016.02.004</t>
  </si>
  <si>
    <t>WOS:000375557500005</t>
  </si>
  <si>
    <t>Mahé, K; Elleboode, R; Loots, C; Koubbi, P</t>
  </si>
  <si>
    <t>Mahe, Kelig; Elleboode, Romain; Loots, Christophe; Koubbi, Philippe</t>
  </si>
  <si>
    <t>Growth of an Inshore Antarctic fish, Trematomus newnesi (Nototheniidae), off Adelie Land</t>
  </si>
  <si>
    <t>Antarctic fish; Trematomus newnesi; Otoliths; Growth; Age; Adelie land</t>
  </si>
  <si>
    <t>TERRA-NOVA BAY; SOUTH SHETLAND ISLANDS; OTOLITH WEIGHT; MORPHOLOGICAL VARIABILITY; SOMATIC GROWTH; POTTER COVE; AGE; TEMPERATURE; POPULATIONS; PLASTICITY</t>
  </si>
  <si>
    <t>Dusky rockcod, Trematomus newnesi, is a widely distributed neritic circumpolar Antarctic fish species. We conducted a study on age and growth of T. newnesi in coastal waters of Adelie Land in East Antarctica. A total of 289 specimens were collected in 2003, 2005, 2006 and 2009. They consisted of 122 females, 132 males and 35 immature specimens. Total length (TL) and total weight (W) of these fish ranged from 13.5 to 25 cm and 19.7-174 g respectively for females and from 12 to 20.9 cm and from 24.1 to 144.1 g for males. The TL/W relationship was described by the following parameters: a = 7.2.10(-3) and b = 3.127, showing no significant difference between sex (ANCOVA, P &lt; 0.05). Fish age was estimated by counting annual growth increments on polished transverse sections of sagittal otoliths. Age estimates varied from 3 to 14 years. There was a significant relationship between otolith morphological features (weight and radius) and age with no difference between males and females (p &gt; 0.05). The estimated values of Von Bertalanffy growth curve L infinity (cm), W-infinity (g) and k were 26.6, 200.6 and 0.13 for females and 24.5, 147.0 and 0.15 for males respectively. The indices of growth performance between sexes were not significant. However, potential difference in growth rate between the morphs cannot be neglected. (C) 2016 Elsevier B.V. and NIPR. All rights reserved.</t>
  </si>
  <si>
    <t>[Mahe, Kelig; Elleboode, Romain] IFREMER, Lab Ressources Halieut, Sclerochronol Ctr, 150 Quai Gambetta,BP699, F-62321 Boulogne Sur Mer, France; [Loots, Christophe] IFREMER, Lab Ressources Halieut, Pole Zooplancton, 150 Quai Gambetta,BP699, F-62321 Boulogne Sur Mer, France; [Koubbi, Philippe] Univ Paris 06, Sorbonne Univ, UMR BOREA 7208, Museum Natl Hist Nat, 43 Rue Cuvier,CP 26, F-75005 Paris, France</t>
  </si>
  <si>
    <t>Ifremer; Ifremer; Centre National de la Recherche Scientifique (CNRS); Institut de Recherche pour le Developpement (IRD); Museum National d'Histoire Naturelle (MNHN); Sorbonne Universite; CNRS - Institute of Ecology &amp; Environment (INEE)</t>
  </si>
  <si>
    <t>Mahé, K (corresponding author), IFREMER, Lab Ressources Halieut, Sclerochronol Ctr, 150 Quai Gambetta,BP699, F-62321 Boulogne Sur Mer, France.</t>
  </si>
  <si>
    <t>kelig.mahe@ifremer.fr</t>
  </si>
  <si>
    <t>Koubbi, Philippe/D-5873-2015</t>
  </si>
  <si>
    <t>mahe, kelig/0000-0002-6506-211X; Loots, Christophe/0000-0002-7344-1777</t>
  </si>
  <si>
    <t>10.1016/j.polar.2016.02.003</t>
  </si>
  <si>
    <t>Green Published</t>
  </si>
  <si>
    <t>WOS:000375557500007</t>
  </si>
  <si>
    <t>Hiess, J; Bennett, VC</t>
  </si>
  <si>
    <t>Hiess, Joe; Bennett, Vickie C.</t>
  </si>
  <si>
    <t>Chondritic Lu/Hf in the early crust-mantle system as recorded by zircon populations from the oldest Eoarchean rocks of Yilgarn Craton, West Australia and Enderby Land, Antarctica</t>
  </si>
  <si>
    <t>CHEMICAL GEOLOGY</t>
  </si>
  <si>
    <t>Zircon; Hafnium; Eoarchean; Antarctica; Australia; Crust</t>
  </si>
  <si>
    <t>NARRYER GNEISS COMPLEX; HF-ISOTOPE ANALYSIS; U-PB AGES; LU-HF; JACK HILLS; HAFNIUM ISOTOPES; DETRITAL ZIRCONS; NAPIER COMPLEX; SM-ND; RADIOGENIC PB</t>
  </si>
  <si>
    <t>A persistent question in early Earth investigations is the depletion history of the mantle as recorded in the isotopic compositions of the oldest rocks and minerals. Here we present new, in situ, sensitive high resolution ion microprobe (SHRIMP) U-Th-Pb geochronology, and laser ablation multi-collector inductively coupled plasma mass spectrometry (LA-MC-ICPMS) Lu-Hf tracing data for individual zircons extracted from the oldest rocks of the Antarctic and Australian continents. These are 3.88 and 3.85 Ga orthogneisses from the Gage Ridge and Mt. Sones in Enderby Land and a 3.73 Ga Meeberrie gneiss from the Yilgarn Craton. The zircons from each sample show complex U-Th-Pb systematics due to the mobile behaviour of Pb, resulting in several age populations with discordant to reversely discordant arrays on concordia plots. In contrast, measured Hf-176/Hf-177 compositions from the same analysis sites show narrowly defined compositional ranges, with 3 or fewer groups for each sample, reflecting the resistance of Hf-176/Hf-177 in zircons to disturbance even under high-temperature, granulite conditions. The initial Hf-176/Hf-177 calculated for the most primitive Hf population for each sample using the best age estimate yields near-chondritic weighted mean compositions of -1.6 +/- 0.5, -1.6 +/- 0.4 and -0.6 +/- 0.7 epsilon units (deviations in parts per 10,000 from a chondritic uniform reservoir (CHUR) reference) at 3877 +/- 62, 3850 +/- 50, and 3731 +/- 4 Ma respectively. These results provide no evidence for significant Lu-Hf fractionation on the early Earth expected to result from processes including accretion, intra-mantle differentiation, or massive Hadean crustal growth. (C) 2016 Elsevier B.V. All rights reserved.</t>
  </si>
  <si>
    <t>[Hiess, Joe; Bennett, Vickie C.] Australian Natl Univ, Res Sch Earth Sci, GPO Box 4, Canberra, ACT 2601, Australia</t>
  </si>
  <si>
    <t>Australian National University</t>
  </si>
  <si>
    <t>Hiess, J (corresponding author), Australian Natl Univ, Res Sch Earth Sci, GPO Box 4, Canberra, ACT 2601, Australia.</t>
  </si>
  <si>
    <t>joehiess@hotmail.com</t>
  </si>
  <si>
    <t>Bennett, Vickie/0000-0003-0937-3471</t>
  </si>
  <si>
    <t>0009-2541</t>
  </si>
  <si>
    <t>1872-6836</t>
  </si>
  <si>
    <t>CHEM GEOL</t>
  </si>
  <si>
    <t>Chem. Geol.</t>
  </si>
  <si>
    <t>10.1016/j.chemgeo.2016.02.011</t>
  </si>
  <si>
    <t>DG0OV</t>
  </si>
  <si>
    <t>WOS:000371765500011</t>
  </si>
  <si>
    <t>Moiseyenko, YV; Sukhorukov, VI; Pyshnov, GY; Mankovska, IM; Rozova, KV; Miroshnychenko, OA; Kovalevska, OE; Madjar, SAY; Bubnov, RV; Gorbach, AO; Danylenko, KM; Moiseyenko, OI</t>
  </si>
  <si>
    <t>Moiseyenko, Yevhen V.; Sukhorukov, Viktor I.; Pyshnov, Georgiy Yu; Mankovska, Iryna M.; Rozova, Kateryna V.; Miroshnychenko, Olena A.; Kovalevska, Olena E.; Madjar, Stefan-Arpad Y.; Bubnov, Rostyslav V.; Gorbach, Anatoliy O.; Danylenko, Kostiantyn M.; Moiseyenko, Olga I.</t>
  </si>
  <si>
    <t>Antarctica challenges the new horizons in predictive, preventive, personalized medicine: preliminary results and attractive hypotheses for multi-disciplinary prospective studies in the Ukrainian Akademik Vernadsky station</t>
  </si>
  <si>
    <t>EPMA JOURNAL</t>
  </si>
  <si>
    <t>Predictive preventive personalized medicine; Antarctica; Antarctic Akademik Vernadsky station; Physiology research; Disadaptation; Antarctic syndrome; Psychology; Pain; Anxiety; Photoperiodism; Desynchronosis; Schumann resonance; Infrasound; Climatic; Meteofactors; Ozone hole; Microbiota; Sterile environment; Vascular disregulation</t>
  </si>
  <si>
    <t>LONG-STAY; BEHAVIOR; WINTER; ENVIRONMENTS; PERFORMANCE; ADAPTATION; EXPEDITION; PAPER; CARE</t>
  </si>
  <si>
    <t>Background: Antarctica is a unique place to study the health condition under the influence of environmental factors on the organism in pure form. Since the very beginning of the scientific presence of Ukraine in the Antarctic, biomedical research has been developed for the monitoring of individual biomarkers of winterers and medical accompaniment in Antarctic expeditions. The aim of the study was to analyze and discuss the retrospective data of long-term monitoring and observations in Ukrainian Antarctica station Akademik Vernadsky, providing multi-scale biomedical information with regard to conditions of a perfect isolation from technological and social influences and under extreme environmental factors. Methods: Medical and biological studies have been performed with the participation of all 20 Ukrainian wintering expeditions. We surveyed 200 males aged 20-60 years (mean age 37 years). Extensive medical examinations were carried out before the expedition, during the selection of candidates, and after returning, and particular functions were monitored during the entire stay in Antarctica. The medical records were analyzed to study the reaction of the human organism on phenomena like Antarctic syndrome, dysadaptation, anxiety, desynchronosis, photoperiodism, influence of climatic and meteofactors like Schumann resonance, infrasound, ozone hole, and sterile environment; important aspects of its role on human health were precisely studied and discussed. Results: The examinations showed the multi-level symptoms of the processes of dysregulation and dysadaptation, as functional tension in the sympathetic-adrenal system rights, especially during urgent adaptation to the Antarctic (1-month stay at the station) and, to a lesser extent, after returning from an expedition to Kyiv. At the initial, adaptation to the conditions of the Antarctic levels of urinary catecholamines (epinephrine, norepinephrine, dopamine, DOPA) increased compared with the start of the expedition (23.2 +/- 4.3 and 53.3 +/- 5 2 mmol/l, p &lt; 0.001; 67.1 +/- 12.3 and 138.3 +/- 16.9 mmol/l, p &lt; 0.01; 1749.6 +/- 476.5 vs 7094.6 +/- 918.3 mmol/l, p &lt; 0.001; 129.6 +/- 12.3 and 349.9 +/- 40.6 mmol/l, p &lt; 0. 001, respectively). In the blood serum of 100 % of the expedition, we found an increase of oxidative stress markers-the level of TBARS increased by 41.2 %, i.e., the activation of free radical peroxidation. Thus, in 80 % of the participants, we observed a reduction in the activity of the SOD antiradical enzyme vs 58 % in the controls. Changes in brain electrical activity after a long stay at the Antarctic stations showed increasing delta rhythms, signs of CNS protective inhibition, likely due to hypoxia. We found changes in the concentrations of microelements (iron, copper, zinc, etc.) in the blood of winterers after the expedition. The polychrome-adaptive method of correcting the changes of the psycho-emotional state in a monochrome Antarctic environment was successfully applied. Conclusions: The preliminary results of the retrospective study and our own observations of the fundamental physiological mechanisms of the negative influence of extreme environmental factors on an organism in the absence of man-made origin factors allow the determination of many mechanisms of pre-pathology processes which promise to develop the pathogenetically based pro-active prevention methods for a number of common diseases to set prospective interdisciplinary research in predictive, preventive, and personalized medicine.</t>
  </si>
  <si>
    <t>[Moiseyenko, Yevhen V.; Danylenko, Kostiantyn M.] Minist Educ Ukraine, Natl Antarctic Sci Ctr, 16 Taras Shevchenko Blvd, UA-01601 Kiev, Ukraine; [Moiseyenko, Yevhen V.; Mankovska, Iryna M.; Rozova, Kateryna V.] Natl Acad Sci Ukraine, Bogomoletz Inst Physiol, 4 Bogomoletz Str, UA-01024 Kiev, Ukraine; [Sukhorukov, Viktor I.] Natl Acad Med Sci Ukraine, Inst Neurol Psychiat &amp; Narcol, 46 Akad Pavlova Str, UA-61068 Kharkov, Ukraine; [Pyshnov, Georgiy Yu] Natl Acad Med Sci Ukraine, Inst Occupat Hlth, Saksaganskogo Str 75, UA-01033 Kiev, Ukraine; [Miroshnychenko, Olena A.] Zhytomyr Ivan Franko State Univ, 40 Velyka Berdychivska Str, UA-10008 Zhytomyr, Ukraine; [Kovalevska, Olena E.] Natl Acad Pedag Sci Ukraine, GS Kostyuk Inst Psychol, 2 Pankivska Str, UA-01033 Kiev, Ukraine; [Madjar, Stefan-Arpad Y.] Budapest Univ Technol &amp; Econ, Budapest, Hungary; [Bubnov, Rostyslav V.; Gorbach, Anatoliy O.] Clin Hosp Pheophania State Management Affairs Dep, 21 Zabolotny Str, UA-03680 Kiev, Ukraine; [Bubnov, Rostyslav V.] Natl Acad Sci Ukraine, Zabolotny Inst Microbiol &amp; Virol, 154 Zabolotny Str, UA-03680 Kiev, Ukraine; [Bubnov, Rostyslav V.; Gorbach, Anatoliy O.] Ukrainian Acad Informat, Kiev, Ukraine; [Moiseyenko, Olga I.] Natl Acad Med Sci Ukraine, Mykola Strazhesko Inst Cardiol, Natl Sci Ctr, 5 Narodnoho Opolchennya Str, Kiev, Ukraine</t>
  </si>
  <si>
    <t>Ministry of Education &amp; Science of Ukraine; State Institution National Antarctic Scientific Center; National Academy of Sciences Ukraine; A.A. Bogomoletz Institute of Physiology; National Academy of Medical Sciences of Ukraine; National Academy of Medical Sciences of Ukraine; Kundiiev Institute of Occupational Health of the National Academy of Medical Sciences of Ukraine; Ministry of Education &amp; Science of Ukraine; Zhytomyr Ivan Franko State University; National Academy of Educational Sciences of Ukraine; G. S. Kostiuk Institute of Psychology of the National Academy of Educational Sciences of Ukraine; Budapest University of Technology &amp; Economics; Feofaniya Clinical Hospital; National Academy of Sciences Ukraine; Zabolotny Institute of Microbiology &amp; Virology of NASU; National Academy of Medical Sciences of Ukraine; National Scientific Center M.D. Strazhesko Institute of Cardiology of the National Academy of Medical Sciences of Ukraine</t>
  </si>
  <si>
    <t>Bubnov, RV (corresponding author), Clin Hosp Pheophania State Management Affairs Dep, 21 Zabolotny Str, UA-03680 Kiev, Ukraine.;Bubnov, RV (corresponding author), Natl Acad Sci Ukraine, Zabolotny Inst Microbiol &amp; Virol, 154 Zabolotny Str, UA-03680 Kiev, Ukraine.</t>
  </si>
  <si>
    <t>rostbubnov@gmail.com</t>
  </si>
  <si>
    <t>Bubnov, Rostyslav/E-8395-2013; Olena, Miroshnychenko/AAG-8063-2019</t>
  </si>
  <si>
    <t>Bubnov, Rostyslav/0000-0003-3148-9884; Olena, Miroshnychenko/0000-0002-5712-3752; Mankovska, Iryna/0000-0002-0621-1998; Yevgen, Moiseyenko/0000-0001-6818-5855</t>
  </si>
  <si>
    <t>Ministry of Education of Ukraine; National Antarctic Scientific Center of Ukraine</t>
  </si>
  <si>
    <t>The study was conducted with the support of the Ministry of Education of Ukraine.; Funding of the National Antarctic Scientific Center of Ukraine is obtained from the state budget under the State Target Scientific and Technical program of research in Antarctica for 2011-2020.</t>
  </si>
  <si>
    <t>SPRINGER INTERNATIONAL PUBLISHING AG</t>
  </si>
  <si>
    <t>CHAM</t>
  </si>
  <si>
    <t>GEWERBESTRASSE 11, CHAM, CH-6330, SWITZERLAND</t>
  </si>
  <si>
    <t>1878-5077</t>
  </si>
  <si>
    <t>1878-5085</t>
  </si>
  <si>
    <t>EPMA J</t>
  </si>
  <si>
    <t>EPMA J.</t>
  </si>
  <si>
    <t>MAY 31</t>
  </si>
  <si>
    <t>10.1186/s13167-016-0060-8</t>
  </si>
  <si>
    <t>Medicine, General &amp; Internal; Medicine, Research &amp; Experimental</t>
  </si>
  <si>
    <t>General &amp; Internal Medicine; Research &amp; Experimental Medicine</t>
  </si>
  <si>
    <t>DN5UY</t>
  </si>
  <si>
    <t>Green Published, hybrid</t>
  </si>
  <si>
    <t>WOS:000377137800001</t>
  </si>
  <si>
    <t>Eisenmann, P; Fry, B; Holyoake, C; Coughran, D; Nicol, S; Nash, SB</t>
  </si>
  <si>
    <t>Eisenmann, Pascale; Fry, Brian; Holyoake, Carly; Coughran, Douglas; Nicol, Steve; Nash, Susan Bengtson</t>
  </si>
  <si>
    <t>Isotopic Evidence of a Wide Spectrum of Feeding Strategies in Southern Hemisphere Humpback Whale Baleen Records</t>
  </si>
  <si>
    <t>PLOS ONE</t>
  </si>
  <si>
    <t>CARBON STABLE-ISOTOPES; FOOD-WEB STRUCTURE; MEGAPTERA-NOVAEANGLIAE; ORGANOCHLORINE BURDENS; OCEAN ACIDIFICATION; TROPHIC POSITION; WEST-COAST; NITROGEN; MIGRATION; KRILL</t>
  </si>
  <si>
    <t>Our current understanding of Southern hemisphere humpback whale (Megaptera novaeangliae) ecology assumes high-fidelity feeding on Antarctic krill in Antarctic waters during summer, followed by fasting during their annual migration to and from equatorial breeding grounds. An increase in the number of reported departures from this feeding/fasting model suggests that the current model may be oversimplified or, alternatively, undergoing contemporary change. Information about the feeding and fasting cycles of the two Australian breeding populations of humpback whales were obtained through stable isotope analysis of baleen plates from stranded adult individuals. Comparison of isotope profiles showed that individuals from the West Australian breeding population strongly adhered to the classical feeding model. By contrast, East Australian population individuals demonstrated greater heterogeneity in their feeding. On a spectrum from exclusive Antarctic feeding to exclusive feeding in temperate waters, three different strategies were assigned and discussed: classical feeders, supplemental feeders, and temperate zone feeders. Diversity in the inter-annual feeding strategies of humpback whales demonstrates the feeding plasticity of the species, but could also be indicative of changing dynamics within the Antarctic sea-ice ecosystem. This study presents the first investigation of trophodynamics in Southern hemisphere humpback whales derived from baleen plates, and further provides the first estimates of baleen plate elongation rates in the species.</t>
  </si>
  <si>
    <t>[Eisenmann, Pascale; Nash, Susan Bengtson] Griffith Univ, Environm Futures Res Inst, Brisbane, Qld 4111, Australia; [Fry, Brian] Griffith Univ, Australian Rivers Inst, Brisbane, Qld 4111, Australia; [Holyoake, Carly] Murdoch Univ, Perth, WA 6150, Australia; [Coughran, Douglas] Dept Pk &amp; Wildlife, Kensington, WA 6151, Australia; [Nicol, Steve] Univ Tasmania, Inst Marine &amp; Antarctic Studies, Hobart, Tas 7000, Australia</t>
  </si>
  <si>
    <t>Griffith University; Griffith University; Murdoch University; University of Tasmania</t>
  </si>
  <si>
    <t>Eisenmann, P (corresponding author), Griffith Univ, Environm Futures Res Inst, Brisbane, Qld 4111, Australia.</t>
  </si>
  <si>
    <t>pascale.eisenmann@griffithuni.edu.au</t>
  </si>
  <si>
    <t>Bengtson Nash, Susan/I-3942-2015; Bengtson Nash, Susan/GMX-4611-2022</t>
  </si>
  <si>
    <t>Bengtson Nash, Susan/0000-0001-5928-0850; Bengtson Nash, Susan/0000-0001-5928-0850</t>
  </si>
  <si>
    <t>Pacific Life Ocean Foundation; Griffith University (GUPRS); Griffith University (GUIPRS)</t>
  </si>
  <si>
    <t>This work was funded by a Pacific Life Ocean Foundation Grant (https://www.oceanfdn.org/partnerships/foundation/pacific-life-foundation) awarded to SBN and Pascale Eisenmann acknowledges two Griffith University (https://www.griffith.edu.au) post-graduate (GUPRS) and international (GUIPRS) scholarships. The funders had no role in study design, data collection and analysis, decision to publish, or preparation of the manuscript.</t>
  </si>
  <si>
    <t>PUBLIC LIBRARY SCIENCE</t>
  </si>
  <si>
    <t>SAN FRANCISCO</t>
  </si>
  <si>
    <t>1160 BATTERY STREET, STE 100, SAN FRANCISCO, CA 94111 USA</t>
  </si>
  <si>
    <t>1932-6203</t>
  </si>
  <si>
    <t>PLoS One</t>
  </si>
  <si>
    <t>e0156698</t>
  </si>
  <si>
    <t>10.1371/journal.pone.0156698</t>
  </si>
  <si>
    <t>DN5XX</t>
  </si>
  <si>
    <t>Green Accepted, Green Published, gold</t>
  </si>
  <si>
    <t>WOS:000377146100063</t>
  </si>
  <si>
    <t>Duffy, JE; Lefcheck, JS; Stuart-Smith, RD; Navarrete, SA; Edgar, GJ</t>
  </si>
  <si>
    <t>Duffy, J. Emmett; Lefcheck, Jonathan S.; Stuart-Smith, Rick D.; Navarrete, Sergio A.; Edgar, Graham J.</t>
  </si>
  <si>
    <t>Biodiversity enhances reef fish biomass and resistance to climate change</t>
  </si>
  <si>
    <t>PROCEEDINGS OF THE NATIONAL ACADEMY OF SCIENCES OF THE UNITED STATES OF AMERICA</t>
  </si>
  <si>
    <t>global change; fisheries; functional diversity; macroecology; structural equation model</t>
  </si>
  <si>
    <t>ECOSYSTEM PRODUCTIVITY; MARINE BIODIVERSITY; CORAL-REEFS; DIVERSITY; PATTERNS; VULNERABILITY; PREDICTORS; STABILITY; IMPACTS; REVEALS</t>
  </si>
  <si>
    <t>Fishes are the most diverse group of vertebrates, play key functional roles in aquatic ecosystems, and provide protein for a billion people, especially in the developing world. Those functions are compromised by mounting pressures on marine biodiversity and ecosystems. Because of its economic and food value, fish biomass production provides an unusually direct link from biodiversity to critical ecosystem services. We used the Reef Life Survey's global database of 4,556 standardized fish surveys to test the importance of biodiversity to fish production relative to 25 environmental drivers. Temperature, biodiversity, and human influence together explained 47% of the global variation in reef fish biomass among sites. Fish species richness and functional diversity were among the strongest predictors of fish biomass, particularly for the largebodied species and carnivores preferred by fishers, and these biodiversity effects were robust to potentially confounding influences of sample abundance, scale, and environmental correlations. Warmer temperatures increased biomass directly, presumably by raising metabolism, and indirectly by increasing diversity, whereas temperature variability reduced biomass. Importantly, diversity and climate interact, with biomass of diverse communities less affected by rising and variable temperatures than species-poor communities. Biodiversity thus buffers global fish biomass from climate change, and conservation of marine biodiversity can stabilize fish production in a changing ocean.</t>
  </si>
  <si>
    <t>[Duffy, J. Emmett] Smithsonian Inst, Tennenbaum Marine Observ Network, Washington, DC 20013 USA; [Lefcheck, Jonathan S.] Coll William &amp; Mary, Dept Biol Sci, Virginia Inst Marine Sci, Gloucester Point, VA 23062 USA; [Stuart-Smith, Rick D.; Edgar, Graham J.] Univ Tasmania, Inst Marine &amp; Antarctic Studies, Hobart, Tas 7001, Australia; [Navarrete, Sergio A.] Pontificia Univ Catolica Chile, Estn Costera Invest Marinas, Casilla 114-D, Santiago, Chile; [Navarrete, Sergio A.] Pontificia Univ Catolica Chile, Ctr Marine Conservat, Casilla 114-D, Santiago, Chile</t>
  </si>
  <si>
    <t>Smithsonian Institution; Smithsonian National Museum of Natural History; William &amp; Mary; Virginia Institute of Marine Science; University of Tasmania; Pontificia Universidad Catolica de Chile; Pontificia Universidad Catolica de Chile</t>
  </si>
  <si>
    <t>Duffy, JE (corresponding author), Smithsonian Inst, Tennenbaum Marine Observ Network, Washington, DC 20013 USA.</t>
  </si>
  <si>
    <t>duffye@si.edu</t>
  </si>
  <si>
    <t>Stuart-Smith, Rick/I-5214-2019; Navarrete, Sergio A/D-4645-2013; Edgar, Graham/AAY-3797-2020; Lefcheck, Jonathan/H-8768-2019; Stuart-Smith, Rick D/M-1829-2013; Duffy, J. Emmett/ABF-9200-2020</t>
  </si>
  <si>
    <t>Stuart-Smith, Rick/0000-0002-8874-0083; Edgar, Graham/0000-0003-0833-9001; Lefcheck, Jonathan/0000-0002-8787-1786; Stuart-Smith, Rick D/0000-0002-8874-0083; Duffy, J. Emmett/0000-0001-8595-6391; Navarrete, Sergio Andres/0000-0003-4021-3863</t>
  </si>
  <si>
    <t>NATL ACAD SCIENCES</t>
  </si>
  <si>
    <t>2101 CONSTITUTION AVE NW, WASHINGTON, DC 20418 USA</t>
  </si>
  <si>
    <t>0027-8424</t>
  </si>
  <si>
    <t>1091-6490</t>
  </si>
  <si>
    <t>P NATL ACAD SCI USA</t>
  </si>
  <si>
    <t>Proc. Natl. Acad. Sci. U. S. A.</t>
  </si>
  <si>
    <t>10.1073/pnas.1524465113</t>
  </si>
  <si>
    <t>DN0VL</t>
  </si>
  <si>
    <t>WOS:000376784600048</t>
  </si>
  <si>
    <t>Baccolo, G; Clemenza, M; Delmonte, B; Maffezzoli, N; Nastasi, M; Previtali, E; Prata, M; Salvini, A; Maggi, V</t>
  </si>
  <si>
    <t>Baccolo, Giovanni; Clemenza, Massimiliano; Delmonte, Barbara; Maffezzoli, Niccolo; Nastasi, Massimiliano; Previtali, Ezio; Prata, Michele; Salvini, Andrea; Maggi, Valter</t>
  </si>
  <si>
    <t>A new method based on low background instrumental neutron activation analysis for major, trace and ultra-trace element determination in atmospheric mineral dust from polar ice cores</t>
  </si>
  <si>
    <t>ANALYTICA CHIMICA ACTA</t>
  </si>
  <si>
    <t>Low background neutron activation analysis; Ultra-trace analysis; Ice core; Atmospheric mineral dust</t>
  </si>
  <si>
    <t>INDUCTIVELY-COUPLED PLASMA; FIELD-MASS-SPECTROMETRY; RARE-EARTH-ELEMENTS; PAST 800,000 YEARS; 8 GLACIAL CYCLES; ANTARCTIC ICE; DOME-C; EAST ANTARCTICA; GRAM LEVEL; LAST DEGLACIATION</t>
  </si>
  <si>
    <t>Dust found in polar ice core samples present extremely low concentrations, in addition the availability of such samples is usually strictly limited. For these reasons the chemical and physical analysis of polar ice cores is an analytical challenge. In this work a new method based on low background instrumental neutron activation analysis (LB-INAA) for the multi-elemental characterization of the insoluble fraction of dust from polar ice cores is presented. Thanks to an accurate selection of the most proper materials and procedures it was possible to reach unprecedented analytical performances, suitable for ice core analyses. The method was applied to Antarctic ice core samples. Five samples of atmospheric dust (mu g size) from ice sections of the Antarctic Talos Dome ice core were prepared and analyzed. A set of 37 elements was quantified, spanning from all the major elements (Na, Mg, Al, Si, K, Ca, Ti, Mn and Fe) to trace ones, including 10 (La, Ce, Nd, Sm, Eu, Tb, Ho, Tm, Yb and Lu) of the 14 natural occurring lanthanides. The detection limits are in the range of 10(-13) - 10(-6) g, improving previous results of 1-3 orders of magnitude depending on the element; uncertainties lies between 4% and 60%. (C) 2016 Elsevier B.V. All rights reserved.</t>
  </si>
  <si>
    <t>[Baccolo, Giovanni] Univ Siena, Grad Sch Polar Sci, Via Laterina 8, I-53100 Siena, Italy; [Baccolo, Giovanni; Delmonte, Barbara; Maggi, Valter] Univ Milano Bicocca, Dept Environm Sci, Pzza Sci 1, I-20126 Milan, Italy; [Baccolo, Giovanni; Clemenza, Massimiliano; Nastasi, Massimiliano; Previtali, Ezio; Maggi, Valter] Ist Nazl Fis Nucl, Sect Milano Bicocca, Pzza Sci 3, I-20126 Milan, Italy; [Clemenza, Massimiliano; Nastasi, Massimiliano; Previtali, Ezio] Univ Milano Bicocca, Dept Phys, Pzza Sci 3, I-20126 Milan, Italy; [Maffezzoli, Niccolo] Niels Bohr Inst, Ctr Ice &amp; Climate, Juliane Maries Vej 30, DK-2100 Copenhagen, Denmark; [Prata, Michele; Salvini, Andrea] Univ Pavia, LENA, Via Palestro 3, I-27100 Pavia, Italy</t>
  </si>
  <si>
    <t>University of Siena; University of Milano-Bicocca; Istituto Nazionale di Fisica Nucleare (INFN); University of Milano-Bicocca; University of Copenhagen; Niels Bohr Institute; University of Pavia</t>
  </si>
  <si>
    <t>Baccolo, G (corresponding author), Univ Siena, Grad Sch Polar Sci, Via Laterina 8, I-53100 Siena, Italy.</t>
  </si>
  <si>
    <t>giovanni.baccolo@mib.infn.it</t>
  </si>
  <si>
    <t>Maggi, Valter/AAX-5728-2020; Delmonte, Barbara/L-2555-2015; Baccolo, Giovanni/J-9543-2019; Clemenza, Massimiliano/ABA-2565-2021; Maggi, Valter/E-1878-2014; Clemenza, Massimiliano/HMD-8636-2023</t>
  </si>
  <si>
    <t>Maggi, Valter/0000-0001-6287-1213; Delmonte, Barbara/0000-0002-9074-2061; Baccolo, Giovanni/0000-0002-1246-8968; Clemenza, Massimiliano/0000-0002-8064-8936; Andrea, Salvini/0000-0002-8416-8403; Maffezzoli, Niccolo/0000-0002-8649-9185</t>
  </si>
  <si>
    <t>0003-2670</t>
  </si>
  <si>
    <t>1873-4324</t>
  </si>
  <si>
    <t>ANAL CHIM ACTA</t>
  </si>
  <si>
    <t>Anal. Chim. Acta</t>
  </si>
  <si>
    <t>MAY 30</t>
  </si>
  <si>
    <t>10.1016/j.aca.2016.04.008</t>
  </si>
  <si>
    <t>Chemistry, Analytical</t>
  </si>
  <si>
    <t>Chemistry</t>
  </si>
  <si>
    <t>DL1IG</t>
  </si>
  <si>
    <t>WOS:000375385200002</t>
  </si>
  <si>
    <t>Hinna, AH; Hupfeld, S; Kuntsche, J; Brandl, M</t>
  </si>
  <si>
    <t>Hinna, Askell Hvid; Hupfeld, Stefan; Kuntsche, Judith; Brandl, Martin</t>
  </si>
  <si>
    <t>The use of asymmetrical flow field-flow fractionation with on-line detection in the study of drug retention within liposomal nanocarriers and drug transfer kinetics</t>
  </si>
  <si>
    <t>JOURNAL OF PHARMACEUTICAL AND BIOMEDICAL ANALYSIS</t>
  </si>
  <si>
    <t>Phospholipid; Liposome; Drug release; Drug transfer; Transfer kinetics; Lipophilic drugs</t>
  </si>
  <si>
    <t>RELEASE KINETICS; TEMOPORFIN; DIALYSIS; SYSTEMS; PHARMACOKINETICS; PHOTOSENSITIZER</t>
  </si>
  <si>
    <t>Due to their solubilizing capabilities, lip osomes (phospholipid vesicles) are suited for designing formulations for intravenous administration of drug compounds which are poorly water-soluble. Despite the good in vitro stability of such formulations with minimal drug leakage, upon i.v. injection there is a risk of premature drug loss due to drug transfer to plasma proteins and cell membranes. Here we report on the refinement of a recently introduced simple in vitro predictive tool by Hinna and colleagues in 2014, which brings small drug loaded (donor) liposomes in contact with large acceptor liposomes, the latter serving as a model mimicking biological sinks in the body. The donor- and acceptor-liposomes were subsequently separated using asymmetrical flow field-flow fractionation (AF4), during which the sample is exposed to a large volume of eluent which corresponds to a dilution factor of approximately 600. The model drug content in the donor- and acceptor fraction was quantified by on-line UV/VIS extinction measurements with correction for turbidity and by off-line HPLC measurements of collected fractions. The refined method allowed for (near) baseline separation of donor and acceptor vesicles as well as reliable quantification of the drug content not only of the donor- but now also of the acceptor-liposomes due to their improved size-homogeneity, colloidal stability and reduced turbidity. This improvement over the previously reported approach allowed for simultaneous quantification of both drug transfer and drug release to the aqueous phase. By sampling at specific incubation times, the release and transfer kinetics of the model compound p-THPP (5,10,15,20-tetrakis(4-hydroxyphenyl)21H,23H-poiphine) was determined. p-THPP is structurally closely related to the photosensitizer temoporfin, which is in clinical use and under evaluation in liposomal formulations. The transfer of p-THPP to the acceptor vesicles followed 1st order kinetics with a half-life of approximately 300 min. As expected, equilibrium distribution between donor and acceptor vesicles was proportional to the lipid mass ratio. An initial rapid transfer of p-THPP was found (similar to 5%) and investigated further by determining the extent of transfer between donor and acceptor during separation. The donor- and acceptor phase were found to be separated within few minutes and only minor (&lt;= 2%) transfer could be detected within the AF4 channel under the conditions applied for fractionation. These results demonstrates the potential of our AF4 based method as an in vitro tool to determine retention properties of lipophilic compounds within liposomal carriers in particular, but also within a variety of nano-particulate carriers provided that they exhibit a sufficient size difference compared to the applied colloidal acceptor phase. (C) 2016 Elsevier B.V. All rights reserved.</t>
  </si>
  <si>
    <t>[Hinna, Askell Hvid; Kuntsche, Judith; Brandl, Martin] Univ Southern Denmark, Dept Phys Chem &amp; Pharm, Campusvej 55, DK-5230 Odense, Denmark; [Hupfeld, Stefan] Aker Biomarine Antarctic AS, Okseneyveien 10,POB 496, NO-1327 Lysaker, Norway</t>
  </si>
  <si>
    <t>University of Southern Denmark</t>
  </si>
  <si>
    <t>Brandl, M (corresponding author), Univ Southern Denmark, Dept Phys Chem &amp; Pharm, Campusvej 55, DK-5230 Odense, Denmark.</t>
  </si>
  <si>
    <t>mmb@sdu.dk</t>
  </si>
  <si>
    <t>Brandl, Martin/0000-0003-3561-5016; Kuntsche, Judith/0000-0001-5472-9823</t>
  </si>
  <si>
    <t>Phospholipid Research Center, Heidelberg (Germany)</t>
  </si>
  <si>
    <t>The authors wish to thank the Phospholipid Research Center, Heidelberg (Germany) for the financial support and Lipoid GmbH, Ludwigshafen (Germany) for kindly providing phospholipid material.</t>
  </si>
  <si>
    <t>0731-7085</t>
  </si>
  <si>
    <t>1873-264X</t>
  </si>
  <si>
    <t>J PHARMACEUT BIOMED</t>
  </si>
  <si>
    <t>J. Pharm. Biomed. Anal.</t>
  </si>
  <si>
    <t>10.1016/j.jpba.2016.02.037</t>
  </si>
  <si>
    <t>Chemistry, Analytical; Pharmacology &amp; Pharmacy</t>
  </si>
  <si>
    <t>Chemistry; Pharmacology &amp; Pharmacy</t>
  </si>
  <si>
    <t>DJ4TX</t>
  </si>
  <si>
    <t>WOS:000374202000018</t>
  </si>
  <si>
    <t>Tagliabue, A; Arrigo, KR</t>
  </si>
  <si>
    <t>Tagliabue, Alessandro; Arrigo, Kevin R.</t>
  </si>
  <si>
    <t>Decadal trends in air-sea CO2 exchange in the Ross Sea (Antarctica)</t>
  </si>
  <si>
    <t>GEOPHYSICAL RESEARCH LETTERS</t>
  </si>
  <si>
    <t>CLIMATE; ICE; VARIABILITY; FLUXES; OCEANOGRAPHY; WESTERN; IMPACT; MODEL; IRON</t>
  </si>
  <si>
    <t>Highly productive Antarctic shelf systems, like the Ross Sea, play important roles in regional carbon budgets, but the drivers of local variations are poorly quantified. We assess the variability in the Ross Sea carbon cycle using a regional physical-biogeochemical model. Regionally, total partial pressure of CO2 (pCO(2)) increases are largely controlled by the biological pump and broadly similar to those in the offshore Southern Ocean. However, this masks substantial local variability within the Ross Sea, where interannual fluctuations in total pCO(2) are driven by the biological pump and alkalinity, whereas those for anthropogenic pCO(2) are related to physical processes. Overall, the high degree of spatial variability in the Ross Sea carbon cycle causes extremes in aragonite saturation that can be as large as long-term trends. Therefore, Antarctic shelf polynya systems like the Ross Sea will be strongly affected by local processes in addition to larger-scale phenomena.</t>
  </si>
  <si>
    <t>[Tagliabue, Alessandro] Univ Liverpool, Sch Environm Sci, Dept Earth Ocean &amp; Ecol Sci, Liverpool L69 3BX, Merseyside, England; [Arrigo, Kevin R.] Stanford Univ, Dept Earth Syst Sci, Stanford, CA 94305 USA</t>
  </si>
  <si>
    <t>University of Liverpool; Stanford University</t>
  </si>
  <si>
    <t>Tagliabue, A (corresponding author), Univ Liverpool, Sch Environm Sci, Dept Earth Ocean &amp; Ecol Sci, Liverpool L69 3BX, Merseyside, England.</t>
  </si>
  <si>
    <t>a.tagliabue@liverpool.ac.uk</t>
  </si>
  <si>
    <t>Arrigo, Kevin/0000-0002-7364-876X</t>
  </si>
  <si>
    <t>0094-8276</t>
  </si>
  <si>
    <t>1944-8007</t>
  </si>
  <si>
    <t>GEOPHYS RES LETT</t>
  </si>
  <si>
    <t>Geophys. Res. Lett.</t>
  </si>
  <si>
    <t>MAY 28</t>
  </si>
  <si>
    <t>10.1002/2016GL069071</t>
  </si>
  <si>
    <t>DP2UC</t>
  </si>
  <si>
    <t>WOS:000378347500074</t>
  </si>
  <si>
    <t>Thomas, ER; Abram, NJ</t>
  </si>
  <si>
    <t>Thomas, Elizabeth R.; Abram, Nerilie J.</t>
  </si>
  <si>
    <t>Ice core reconstruction of sea ice change in the Amundsen-Ross Seas since 1702 AD</t>
  </si>
  <si>
    <t>WEST ANTARCTICA; METHANESULFONIC-ACID; ATMOSPHERIC CIRCULATION; SOUTHERN-OCEAN; RECORD; VARIABILITY; CLIMATE; 20TH-CENTURY; TRENDS; INFORMATION</t>
  </si>
  <si>
    <t>Antarctic sea ice has been increasing in recent decades, but with strong regional differences in the expression of sea ice change. Declining sea ice in the Bellingshausen Sea since 1979 (the satellite era) has been linked to the observed warming on the Antarctic Peninsula, while the Ross Sea sector has seen a marked increase in sea ice during this period. Here we present a 308 year record of methansulphonic acid from coastal West Antarctica, representing sea ice conditions in the Amundsen-Ross Sea. We demonstrate that the recent increase in sea ice in this region is part of a longer trend, with an estimated similar to 1 degrees northward expansion in winter sea ice extent (SIE) during the twentieth century and a total expansion of similar to 1.3 degrees since 1702. The greatest reconstructed SIE occurred during the mid-1990s, with five of the past 30 years considered exceptional in the context of the past three centuries.</t>
  </si>
  <si>
    <t>[Thomas, Elizabeth R.] British Antarctic Survey, Cambridge CB3 0ET, England; [Abram, Nerilie J.] Australian Natl Univ, Res Sch Earth Sci, Canberra, ACT, Australia</t>
  </si>
  <si>
    <t>UK Research &amp; Innovation (UKRI); Natural Environment Research Council (NERC); NERC British Antarctic Survey; Australian National University</t>
  </si>
  <si>
    <t>Thomas, ER (corresponding author), British Antarctic Survey, Cambridge CB3 0ET, England.</t>
  </si>
  <si>
    <t>lith@bas.ac.uk</t>
  </si>
  <si>
    <t>Thomas, Elizabeth Ruth/ADF-3660-2022; Abram, Nerilie/AAT-5171-2021</t>
  </si>
  <si>
    <t>Thomas, Elizabeth Ruth/0000-0002-3010-6493; Abram, Nerilie/0000-0003-1246-2344</t>
  </si>
  <si>
    <t>British Antarctic Survey, Natural Environment Research Council [NE/J020710/1]; QED fellowship, Australian Research Council [DP110101161]; NERC [NE/J020710/1, bas0100034] Funding Source: UKRI; Natural Environment Research Council [NE/J020710/1, bas0100034] Funding Source: researchfish</t>
  </si>
  <si>
    <t>British Antarctic Survey, Natural Environment Research Council; QED fellowship, Australian Research Council; NERC(UK Research &amp; Innovation (UKRI)Natural Environment Research Council (NERC)); Natural Environment Research Council(UK Research &amp; Innovation (UKRI)Natural Environment Research Council (NERC))</t>
  </si>
  <si>
    <t>This study was funded by the British Antarctic Survey, Natural Environment Research Council (part funded by grant NE/J020710/1). N.J.A. is supported by a QED fellowship, Australian Research Council (DP110101161). We thank P. Anker for drilling assistance, E. Ludlow for laboratory assistance, and Julienne Stroeve and reviewers for valuable suggestions. This study was aided by KNMI Climate Explorer provided by G.J. van Oldenborgh. Data are available on request (lith@bas.ac.uk) or at the World Data Center for Paleoclimatology.</t>
  </si>
  <si>
    <t>10.1002/2016GL068130</t>
  </si>
  <si>
    <t>Green Accepted, hybrid, Green Published</t>
  </si>
  <si>
    <t>WOS:000378347500079</t>
  </si>
  <si>
    <t>Alves, RN; Gomes, AS; Stueber, K; Tine, M; Thorne, MAS; Smáradóttir, H; Reinhard, R; Clark, MS; Ronnestad, I; Power, DM</t>
  </si>
  <si>
    <t>Alves, Ricardo N.; Gomes, Ana S.; Stueber, Kurt; Tine, Mbaye; Thorne, M. A. S.; Smaradottir, H.; Reinhard, Richard; Clark, M. S.; Ronnestad, Ivar; Power, Deborah M.</t>
  </si>
  <si>
    <t>The transcriptome of metamorphosing flatfish</t>
  </si>
  <si>
    <t>BMC GENOMICS</t>
  </si>
  <si>
    <t>Development; Flatfish; RNA sequencing; Thyroid hormone responsive; Tissue-remodelling; Transcriptome</t>
  </si>
  <si>
    <t>HALIBUT HIPPOGLOSSUS-HIPPOGLOSSUS; THYROID-HORMONE TRANSPORTERS; SOLE SOLEA-SENEGALENSIS; XENOPUS-LAEVIS; EXTRACELLULAR-MATRIX; RESPONSIVE GENES; IODOTHYRONINE DEIODINASES; DIFFERENTIAL EXPRESSION; FUNCTIONAL ANNOTATION; PARALICHTHYS-DENTATUS</t>
  </si>
  <si>
    <t>Background: Flatfish metamorphosis denotes the extraordinary transformation of a symmetric pelagic larva into an asymmetric benthic juvenile. Metamorphosis in vertebrates is driven by thyroid hormones (THs), but how they orchestrate the cellular, morphological and functional modifications associated with maturation to juvenile/adult states in flatfish is an enigma. Since THs act via thyroid receptors that are ligand activated transcription factors, we hypothesized that the maturation of tissues during metamorphosis should be preceded by significant modifications in the transcriptome. Targeting the unique metamorphosis of flatfish and taking advantage of the large size of Atlantic halibut (Hippoglossus hippoglossus) larvae, we determined the molecular basis of TH action using RNA sequencing. Results: De novo assembly of sequences for larval head, skin and gastrointestinal tract (GI-tract) yielded 90,676, 65,530 and 38,426 contigs, respectively. More than 57 % of the assembled sequences were successfully annotated using a multi-step Blast approach. A unique set of biological processes and candidate genes were identified specifically associated with changes in morphology and function of the head, skin and GI-tract. Transcriptome dynamics during metamorphosis were mapped with SOLiD sequencing of whole larvae and revealed greater than 8,000 differentially expressed (DE) genes significantly (p &lt; 0.05) up-or down-regulated in comparison with the juvenile stage. Candidate transcripts quantified by SOLiD and qPCR analysis were significantly (r = 0.843; p &lt; 0.05) correlated. The majority (98 %) of DE genes during metamorphosis were not TH-responsive. TH-responsive transcripts clustered into 6 groups based on their expression pattern during metamorphosis and the majority of the 145 DE TH-responsive genes were down-regulated. Conclusions: A transcriptome resource has been generated for metamorphosing Atlantic halibut and over 8,000 DE transcripts per stage were identified. Unique sets of biological processes and candidate genes were associated with changes in the head, skin and GI-tract during metamorphosis. A small proportion of DE transcripts were TH-responsive, suggesting that they trigger gene networks, signalling cascades and transcription factors, leading to the overt changes in tissue occurring during metamorphosis.</t>
  </si>
  <si>
    <t>[Alves, Ricardo N.; Power, Deborah M.] Univ Algarve, Ctr Ciencias Mar CCMAR, Comparat Endocrinol &amp; Integrat Biol Grp, Campus Gambelas, P-8005139 Faro, Portugal; [Gomes, Ana S.; Ronnestad, Ivar] Univ Bergen, Dept Biol, N-5020 Bergen, Norway; [Stueber, Kurt; Tine, Mbaye; Reinhard, Richard] Max Planck Inst Plant Breeding Res, Max Planck Genome Ctr, Carl von Linne Weg 10, D-50829 Cologne, Germany; [Thorne, M. A. S.; Clark, M. S.] British Antarctic Survey, NERC, Madingley Rd, Cambridge CB3 0ET, England; [Smaradottir, H.] Samherji Hf, Glerargotu 30, IS-600 Akureyri, Iceland; [Tine, Mbaye] Univ Johannesburg, Dept Zool, Mol Zool Lab, ZA-2006 Auckland Pk, South Africa</t>
  </si>
  <si>
    <t>Universidade do Algarve; University of Bergen; Max Planck Society; UK Research &amp; Innovation (UKRI); Natural Environment Research Council (NERC); NERC British Antarctic Survey; University of Johannesburg</t>
  </si>
  <si>
    <t>Power, DM (corresponding author), Univ Algarve, Ctr Ciencias Mar CCMAR, Comparat Endocrinol &amp; Integrat Biol Grp, Campus Gambelas, P-8005139 Faro, Portugal.</t>
  </si>
  <si>
    <t>dpower@ualg.pt</t>
  </si>
  <si>
    <t>Power, Deborah M/D-3333-2011; Ronnestad, Ivar/A-1774-2013; Clark, Melody/D-7371-2014</t>
  </si>
  <si>
    <t>Power, Deborah M/0000-0003-1366-0246; Ronnestad, Ivar/0000-0001-8789-0197; Gomes, Ana S./0000-0002-2520-7070; Thorne, Michael/0000-0001-7759-612X; Clark, Melody/0000-0002-3442-3824</t>
  </si>
  <si>
    <t>European Community [FP7 222719]; FCT [SFRH/BD/69209/2010]; British Antarctic Survey Polar Sciences for Planet Earth programme; NERC [bas0100036] Funding Source: UKRI; Natural Environment Research Council [bas0100036] Funding Source: researchfish; Fundação para a Ciência e a Tecnologia [SFRH/BD/69209/2010] Funding Source: FCT</t>
  </si>
  <si>
    <t>European Community; FCT(Fundacao para a Ciencia e a Tecnologia (FCT)); British Antarctic Survey Polar Sciences for Planet Earth programme; NERC(UK Research &amp; Innovation (UKRI)Natural Environment Research Council (NERC)); Natural Environment Research Council(UK Research &amp; Innovation (UKRI)Natural Environment Research Council (NERC)); Fundação para a Ciência e a Tecnologia(Fundacao para a Ciencia e a Tecnologia (FCT))</t>
  </si>
  <si>
    <t>This research study was funded by the European Community FP7 project LIFECYCLE (FP7 222719, http://www.lifecycle.gu.se/, 17.08.2012). Ricardo N. Alves was funded by FCT (SFRH/BD/69209/2010). MSC and MAST were funded under the British Antarctic Survey Polar Sciences for Planet Earth programme.</t>
  </si>
  <si>
    <t>BMC</t>
  </si>
  <si>
    <t>CAMPUS, 4 CRINAN ST, LONDON N1 9XW, ENGLAND</t>
  </si>
  <si>
    <t>1471-2164</t>
  </si>
  <si>
    <t>BMC Genomics</t>
  </si>
  <si>
    <t>MAY 27</t>
  </si>
  <si>
    <t>10.1186/s12864-016-2699-x</t>
  </si>
  <si>
    <t>Biotechnology &amp; Applied Microbiology; Genetics &amp; Heredity</t>
  </si>
  <si>
    <t>DO1TI</t>
  </si>
  <si>
    <t>Green Published, Green Accepted, gold</t>
  </si>
  <si>
    <t>WOS:000377561600001</t>
  </si>
  <si>
    <t>Britton, D; Cornwall, CE; Revill, AT; Hurd, CL; Johnson, CR</t>
  </si>
  <si>
    <t>Britton, Damon; Cornwall, Christopher E.; Revill, Andrew T.; Hurd, Catriona L.; Johnson, Craig R.</t>
  </si>
  <si>
    <t>Ocean acidification reverses the positive effects of seawater pH fluctuations on growth and photosynthesis of the habitat-forming kelp, Ecklonia radiata</t>
  </si>
  <si>
    <t>SCIENTIFIC REPORTS</t>
  </si>
  <si>
    <t>CARBON-ISOTOPE DISCRIMINATION; MACROALGAE; CO2; PCO(2); ACID; DISSOCIATION; TEMPERATURE; VARIABILITY; RESILIENCE; STABILITY</t>
  </si>
  <si>
    <t>Ocean acidification (OA) is the reduction in seawater pH due to the absorption of human-released CO2 by the world's oceans. The average surface oceanic pH is predicted to decline by 0.4 units by 2100. However, kelp metabolically modifies seawater pH via photosynthesis and respiration in some temperate coastal systems, resulting in daily pH fluctuations of up to +/- 0.45 units. It is unknown how these fluctuations in pH influence the growth and physiology of the kelp, or how this might change with OA. In laboratory experiments that mimicked the most extreme pH fluctuations measured within beds of the canopy-forming kelp Ecklonia radiata in Tasmania, the growth and photosynthetic rates of juvenile E. radiata were greater under fluctuating pH (8.4 in the day, 7.8 at night) than in static pH treatments (8.4, 8.1, 7.8). However, pH fluctuations had no effect on growth rates and a negative effect on photosynthesis when the mean pH of each treatment was reduced by 0.3 units. Currently, pH fluctuations have a positive effect on E. radiata but this effect could be reversed in the future under OA, which is likely to impact the future ecological dynamics and productivity of habitats dominated by E. radiata.</t>
  </si>
  <si>
    <t>[Britton, Damon; Cornwall, Christopher E.; Hurd, Catriona L.; Johnson, Craig R.] Univ Tasmania, Inst Marine &amp; Antarctic Studies, Hobart, Tas 7001, Australia; [Cornwall, Christopher E.] Univ Western Australia, Sch Earth &amp; Environm, Oceans Inst, Crawley, WA 6009, Australia; [Cornwall, Christopher E.] Univ Western Australia, ARC Ctr Excellence Coral Reef Studies, Crawley, WA 6009, Australia; [Revill, Andrew T.] CSIRO Oceans &amp; Atmosphere, Hobart, Tas, Australia</t>
  </si>
  <si>
    <t>University of Tasmania; University of Western Australia; University of Western Australia; Commonwealth Scientific &amp; Industrial Research Organisation (CSIRO)</t>
  </si>
  <si>
    <t>Britton, D (corresponding author), Univ Tasmania, Inst Marine &amp; Antarctic Studies, Hobart, Tas 7001, Australia.</t>
  </si>
  <si>
    <t>damon.britton@outlook.com</t>
  </si>
  <si>
    <t>Cornwall, Christopher Edward/J-3982-2012; Johnson, Craig R/E-1788-2013; Revill, Andrew/B-8733-2011; Hurd, Catriona/J-2411-2013</t>
  </si>
  <si>
    <t>Cornwall, Christopher Edward/0000-0002-6154-4082; Revill, Andrew/0000-0003-2486-5976; Britton, Damon/0000-0002-9029-7527; Hurd, Catriona/0000-0001-9965-4917</t>
  </si>
  <si>
    <t>ARC Discovery grant</t>
  </si>
  <si>
    <t>ARC Discovery grant(Australian Research Council)</t>
  </si>
  <si>
    <t>Cayne Layton, Matthew Cameron, and Masa Tatsumi provided invaluable assistance in the field. Bronte Tilbrook, Eric Van Oijen, and Kristina Patterson enabled the collection of vital field data. This study was funded by an ARC Discovery grant to CRJ and Jeffrey Wright.</t>
  </si>
  <si>
    <t>2045-2322</t>
  </si>
  <si>
    <t>SCI REP-UK</t>
  </si>
  <si>
    <t>Sci Rep</t>
  </si>
  <si>
    <t>10.1038/srep26036</t>
  </si>
  <si>
    <t>DM8WW</t>
  </si>
  <si>
    <t>gold, Green Accepted, Green Published, Green Submitted</t>
  </si>
  <si>
    <t>WOS:000376646200001</t>
  </si>
  <si>
    <t>Ali, F; Wharton, DA</t>
  </si>
  <si>
    <t>Ali, Farman; Wharton, David A.</t>
  </si>
  <si>
    <t>Ice-Active Substances from the Infective Juveniles of the Freeze Tolerant Entomopathogenic Nematode, Steinernema feltiae</t>
  </si>
  <si>
    <t>THERMAL HYSTERESIS PROTEINS; ANTARCTIC-NEMATODE; PANAGROLAIMUS-DAVIDI; COLD TOLERANCE; ANTIFREEZE PROTEINS; ECTOTHERMIC ANIMALS; RECRYSTALLIZATION; NUCLEATION; CRYOPROTECTANTS; INHIBITION</t>
  </si>
  <si>
    <t>Steinernema feltiae is a moderately freezing tolerant nematode, that can withstand intracellular ice formation. We investigated recrystallization inhibition, thermal hysteresis and ice nucleation activities in the infective juveniles of S. feltiae. Both the splat cooling assay and optical recrystallometry indicate the presence of ice active substances that inhibit recrystallization in the nematode extract. The substance is relatively heat stable and largely retains the recrystallization inhibition activity after heating. No thermal hysteresis activity was detected but the extract had a typical hexagonal crystal shape when grown from a single seed crystal and weak ice nucleation activity. An ice active substance is present in a low concentration, which may be involved in the freezing survival of this species by inhibiting ice recrystallization.</t>
  </si>
  <si>
    <t>[Ali, Farman; Wharton, David A.] Univ Otago, Dept Zool, POB 56, Dunedin, New Zealand; [Ali, Farman] Abdul Wali Khan Univ Mardan, Dept Agr, Mardan, Pakistan</t>
  </si>
  <si>
    <t>University of Otago</t>
  </si>
  <si>
    <t>Ali, F (corresponding author), Univ Otago, Dept Zool, POB 56, Dunedin, New Zealand.;Ali, F (corresponding author), Abdul Wali Khan Univ Mardan, Dept Agr, Mardan, Pakistan.</t>
  </si>
  <si>
    <t>drfarman@gmail.com</t>
  </si>
  <si>
    <t>Ali, Farman/GVT-3127-2022</t>
  </si>
  <si>
    <t>MAY 26</t>
  </si>
  <si>
    <t>e0156502</t>
  </si>
  <si>
    <t>10.1371/journal.pone.0156502</t>
  </si>
  <si>
    <t>DN2GQ</t>
  </si>
  <si>
    <t>WOS:000376882500150</t>
  </si>
  <si>
    <t>Zhu, Z; Xu, K; Fu, FX; Spackeen, JL; Bronk, DA; Hutchins, DA</t>
  </si>
  <si>
    <t>Zhu, Zhi; Xu, Kai; Fu, Feixue; Spackeen, Jenna L.; Bronk, Deborah A.; Hutchins, David A.</t>
  </si>
  <si>
    <t>A comparative study of iron and temperature interactive effects on diatoms and Phaeocystis antarctica from the Ross Sea, Antarctica</t>
  </si>
  <si>
    <t>MARINE ECOLOGY PROGRESS SERIES</t>
  </si>
  <si>
    <t>Antarctic; Global warming; Fe input; Phytoplankton community; Diatom; Phaeocystis; Pseudo-nitzschia</t>
  </si>
  <si>
    <t>SOUTHERN-OCEAN; MARINE-PHYTOPLANKTON; PHOTOSYNTHETIC EFFICIENCY; NUTRIENT UTILIZATION; ELEMENTAL RATIOS; ATMOSPHERIC CO2; SHELF WATERS; CELL-SIZE; LIMITATION; CLIMATE</t>
  </si>
  <si>
    <t>In the future, temperature and iron availability are predicted to change in the coastal polynyas of Antarctica, which are the most biologically productive regions of the Southern Ocean. We examined the individual and combined effects of iron addition (+500 nM) and temperature increase (4 degrees C) on Phaeocystis antarctica and several dominant diatom species isolated from the McMurdo Sound sector of the Ross Sea. Iron addition increased growth, carbon fixation, iron uptake rates, cellular carbon quota, and cell size of almost all tested species, while temperature increase only affected certain species. Concurrent increases in temperature and iron synergistically stimulated the growth rates of some species, particularly Pseudo-nitzschia subcurvata. The diversified responses of these phytoplankton to iron and temperature may help explain the current spatial and temporal distributions of diatoms and prymnesiophytes in the Ross Sea. In the future, potential temperature and iron increases may promote the growth of the diatoms Chaetoceros sp., Fragilariopsis cylindrus, and especially P. subcurvata. In contrast, growth rates of P. antarctica did not increase at higher temperatures, suggesting that a shift in community composition toward diatoms may occur under warmer conditions in this biologically and biogeochemically important Southern Ocean polynya region.</t>
  </si>
  <si>
    <t>[Zhu, Zhi; Xu, Kai; Fu, Feixue; Hutchins, David A.] Univ Southern Calif, Dept Biol Sci, Los Angeles, CA 90089 USA; [Spackeen, Jenna L.; Bronk, Deborah A.] Coll William &amp; Mary, Virginia Inst Marine Sci, Dept Phys Sci, POB 1346, Gloucester Point, VA 23062 USA</t>
  </si>
  <si>
    <t>University of Southern California; William &amp; Mary; Virginia Institute of Marine Science</t>
  </si>
  <si>
    <t>Hutchins, DA (corresponding author), Univ Southern Calif, Dept Biol Sci, Los Angeles, CA 90089 USA.</t>
  </si>
  <si>
    <t>dahutch@usc.edu</t>
  </si>
  <si>
    <t>Hutchins, David A/D-3301-2013; Fu, Feixue/IAP-5787-2023</t>
  </si>
  <si>
    <t>Hutchins, David A/0000-0002-6637-756X;</t>
  </si>
  <si>
    <t>National Science Foundation [ANT 1043748, 1043635]</t>
  </si>
  <si>
    <t>National Science Foundation(National Science Foundation (NSF))</t>
  </si>
  <si>
    <t>This work was supported by National Science Foundation grants ANT 1043748 to D.A.H. and 1043635 to D.A.B. We thank Avery Tatters for isolating the strains.</t>
  </si>
  <si>
    <t>INTER-RESEARCH</t>
  </si>
  <si>
    <t>OLDENDORF LUHE</t>
  </si>
  <si>
    <t>NORDBUNTE 23, D-21385 OLDENDORF LUHE, GERMANY</t>
  </si>
  <si>
    <t>0171-8630</t>
  </si>
  <si>
    <t>1616-1599</t>
  </si>
  <si>
    <t>MAR ECOL PROG SER</t>
  </si>
  <si>
    <t>Mar. Ecol.-Prog. Ser.</t>
  </si>
  <si>
    <t>MAY 25</t>
  </si>
  <si>
    <t>10.3354/meps11732</t>
  </si>
  <si>
    <t>Ecology; Marine &amp; Freshwater Biology; Oceanography</t>
  </si>
  <si>
    <t>Environmental Sciences &amp; Ecology; Marine &amp; Freshwater Biology; Oceanography</t>
  </si>
  <si>
    <t>DR3OE</t>
  </si>
  <si>
    <t>Green Submitted</t>
  </si>
  <si>
    <t>WOS:000379811700003</t>
  </si>
  <si>
    <t>Doubleday, ZA; Prowse, TAA; Arkhipkin, A; Pierce, GJ; Semmens, J; Steer, M; Leporati, SC; Lourenço, S; Quetglas, A; Sauer, W; Gillanders, BM</t>
  </si>
  <si>
    <t>Doubleday, Zoe A.; Prowse, Thomas A. A.; Arkhipkin, Alexander; Pierce, Graham J.; Semmens, Jayson; Steer, Michael; Leporati, Stephen C.; Lourenco, Slvia; Quetglas, Antoni; Sauer, Warwick; Gillanders, Bronwyn M.</t>
  </si>
  <si>
    <t>Global proliferation of cephalopods</t>
  </si>
  <si>
    <t>CURRENT BIOLOGY</t>
  </si>
  <si>
    <t>Letter</t>
  </si>
  <si>
    <t>FISHERIES</t>
  </si>
  <si>
    <t>[Doubleday, Zoe A.; Prowse, Thomas A. A.; Gillanders, Bronwyn M.] Univ Adelaide, Sch Biol Sci, Adelaide, SA 5005, Australia; [Doubleday, Zoe A.; Prowse, Thomas A. A.; Gillanders, Bronwyn M.] Univ Adelaide, Inst Environm, Adelaide, SA 5005, Australia; [Arkhipkin, Alexander] Dept Fisheries, Stanley FIQQ 1ZZ, Falkland Island, England; [Pierce, Graham J.] Univ Aberdeen, Sch Biol Sci, Oceanlab, Newburgh AB41 6AA, Scotland; [Pierce, Graham J.] Univ Aveiro, CESAM, P-3810193 Aveiro, Portugal; [Pierce, Graham J.] Univ Aveiro, Dept Biol, P-3810193 Aveiro, Portugal; [Semmens, Jayson] Univ Tasmania, Inst Marine &amp; Antarctic Studies, Hobart, Tas 7001, Australia; [Steer, Michael] South Australian Res &amp; Dev Inst Aquat Sci, West Beach 5022, Australia; [Leporati, Stephen C.] Dept Fisheries Western Australia, North Beach 6920, Australia; [Lourenco, Slvia] Inst Portugues Mar &amp; Atmosfera, Dept Mar, P-1449006 Lisbon, Portugal; [Quetglas, Antoni] Inst Espanol Oceanog, Palma De Mallorca 07015, Spain; [Sauer, Warwick] Rhodes Univ, Dept Ichthyol &amp; Fisheries Sci, ZA-6140 Grahamstown, South Africa</t>
  </si>
  <si>
    <t>University of Adelaide; University of Adelaide; University of Aberdeen; Universidade de Aveiro; Universidade de Aveiro; University of Tasmania; Instituto Portugues do Mar e da Atmosfera; Spanish Institute of Oceanography; Rhodes University</t>
  </si>
  <si>
    <t>Doubleday, ZA; Gillanders, BM (corresponding author), Univ Adelaide, Sch Biol Sci, Adelaide, SA 5005, Australia.;Doubleday, ZA; Gillanders, BM (corresponding author), Univ Adelaide, Inst Environm, Adelaide, SA 5005, Australia.</t>
  </si>
  <si>
    <t>zoe.doubleday@adelaide.edu.au; bronwyn.gillanders@adelaide.edu.au</t>
  </si>
  <si>
    <t>Quetglas, Antoni/K-9089-2014; Lourenço, sílvia/C-7744-2019; Sauer, Warwick/GJI-2267-2022; Doubleday, Zoe/N-9955-2013; Doubleday, Zoe/AAU-6278-2020; Gillanders, Bronwyn/B-4218-2013; Pierce, Graham/A-5404-2018</t>
  </si>
  <si>
    <t>Quetglas, Antoni/0000-0002-1303-8003; Lourenço, sílvia/0000-0003-4426-0894; Sauer, Warwick/0000-0002-9756-1757; Doubleday, Zoe/0000-0003-0045-6377; Sauer, William/0009-0006-8556-3612; Prowse, Thomas/0000-0002-4093-767X; Semmens, Jayson/0000-0003-1742-6692; Gillanders, Bronwyn/0000-0002-7680-2240; Pierce, Graham/0000-0002-4744-4501</t>
  </si>
  <si>
    <t>CELL PRESS</t>
  </si>
  <si>
    <t>CAMBRIDGE</t>
  </si>
  <si>
    <t>600 TECHNOLOGY SQUARE, 5TH FLOOR, CAMBRIDGE, MA 02139 USA</t>
  </si>
  <si>
    <t>0960-9822</t>
  </si>
  <si>
    <t>1879-0445</t>
  </si>
  <si>
    <t>CURR BIOL</t>
  </si>
  <si>
    <t>Curr. Biol.</t>
  </si>
  <si>
    <t>MAY 23</t>
  </si>
  <si>
    <t>R406</t>
  </si>
  <si>
    <t>R407</t>
  </si>
  <si>
    <t>10.1016/j.cub.2016.04.002</t>
  </si>
  <si>
    <t>Biochemistry &amp; Molecular Biology; Biology; Cell Biology</t>
  </si>
  <si>
    <t>Biochemistry &amp; Molecular Biology; Life Sciences &amp; Biomedicine - Other Topics; Cell Biology</t>
  </si>
  <si>
    <t>DM6ME</t>
  </si>
  <si>
    <t>hybrid, Green Submitted</t>
  </si>
  <si>
    <t>WOS:000376466000008</t>
  </si>
  <si>
    <t>Echaurren, A; Folguera, A; Gianni, G; Orts, D; Tassara, A; Encinas, A; Giménez, M; Valencia, V</t>
  </si>
  <si>
    <t>Echaurren, A.; Folguera, A.; Gianni, G.; Orts, D.; Tassara, A.; Encinas, A.; Gimenez, M.; Valencia, V.</t>
  </si>
  <si>
    <t>Tectonic evolution of the North Patagonian Andes (41°-44° S) through recognition of syntectonic strata</t>
  </si>
  <si>
    <t>TECTONOPHYSICS</t>
  </si>
  <si>
    <t>North Patagonia; Fold-thrust belt; Syntectonic strata; Andean orogenesis</t>
  </si>
  <si>
    <t>MANSA-METAMORPHIC-COMPLEX; LARGE IGNEOUS PROVINCE; SOUTH-CENTRAL CHILE; NEW-AGE CONSTRAINTS; SAN-JORGE-BASIN; CHUBUT GROUP; BREAK-UP; CENOZOIC DENUDATION; ANTARCTIC PENINSULA; MAGMATIC EVOLUTION</t>
  </si>
  <si>
    <t>The North Patagonian fold-thrust belt (41 degrees-44 degrees S) is characterized by a low topography, reduced crustal thickness and a broad lateral development determined by a broken foreland system in the retroarc zone. This particular structural system has not been fully addressed in terms of the age and mechanisms that built this orogenic segment. Here, new field and seismic evidence of syntectonic strata constrain the timing of the main deformational stages, evaluating the prevailing crustal regime for the different mountain domains through time. Growth strata and progressive unconformities, controlled by extensional or compressive structures, were recognized in volcanic and sedimentary rocks from the cordilleran to the extra-Andean domain. These data were used to construct a balanced cross section, whose deep structure was investigated through a thermomechanical model that characterizes the upper plate rheology. Our results indicate two main compressive stages, interrupted by an extensional relaxation period. The first contractional stage in the mid-Cretaceous inverted Jurassic-Lower Cretaceous half graben systems, reactivating the western Canadon Asfalto rift border similar to 500 km away from the trench, at a time of arc foreland expansion. For this stage, available thermochronological data reveal forearc cooling episodes, and global tectonic reconstructions indicate mid-ocean ridge collisions against the western edge of an upper plate with rapid trenchward displacement. Widespread synextensional volcanism is recognized throughout the Paleogene during plate reorganization; retroarc Paleocene-Eocene flare up activity is interpreted as product of a slab rollback, and fore-to-retroarc Oligocene slab/asthenospheric derived products as an expression of enhanced extension. The second stage of mountain growth occurred in Miocene time associated with Nazca Plate subduction, reaching nearly the same amplitude than the first compressive stage. Extensional weakening of the upper plate predating the described contractional stages appears as a necessary condition for abnormal lateral propagation of deformation. (C) 2016 Elsevier B.V. All rights reserved.</t>
  </si>
  <si>
    <t>[Echaurren, A.; Folguera, A.; Gianni, G.; Orts, D.] Univ Buenos Aires, Dept Ciencias Geol, FCEN, Intendente Guiraldes 2160,Ciudad Univ Pabellon 2, Buenos Aires, DF, Argentina; [Tassara, A.; Encinas, A.] Univ Concepcion, Fac Ciencias Quim, Dept Ciencias Tierra, Victor Lamas 1290, Concepcion 4030000, Chile; [Gimenez, M.] Univ Nacl San Juan, Inst Geofis &amp; Sismol Ingn Volponi, Ruta 12,Km 17, RA-5407 San Juan, Argentina; [Valencia, V.] Washington State Univ, Sch Enviroment, Pullman, WA 99164 USA</t>
  </si>
  <si>
    <t>University of Buenos Aires; Universidad de Concepcion; Universidad Nacional de San Juan; Washington State University</t>
  </si>
  <si>
    <t>Echaurren, A (corresponding author), Univ Buenos Aires, Dept Ciencias Geol, FCEN, Intendente Guiraldes 2160,Ciudad Univ Pabellon 2, Buenos Aires, DF, Argentina.</t>
  </si>
  <si>
    <t>andresechaurren@gmail.com</t>
  </si>
  <si>
    <t>; Gimenez, Mario/C-4927-2019</t>
  </si>
  <si>
    <t>Gianni, Guido Martin/0000-0001-9036-0621; Orts, Dario Leandro/0000-0002-9789-0606; Gimenez, Mario/0000-0002-7495-2448; folguera, andres/0000-0001-8965-8543</t>
  </si>
  <si>
    <t>PIP [11220110100506]; UBACYT [20020110100019, PICT-2012-1490]; Proyecto Fondecyt [1110914, 1151146]; Parques Nacionales in Los Alerces</t>
  </si>
  <si>
    <t>PIP; UBACYT; Proyecto Fondecyt(Comision Nacional de Investigacion Cientifica y Tecnologica (CONICYT)CONICYT FONDECYT); Parques Nacionales in Los Alerces</t>
  </si>
  <si>
    <t>This study was financed by PIP 11220110100506, UBACYT 20020110100019, PICT-2012-1490 and Proyecto Fondecyt 1110914 and 1151146. We are very grateful for the careful reviews, comments and suggestions from Brian Horton. We also acknowledge S. Kay and two anonymous reviewers whose reviews greatly enriched earlier versions of this article, and Editor Hans Thybo. Midland Valley is acknowledged for the 2D Move academic licenses. Thanks to Victor Ramos for fruitful comments and Jeremias Likerman, Miguel Ramos, Jonathan Tobal and Lucia Sagripanti for discussion. Thanks to Parques Nacionales in Los Alerces for granting access and hospitality, and Macarena Henkel and Francisco Rusconi for the field assistance. The reader is referred to the Data Supplementary in the online version of the article for additional geophysical information constraining the cross section, detailed field maps and analytical methods of zircon dating. This is the R-190 contribution of the Institute de Estudios Andinos Don Pablo Groeber.</t>
  </si>
  <si>
    <t>0040-1951</t>
  </si>
  <si>
    <t>1879-3266</t>
  </si>
  <si>
    <t>Tectonophysics</t>
  </si>
  <si>
    <t>10.1016/j.tecto.2016.04.009</t>
  </si>
  <si>
    <t>DN8EJ</t>
  </si>
  <si>
    <t>WOS:000377311700006</t>
  </si>
  <si>
    <t>Han, SR; Yu, SC; Ahn, DH; Park, H; Oh, TJ</t>
  </si>
  <si>
    <t>Han, So-Ra; Yu, Sang-Cheol; Ahn, Do-Hwan; Park, Hyun; Oh, Tae-Jin</t>
  </si>
  <si>
    <t>Complete genome sequence of Burkholderia sp strain PAMC28687, a potential octopine-utilizing bacterium isolated from Antarctica lichen</t>
  </si>
  <si>
    <t>JOURNAL OF BIOTECHNOLOGY</t>
  </si>
  <si>
    <t>Burkholderia sp PAMC28687; Complete genome sequence; Octopine; Antarctica lichen Useea sp.</t>
  </si>
  <si>
    <t>We report the complete genome sequence of Burkholderia sp. PAMC28687, which was isolated from the Antarctica lichen Useea sp., for better understanding of its catabolic traits in utilizing octopine as a source of carbon/nitrogen between Burkholderia and lichen. The genome consists of three circular chromosomes with five circular plasmids for the total 6,881,273 bp sized genome with a G + C content of 58.14%. (C) 2016 Elsevier B.V. All rights reserved.</t>
  </si>
  <si>
    <t>[Han, So-Ra; Yu, Sang-Cheol; Oh, Tae-Jin] SunMoon Univ, Dept BT Convergent Pharmaceut Engn, 100 Kalsan Ri, Asan 31460, Chungnam, South Korea; [Ahn, Do-Hwan; Park, Hyun] Korea Polar Res Inst KOPRI, 213-3 Songdo Dong, Inchon 21990, South Korea; [Park, Hyun] Univ Sci &amp; Technol, Polar Sci, Daejeon 34113, South Korea</t>
  </si>
  <si>
    <t>Sun Moon University; Korea Polar Research Institute (KOPRI); University of Science &amp; Technology (UST)</t>
  </si>
  <si>
    <t>Oh, TJ (corresponding author), SunMoon Univ, Dept BT Convergent Pharmaceut Engn, 100 Kalsan Ri, Asan 31460, Chungnam, South Korea.;Park, H (corresponding author), Korea Polar Res Inst KOPRI, 213-3 Songdo Dong, Inchon 21990, South Korea.</t>
  </si>
  <si>
    <t>hpark@kopri.re.kr; tjoh3782@sunmoon.ac.kr</t>
  </si>
  <si>
    <t>Park, Hyun/0000-0002-8055-2010</t>
  </si>
  <si>
    <t>Antarctic organisms: Cold Adaptation Mechanisms and its application grant - Korea Polar Research Institute [PE16070]</t>
  </si>
  <si>
    <t>Antarctic organisms: Cold Adaptation Mechanisms and its application grant - Korea Polar Research Institute</t>
  </si>
  <si>
    <t>This work was supported by the Antarctic organisms: Cold Adaptation Mechanisms and its application grant (PE16070) funded by the Korea Polar Research Institute.</t>
  </si>
  <si>
    <t>0168-1656</t>
  </si>
  <si>
    <t>1873-4863</t>
  </si>
  <si>
    <t>J BIOTECHNOL</t>
  </si>
  <si>
    <t>J. Biotechnol.</t>
  </si>
  <si>
    <t>MAY 20</t>
  </si>
  <si>
    <t>10.1016/j.jbiotec.2016.03.043</t>
  </si>
  <si>
    <t>Biotechnology &amp; Applied Microbiology</t>
  </si>
  <si>
    <t>DK7QT</t>
  </si>
  <si>
    <t>WOS:000375121500004</t>
  </si>
  <si>
    <t>Han, SR; Kim, KH; Ahn, DH; Park, H; Oh, TJ</t>
  </si>
  <si>
    <t>Han, So-Ra; Kim, Ki-Hwa; Ahn, Do-Hwan; Park, Hyun; Oh, Tae-Jin</t>
  </si>
  <si>
    <t>Complete genome sequence of carotenoid-producing Microbacterium sp strain PAMC28756 isolated from an Antarctic lichen</t>
  </si>
  <si>
    <t>Microbacterium sp PAMC28756; Complete genome sequence; Carotenoid; Antarctica lichen Stereocaulon sp.</t>
  </si>
  <si>
    <t>BACTERIORUBERIN; BIOSYNTHESIS</t>
  </si>
  <si>
    <t>Microbacterium sp. strain PAMC28756, of the family Microbacteriaceae, was isolated from Stereocaulon sp., an Antarctic lichen. Complete genome sequencing of Microbacterium sp. PAMC28756 revealed, for the first time in the genus Micro bacterium, a series of key genes involved in C50 carotenoid biosynthesis. An analysis of the Microbacterium sp. PAMC28756 genome will lead to a better understanding of the carotenoid biosynthesis pathway. Furthermore, the sequence data will provide novel insight into UV radiation resistance in extremely cold environments. (C) 2016 Elsevier B.V. All rights reserved.</t>
  </si>
  <si>
    <t>[Han, So-Ra; Kim, Ki-Hwa; Oh, Tae-Jin] SunMoon Univ, Dept BT Convergent Pharmaceut Engn, 100 Kalsan Ri, Asan 31460, Chungnam, South Korea; [Ahn, Do-Hwan; Park, Hyun] KOPRI, 213-3 Songdo Dong, Inchon 21990, South Korea</t>
  </si>
  <si>
    <t>Sun Moon University; Korea Polar Research Institute (KOPRI)</t>
  </si>
  <si>
    <t>Oh, TJ (corresponding author), SunMoon Univ, Dept BT Convergent Pharmaceut Engn, 100 Kalsan Ri, Asan 31460, Chungnam, South Korea.;Park, H (corresponding author), KOPRI, 213-3 Songdo Dong, Inchon 21990, South Korea.</t>
  </si>
  <si>
    <t>10.1016/j.jbiotec.2016.03.034</t>
  </si>
  <si>
    <t>WOS:000375121500005</t>
  </si>
  <si>
    <t>Han, SR; Yu, SC; Kang, S; Park, H; Oh, TJ</t>
  </si>
  <si>
    <t>Han, So-Ra; Yu, Sang-Cheol; Kang, Seunghyun; Park, Hyun; Oh, Tae-Jin</t>
  </si>
  <si>
    <t>Complete genome sequence of Frondihabitans sp strain PAMC28766, a novel carotenoid-producing and radiation-resistant strain isolated from an Antarctic lichen</t>
  </si>
  <si>
    <t>Frondihabitans sp PAMC28766; Complete genome sequence; Carotenoid; Nucleotide excision repair; Antarctica lichen Himantormia sp.</t>
  </si>
  <si>
    <t>SP NOV.</t>
  </si>
  <si>
    <t>Here, we report the first complete genome sequence of Frondihabitans sp. strain PAMC28766, which was found to consist of three plasmids, one chromosome (4,345,897 bp), and a series of genes involved in carotenoid biosynthesis and nucleotide excision repair. An analysis of the Frondihabitans sp. PAMC28766 genome will improve our understanding of the carotenoid biosynthesis pathway. Furthermore, the sequence data will provide novel insight into UV radiation-resistance in extremely cold environments. (C) 2016 Elsevier B.V. All rights reserved.</t>
  </si>
  <si>
    <t>[Han, So-Ra; Yu, Sang-Cheol; Oh, Tae-Jin] SunMoon Univ, Dept BT Convergent Pharmaceut Engn, 100 Kalsan Ri, Asan 31460, Chungnam, South Korea; [Kang, Seunghyun; Park, Hyun] Korea Polar Res Inst KOPRI, 213-3 Songdo Dong, Inchon 21990, South Korea; [Park, Hyun] Univ Sci &amp; Technol, Polar Sci, Daejeon 34113, South Korea</t>
  </si>
  <si>
    <t>+</t>
  </si>
  <si>
    <t>10.1016/j.jbiotec.2016.03.041</t>
  </si>
  <si>
    <t>WOS:000375121500006</t>
  </si>
  <si>
    <t>Lee, J; Jung, YJ; Lee, HK; Hong, SG; Kim, OS</t>
  </si>
  <si>
    <t>Lee, Jaejin; Jung, You-Jung; Lee, Hong Kum; Hong, Soon Gyu; Kim, Ok-Sun</t>
  </si>
  <si>
    <t>Complete genome sequence of Pedobacter cryoconitis PAMC 27485, a CRISPR-Cas system-containing psychrophile isolated from Antarctica</t>
  </si>
  <si>
    <t>Complete genome; Pedobacter cryoconitis; Psychrophile; CRISPR-Cas9; Proteases</t>
  </si>
  <si>
    <t>SP NOV.; RECOGNITION</t>
  </si>
  <si>
    <t>Pedobacter cryoconitis PAMC 27485, an aerobic, Gram-negative, facultatively psychrophilic bacterium, was isolated from Antarctic soil. Here we report the complete genome of P. cryoconitis PAMC 27485, which contains a type II CRISPR-Cas system and genes encoding useful enzymes (e.g. proteases). The genome sequence of P. cryoconitis PAMC 27485 could provide insights into its adaptive immune system against foreign genetic elements and biotechnological potential. (C) 2016 Elsevier B.V. All rights reserved.</t>
  </si>
  <si>
    <t>[Lee, Jaejin; Jung, You-Jung; Lee, Hong Kum; Hong, Soon Gyu; Kim, Ok-Sun] Korea Polar Res Inst, Div Polar Life Sci, Inchon 21990, South Korea; [Jung, You-Jung] Natl Marine Biodivers Inst Korea, Converging Res Div, Cungcheongnam Do 33662, South Korea</t>
  </si>
  <si>
    <t>Korea Polar Research Institute (KOPRI); Marine Biodiversity Institute of Korea (MABIK)</t>
  </si>
  <si>
    <t>Kim, OS (corresponding author), Korea Polar Res Inst, Div Polar Life Sci, Inchon 21990, South Korea.</t>
  </si>
  <si>
    <t>oskim@kopri.re.kr</t>
  </si>
  <si>
    <t>Lee, Jaejin/JSK-3037-2023</t>
  </si>
  <si>
    <t>Lee, Jaejin/0000-0002-9793-9473</t>
  </si>
  <si>
    <t>Korea Polar Research Institute [PE 16020]</t>
  </si>
  <si>
    <t>Korea Polar Research Institute(Korea Polar Research Institute of Marine Research Placement (KOPRI))</t>
  </si>
  <si>
    <t>This work was supported by Korea Polar Research Institute (Grant PE 16020).</t>
  </si>
  <si>
    <t>10.1016/j.jbiotec.2016.03.035</t>
  </si>
  <si>
    <t>WOS:000375121500014</t>
  </si>
  <si>
    <t>Sinoir, M; Ellwood, MJ; Butler, ECV; Bowie, AR; Mongin, M; Hassler, CS</t>
  </si>
  <si>
    <t>Sinoir, Marie; Ellwood, Michael J.; Butler, Edward C. V.; Bowie, Andrew R.; Mongin, Mathieu; Hassler, Christel S.</t>
  </si>
  <si>
    <t>Zinc cycling in the Tasman Sea: Distribution, speciation and relation to phytoplankton community</t>
  </si>
  <si>
    <t>MARINE CHEMISTRY</t>
  </si>
  <si>
    <t>Voltammetry; Zinc; Ligands; Bioavailability</t>
  </si>
  <si>
    <t>FRONTAL ZONES SOUTH; SUB-ARCTIC PACIFIC; MARINE-PHYTOPLANKTON; EMILIANIA-HUXLEYI; DISSOLVED ZINC; NORTH PACIFIC; STRIPPING VOLTAMMETRY; PHOSPHATASE-ACTIVITY; METAL SPECIATION; ORGANIC-LIGANDS</t>
  </si>
  <si>
    <t>Zinc (Zn) is essential for phytoplankton growth as it plays a central role within many enzymatic systems within phytoplankton. Here, we present dissolved Zn concentration and Zn chemical speciation results for samples collected at four stations in the Tasman Sea east of Australia. Dissolved Zn concentrations determined using isotope dilution inductively coupled plasma-mass spectrometry (ICP-MS) ranged between 0.02 to 0.19 nmol L-1 (15 m depth) and 0.02 to 0.11 nmol L-1 (150 m depth) along a north-south transect. Zn speciation determined using Anodic Stripping Voltammetry (ASV) on four selected profiles from the Tasman Sea indicated that dissolved Zn is strongly complexed to natural organic ligands, with the conditional stability constant for the Zn-ligand complex (log K-ZnL') ranging between 9.3 and 11.4. Dissolved ligand concentrations showed variations with concentrations ranging between 0.8 and 4 nmol L-1. In surface waters, ligand concentrations always exceeded dissolved Zn concentrations, lowering free Zn2+ ion concentrations into the picomolar range. Based on comparisons between Zn speciation and the phytoplankton community of the Tasman Sea, we suggest that there is the potential for zinc limitation of certain phytoplankton groups in this region and feedback by phytoplankton on ligands, hence, on Zn biogeochemistry. (C) 2016 Elsevier B.V. All rights reserved.</t>
  </si>
  <si>
    <t>[Sinoir, Marie; Butler, Edward C. V.; Mongin, Mathieu] CSIRO Marine &amp; Atmospher Res Labs, GPO Box 1538, Hobart, Tas 7000, Australia; [Sinoir, Marie; Bowie, Andrew R.] Univ Tasmania, Inst Marine &amp; Antarctic Studies, Hobart, Tas 7001, Australia; [Ellwood, Michael J.] Australian Natl Univ, Res Sch Earth Sci, Bldg 8,61 Mills Rd, Canberra, ACT 2000, Australia; [Butler, Edward C. V.] Arafura Timor Res Facil, Australian Inst Marine Sci, POB 41775, Casuarina Mc, NT 0811, Australia; [Bowie, Andrew R.] Univ Tasmania, Antarctic Climate &amp; Ecosyst Cooperat Res Ctr ACE, Hobart, Tas 7001, Australia; [Hassler, Christel S.] Univ Technol Sydney, Plant Funct Biol &amp; Climate Change Cluster, Broadway, NSW 2007, Australia; [Hassler, Christel S.] Univ Geneva, Inst FA Forel, 10 Rte Suisse, CH-1290 Versoix, Switzerland</t>
  </si>
  <si>
    <t>Commonwealth Scientific &amp; Industrial Research Organisation (CSIRO); University of Tasmania; Australian National University; Australian Institute of Marine Science; Antarctic Climate &amp; Ecosystems Cooperative Research Centre (ACE CRC); University of Tasmania; University of Technology Sydney; University of Geneva</t>
  </si>
  <si>
    <t>Sinoir, M (corresponding author), CSIRO Marine &amp; Atmospher Res Labs, GPO Box 1538, Hobart, Tas 7000, Australia.</t>
  </si>
  <si>
    <t>marie.sinoir@gmail.com</t>
  </si>
  <si>
    <t>Ellwood, Michael J/G-7390-2011; Bowie, Andrew/C-8677-2013; mongin, mathieu/G-4169-2015</t>
  </si>
  <si>
    <t>Bowie, Andrew/0000-0002-5144-7799; Hassler, Christel/0000-0002-8976-5469; Ellwood, Michael/0000-0003-4288-8530; mongin, mathieu/0000-0001-9647-0530; Butler, Edward/0000-0002-6660-3985</t>
  </si>
  <si>
    <t>Quantitative Marine Science (QMS) CSIRO-UTAS joint PhD programme; Institute for Marine and Antarctic Science; Australian Climate and Ecosystem CRC (ACE-CRC); University of Tasmania 'Rising Stars' award [B0019024]; Australian Research Council [DP110100108]; UTS Chancellor Fellowship; Swiss National Science Foundation [PP00P2_138955]; Swiss National Science Foundation (SNF) [PP00P2_138955] Funding Source: Swiss National Science Foundation (SNF)</t>
  </si>
  <si>
    <t>Quantitative Marine Science (QMS) CSIRO-UTAS joint PhD programme; Institute for Marine and Antarctic Science; Australian Climate and Ecosystem CRC (ACE-CRC)(Australian GovernmentDepartment of Industry, Innovation and ScienceCooperative Research Centres (CRC) Programme); University of Tasmania 'Rising Stars' award; Australian Research Council(Australian Research Council); UTS Chancellor Fellowship; Swiss National Science Foundation(Swiss National Science Foundation (SNSF)); Swiss National Science Foundation (SNF)(Swiss National Science Foundation (SNSF))</t>
  </si>
  <si>
    <t>This work was funded by the Quantitative Marine Science (QMS) CSIRO-UTAS joint PhD programme and the Institute for Marine and Antarctic Science. This research was also partly supported by the Australian Climate and Ecosystem CRC (ACE-CRC) and a University of Tasmania 'Rising Stars' (B0019024) award to Bowie. The Australian Research Council is also acknowledged for funding awarded to Ellwood and Hassler (DP110100108). Hassler was also funded by a UTS Chancellor Fellowship and a Swiss National Science Foundation Fellowship (PP00P2_138955). Finally, we thank two anonymous reviewers who provide valuable comments that helped to improve the manuscript.</t>
  </si>
  <si>
    <t>0304-4203</t>
  </si>
  <si>
    <t>1872-7581</t>
  </si>
  <si>
    <t>MAR CHEM</t>
  </si>
  <si>
    <t>Mar. Chem.</t>
  </si>
  <si>
    <t>10.1016/j.marchem.2016.03.006</t>
  </si>
  <si>
    <t>Chemistry, Multidisciplinary; Oceanography</t>
  </si>
  <si>
    <t>Chemistry; Oceanography</t>
  </si>
  <si>
    <t>DO5MU</t>
  </si>
  <si>
    <t>WOS:000377828000003</t>
  </si>
  <si>
    <t>Yang, LJ; Guo, J; Yu, Y; An, QD; Wang, LY; Li, SL; Huang, XL; Mu, SY; Qi, SW</t>
  </si>
  <si>
    <t>Yang, Lijun; Guo, Jing; Yu, Yue; An, Qingda; Wang, Liyan; Li, Shenglin; Huang, Xuelin; Mu, Siyang; Qi, Shanwei</t>
  </si>
  <si>
    <t>Hydrogen bonds of sodium alginate/Antarctic krill protein composite material</t>
  </si>
  <si>
    <t>CARBOHYDRATE POLYMERS</t>
  </si>
  <si>
    <t>Sodium alginate; The Antarctic krill protein; Hydrogen bond; Derivative infrared spectra; Composite fiber</t>
  </si>
  <si>
    <t>EUPHAUSIA-SUPERBA; ALGINATE</t>
  </si>
  <si>
    <t>Sodium alginate/Antarctic krill protein composite material (SA/AKP) was successfully obtained by blending method. The hydrogen bonds of SA/AKP composite material were analyzed by Fourier transform infrared spectroscopy (FT-IR) and Nuclear magnetic resonance hydrogen spectrum (HNMR). Experiment manifested the existence of intermolecular and intramolecular hydrogen bonds in SA/AKP system; strength of intermolecular hydrogen bond enhanced with the increase of AKP in the composite material and the interaction strength of hydrogen bonding followed the order: OH... Ether 0 &gt; OH...pi &gt; OH...N. The percentage of intermolecular hydrogen bond decreased with increase of pH. At the same time, the effect of hydrogen bonds on properties of the composite material was discussed. The increase of intermolecular hydrogen bonding led to the decrease of crystallinity, increase of apparent viscosity and surface tension, as well as obvious decrease of heat resistance of SA/AKP composite material. SA/ARP fiber SEM images and energy spectrum showed that crystallized salt was separated from the fiber, which possibly led to the fibrillation of the composite fibers. (C) 2016 Elsevier Ltd. All rights reserved.</t>
  </si>
  <si>
    <t>[Yang, Lijun; Guo, Jing; Yu, Yue; An, Qingda; Li, Shenglin; Huang, Xuelin; Mu, Siyang; Qi, Shanwei] Dalian Polytech Univ, Liaoning 116034, Peoples R China; [Guo, Jing] Dalian Polytech Univ, Liaoning Engn Technol Res Ctr Funct Fiber &amp; Its C, Dalian 116034, Peoples R China; [Wang, Liyan] Shenyang Univ Technol, Liaoning 111003, Peoples R China</t>
  </si>
  <si>
    <t>Dalian Polytechnic University; Dalian Polytechnic University; Shenyang University of Technology</t>
  </si>
  <si>
    <t>Guo, J (corresponding author), Dalian Polytech Univ, Liaoning 116034, Peoples R China.</t>
  </si>
  <si>
    <t>guojing8161@163.com</t>
  </si>
  <si>
    <t>li, Shenglin/HLW-0170-2023; zhan, xiao/JEZ-3810-2023</t>
  </si>
  <si>
    <t>National Natural Science Foundation of China [51373027]; National Science Foundation of Liaoning [2015020221]</t>
  </si>
  <si>
    <t>National Natural Science Foundation of China(National Natural Science Foundation of China (NSFC)); National Science Foundation of Liaoning</t>
  </si>
  <si>
    <t>This research was funded by the National Natural Science Foundation of China (No: 51373027), and the National Science Foundation of Liaoning (No: 2015020221).</t>
  </si>
  <si>
    <t>0144-8617</t>
  </si>
  <si>
    <t>1879-1344</t>
  </si>
  <si>
    <t>CARBOHYD POLYM</t>
  </si>
  <si>
    <t>Carbohydr. Polym.</t>
  </si>
  <si>
    <t>10.1016/j.carbpol.2016.01.050</t>
  </si>
  <si>
    <t>Chemistry, Applied; Chemistry, Organic; Polymer Science</t>
  </si>
  <si>
    <t>Chemistry; Polymer Science</t>
  </si>
  <si>
    <t>DE3KX</t>
  </si>
  <si>
    <t>WOS:000370529000035</t>
  </si>
  <si>
    <t>Aitken, ARA; Roberts, JL; van Ommen, TD; Young, DA; Golledge, NR; Greenbaum, JS; Blankenship, DD; Siegert, MJ</t>
  </si>
  <si>
    <t>Aitken, A. R. A.; Roberts, J. L.; van Ommen, T. D.; Young, D. A.; Golledge, N. R.; Greenbaum, J. S.; Blankenship, D. D.; Siegert, M. J.</t>
  </si>
  <si>
    <t>Repeated large-scale retreat and advance of Totten Glacier indicated by inland bed erosion</t>
  </si>
  <si>
    <t>NATURE</t>
  </si>
  <si>
    <t>ANTARCTIC ICE-SHEET; EAST ANTARCTICA; SEA-LEVEL; TEMPERATURE VARIABILITY; PLIOCENE; STABILITY; GREENLAND; SURFACE; MODEL; OCEAN</t>
  </si>
  <si>
    <t>Climate variations cause ice sheets to retreat and advance, raising or lowering sea level by metres to decametres. The basic relationship is unambiguous, but the timing, magnitude and sources of sea-level change remain unclear; in particular, the contribution of the East Antarctic Ice Sheet (EAIS) is ill defined, restricting our appreciation of potential future change. Several lines of evidence suggest possible collapse of the Totten Glacier into interior basins during past warm periods, most notably the Pliocene epoch(1-4), causing several metres of sea-level rise. However, the structure and long-term evolution of the ice sheet in this region have been understood insufficiently to constrain past ice-sheet extents. Here we show that deep ice-sheet erosion-enough to expose basement rocks-has occurred in two regions: the head of the Totten Glacier, within 150 kilometres of today's grounding line; and deep within the Sabrina Subglacial Basin, 350-550 kilometres from this grounding line. Our results, based on ICECAP aerogeophysical data, demarcate the marginal zones of two distinct quasi-stable EAIS configurations, corresponding to the 'modern-scale' ice sheet (with a marginal zone near the present ice-sheet margin) and the retreated ice sheet (with the marginal zone located far inland). The transitional region of 200-250 kilometres in width is less eroded, suggesting shorter-lived exposure to eroding conditions during repeated retreat-advance events, which are probably driven by ocean-forced instabilities. Representative ice-sheet models indicate that the global sea-level increase resulting from retreat in this sector can be up to 0.9 metres in the modern-scale configuration, and exceeds 2 metres in the retreated configuration.</t>
  </si>
  <si>
    <t>[Aitken, A. R. A.] Univ Western Australia, Sch Earth &amp; Environm, Perth, WA 6008, Australia; [Roberts, J. L.; van Ommen, T. D.] Australian Antarctic Div, Channel Highway, Kingston, Tas 7050, Australia; [Roberts, J. L.; van Ommen, T. D.] Univ Tasmania, Antarctic Climate &amp; Ecosyst Cooperat Res Ctr, Hobart, Tas 7005, Australia; [Young, D. A.; Greenbaum, J. S.; Blankenship, D. D.] Univ Texas Austin, Inst Geophys, Austin, TX 78758 USA; [Golledge, N. R.] Victoria Univ Wellington, Antarctic Res Ctr, Wellington 6140, New Zealand; [Golledge, N. R.] GNS Sci, Lower Hutt 5011, New Zealand; [Siegert, M. J.] Univ London Imperial Coll Sci Technol &amp; Med, Grantham Inst, London SW7 2AZ, England; [Siegert, M. J.] Univ London Imperial Coll Sci Technol &amp; Med, Dept Earth Sci &amp; Engn, London SW7 2AZ, England</t>
  </si>
  <si>
    <t>University of Western Australia; Australian Antarctic Division; Antarctic Climate &amp; Ecosystems Cooperative Research Centre (ACE CRC); University of Tasmania; University of Texas System; University of Texas Austin; Victoria University Wellington; GNS Science - New Zealand; Imperial College London; Imperial College London</t>
  </si>
  <si>
    <t>Aitken, ARA (corresponding author), Univ Western Australia, Sch Earth &amp; Environm, Perth, WA 6008, Australia.</t>
  </si>
  <si>
    <t>alan.aitken@uwa.edu.au</t>
  </si>
  <si>
    <t>Young, Duncan A./G-6256-2010; Roberts, Jason L/B-2235-2012; Siegert, Martin/M-9939-2019; Siegert, Martin J/A-3826-2008; van Ommen, Tas/B-5020-2012</t>
  </si>
  <si>
    <t>Roberts, Jason L/0000-0002-3477-4069; Siegert, Martin/0000-0002-0090-4806; Siegert, Martin J/0000-0002-0090-4806; Golledge, Nicholas/0000-0001-7676-8970; Aitken, Alan/0000-0002-6375-2504; van Ommen, Tas/0000-0002-2463-1718</t>
  </si>
  <si>
    <t>National Science Foundation [PLR-0733025]; National Aeronautics and Space Administration [NNX09AR52G, NNG10HPO6C, NNX11AD33G]; Australian Antarctic Division [3013, 4077]; National Environment and Research Council [NE/D003733/1]; Jackson School of Geosciences; G. Unger Vetlesen Foundation; Australian Government's Cooperative Research Centres Programme through the Antarctic Climate &amp; Ecosystems Cooperative Research Centre (ACE CRC); Royal Society of New Zealand's Marsden Fund [VUW1203]; NERC [NE/F016646/2, NE/F016646/1] Funding Source: UKRI; Natural Environment Research Council [NE/F016646/1, NE/F016646/2] Funding Source: researchfish</t>
  </si>
  <si>
    <t>National Science Foundation(National Science Foundation (NSF)); National Aeronautics and Space Administration(National Aeronautics &amp; Space Administration (NASA)); Australian Antarctic Division; National Environment and Research Council; Jackson School of Geosciences; G. Unger Vetlesen Foundation; Australian Government's Cooperative Research Centres Programme through the Antarctic Climate &amp; Ecosystems Cooperative Research Centre (ACE CRC)(Australian GovernmentDepartment of Industry, Innovation and ScienceCooperative Research Centres (CRC) Programme); Royal Society of New Zealand's Marsden Fund(Royal Society of New ZealandMarsden Fund (NZ)); NERC(UK Research &amp; Innovation (UKRI)Natural Environment Research Council (NERC)); Natural Environment Research Council(UK Research &amp; Innovation (UKRI)Natural Environment Research Council (NERC))</t>
  </si>
  <si>
    <t>Collection of ICECAP data was supported by: National Science Foundation grant PLR-0733025; National Aeronautics and Space Administration grants NNX09AR52G, NNG10HPO6C and NNX11AD33G (Operation Ice Bridge and the American Recovery and Reinvestment Act); Australian Antarctic Division projects 3013 and 4077; National Environment and Research Council grant NE/D003733/1; the Jackson School of Geosciences; the G. Unger Vetlesen Foundation; and the Australian Government's Cooperative Research Centres Programme through the Antarctic Climate &amp; Ecosystems Cooperative Research Centre (ACE CRC). Ice-sheet modelling was funded under contract VUW1203 of the Royal Society of New Zealand's Marsden Fund. We thank S. Jamieson for comments and for supplying model images for comparison. This is the University of Texas Institute of Geophysics contribution 2950.</t>
  </si>
  <si>
    <t>0028-0836</t>
  </si>
  <si>
    <t>1476-4687</t>
  </si>
  <si>
    <t>Nature</t>
  </si>
  <si>
    <t>MAY 19</t>
  </si>
  <si>
    <t>10.1038/nature17447</t>
  </si>
  <si>
    <t>DM0AH</t>
  </si>
  <si>
    <t>WOS:000376004300046</t>
  </si>
  <si>
    <t>Boehme, L; Baker, A; Fedak, M; Arthun, M; Nicholls, K; Robinson, P; Costa, D; Biuw, M; Photopoulou, T</t>
  </si>
  <si>
    <t>Boehme, Lars; Baker, Amy; Fedak, Mike; Arthun, Marius; Nicholls, Keith; Robinson, Patrick; Costa, Dan; Biuw, Martin; Photopoulou, Theoni</t>
  </si>
  <si>
    <t>Bimodal Winter Haul-Out Patterns of Adult Weddell Seals (Leptonychotes weddellii) in the Southern Weddell Sea</t>
  </si>
  <si>
    <t>CRAB-EATER SEALS; QUEEN-MAUD-LAND; ELEPHANT SEALS; ANTARCTIC SILVERFISH; FORAGING BEHAVIOR; SPATIAL VARIATION; PHOCA-VITULINA; HABITAT USE; MOVEMENTS; ECOLOGY</t>
  </si>
  <si>
    <t>Hauling out is an essential component of pinniped life-history. Haul-out behaviour may be affected by biological (e.g. sex, age and condition) and physical factors (e.g. food availability and environmental conditions), and identifying these factors may help explain the spatiotemporal distribution and habitat use of pinnipeds. The aim of this study is to describe observed winter haul-out patterns of adult Weddell seals in the Weddell Sea and investigate the role of potential predictors to gain insight into the way these animals interact with the physical environment in this region. We examined the haul-out behaviour in relation to available biological (i.e., diving effort, sex) and physical information (i.e., sun angle). Thirty-three satellite telemetry tags were deployed on adult Weddell seals in the southern Weddell Sea during February 2007, 2009 and 2011, following their annual moult recording information on the behavioural mode of the animal: at surface, hauled out or diving. At the end of the austral summer Weddell seals spent, on average, more than 40% of their time hauled out on the ice. Under constant light conditions, it appears that physiological factors drive sex differences in the timing and duration of haul-out behaviour, with females spending on average more time hauled out than males during daylight hours. This time spent hauled-out declined to around 15% in both sexes by the beginning of autumn and remained at this level with a clear nocturnal haul-out pattern during the winter. The time spent diving increased during this period, indicating an increase in foraging effort during the winter months, and led to a common haul-out pattern in both sexes over winter. We found a positive relationship between haul-out duration and the percentage of time spent diving prior to a haul-out in both sexes, with the exception of female daytime haul-outs early in the year.</t>
  </si>
  <si>
    <t>[Boehme, Lars; Baker, Amy; Fedak, Mike; Biuw, Martin; Photopoulou, Theoni] Scottish Oceans Inst, Sea Mammal Res Unit, St Andrews, Fife, Scotland; [Arthun, Marius; Nicholls, Keith] British Antarctic Survey, Cambridge CB3 0ET, England; [Robinson, Patrick; Costa, Dan] Univ Calif Santa Cruz, Long Marine Lab, Santa Cruz, CA 95064 USA; [Arthun, Marius] Univ Bergen, Inst Geophys, Bergen, Norway; [Arthun, Marius] Bjerknes Ctr Climate Res, Bergen, Norway; [Biuw, Martin] Akvaplan Niva, Tromso, Norway; [Photopoulou, Theoni] Univ Cape Town, Dept Stat Sci, Ctr Stat Ecol Environm &amp; Conservat, ZA-7925 Cape Town, South Africa</t>
  </si>
  <si>
    <t>University of St Andrews; UK Research &amp; Innovation (UKRI); Natural Environment Research Council (NERC); NERC British Antarctic Survey; University of California System; University of California Santa Cruz; University of Bergen; Bjerknes Centre for Climate Research; Akvaplan-niva; University of Cape Town</t>
  </si>
  <si>
    <t>Boehme, L (corresponding author), Scottish Oceans Inst, Sea Mammal Res Unit, St Andrews, Fife, Scotland.</t>
  </si>
  <si>
    <t>lb284@st-andrews.ac.uk</t>
  </si>
  <si>
    <t>Photopoulou, Theoni/E-3994-2012; Biuw, Martin/AAF-9895-2021; Boehme, Lars/B-6567-2009; Fedak, Michael/B-3987-2009; Costa, Daniel Paul/E-2616-2013</t>
  </si>
  <si>
    <t>Photopoulou, Theoni/0000-0001-9616-9940; Boehme, Lars/0000-0003-3513-6816; Fedak, Michael/0000-0002-9569-1128; Costa, Daniel Paul/0000-0002-0233-5782; Arthun, Marius/0000-0003-4500-1691; Biuw, Martin/0000-0001-8051-3399</t>
  </si>
  <si>
    <t>NERC [NE/G014833/1, NE/G014086/1]; MASTS pooling initiative (The Marine Alliance for Science and Technology for Scotland); Scottish Funding Council [HR09011]; South African National Research Foundation Scarce Skills postdoctoral research fellowship; Natural Environment Research Council [NE/G014833/1, NE/G014086/1, smru10001, bas0100033] Funding Source: researchfish; NERC [NE/G014833/1, NE/G014086/1, bas0100033] Funding Source: UKRI</t>
  </si>
  <si>
    <t>NERC(UK Research &amp; Innovation (UKRI)Natural Environment Research Council (NERC)); MASTS pooling initiative (The Marine Alliance for Science and Technology for Scotland); Scottish Funding Council; South African National Research Foundation Scarce Skills postdoctoral research fellowship; Natural Environment Research Council(UK Research &amp; Innovation (UKRI)Natural Environment Research Council (NERC)); NERC(UK Research &amp; Innovation (UKRI)Natural Environment Research Council (NERC))</t>
  </si>
  <si>
    <t>This research was funded by NERC grants NE/G014833/1 and NE/G014086/1 and also received funding from the MASTS pooling initiative (The Marine Alliance for Science and Technology for Scotland) and their support is gratefully acknowledged. MASTS is funded by the Scottish Funding Council (grant reference HR09011) and contributing institutions. During the completion of the manuscript preparation TP was supported by a South African National Research Foundation Scarce Skills postdoctoral research fellowship.</t>
  </si>
  <si>
    <t>e0155817</t>
  </si>
  <si>
    <t>10.1371/journal.pone.0155817</t>
  </si>
  <si>
    <t>DM4BR</t>
  </si>
  <si>
    <t>WOS:000376291100105</t>
  </si>
  <si>
    <t>De La Rosa, I; Passo, A; Rodríguez, JM; Chiapella, JO; Messuti, MI</t>
  </si>
  <si>
    <t>Nadia De La Rosa, Iris; Passo, Alfredo; Manuel Rodriguez, Juan; Oscar Chiapella, Jorge; Ines Messuti, Maria</t>
  </si>
  <si>
    <t>A new species and new records of Lecanora (Lecanoraceae, lichenized Ascomycota) with usnic acid from the Antarctic region</t>
  </si>
  <si>
    <t>PHYTOTAXA</t>
  </si>
  <si>
    <t>Antarctica; artificial substrates; diversity; Lecanorales; lichens; saxicolous</t>
  </si>
  <si>
    <t>VICTORIA LAND; VARIA GROUP</t>
  </si>
  <si>
    <t>A new species of Lecanora, L. flavocrassa, is described from the Antarctic region. Additionally, L. stenotropa is registered for the first time from Antarctica and the distribution range of L. intricata is extended to the Antarctic Peninsula. A key to the species of Lecanora from Antarctica that contain usnic acid as secondary metabolite is presented.</t>
  </si>
  <si>
    <t>[Nadia De La Rosa, Iris; Passo, Alfredo; Ines Messuti, Maria] Univ Nacl Comahue, CONICET, INIBIOMA, Quintral 1250, San Carlos De Bariloche, Rio Negro, Argentina; [Manuel Rodriguez, Juan] Univ Nacl Cordoba, CONICET, IIByT, Ave Velez Sarsfield 299, Cordoba, Argentina; [Oscar Chiapella, Jorge] Univ Nacl Cordoba, CONICET, IMBIV, Ave Velez Sarsfield 299, Cordoba, Argentina</t>
  </si>
  <si>
    <t>Universidad Nacional del Comahue; Consejo Nacional de Investigaciones Cientificas y Tecnicas (CONICET); National University of Cordoba; Consejo Nacional de Investigaciones Cientificas y Tecnicas (CONICET); Consejo Nacional de Investigaciones Cientificas y Tecnicas (CONICET); National University of Cordoba</t>
  </si>
  <si>
    <t>De La Rosa, I (corresponding author), Univ Nacl Comahue, CONICET, INIBIOMA, Quintral 1250, San Carlos De Bariloche, Rio Negro, Argentina.</t>
  </si>
  <si>
    <t>irisnadia@gmail.com; alfredo.passo@gmail.com; jmrodriguez@efn.uncor.edu; jchiapella@imbiv.unc.edu.ar; mimessuti@gmail.com</t>
  </si>
  <si>
    <t>Chiapella, Jorge O./AAI-2433-2021</t>
  </si>
  <si>
    <t>Chiapella, Jorge O./0000-0003-1686-1211</t>
  </si>
  <si>
    <t>Universidad Nacional del Comahue [Secretaria de Investigacion y Extension] [B177]; CONICET [PIP 11220090100207]; ANPCyT-DNA [PICT 2010-0095]</t>
  </si>
  <si>
    <t>Universidad Nacional del Comahue [Secretaria de Investigacion y Extension]; CONICET(Consejo Nacional de Investigaciones Cientificas y Tecnicas (CONICET)); ANPCyT-DNA</t>
  </si>
  <si>
    <t>J.M.R. and A.P. thank the staff of the Carlini (Jubany) and Primavera stations and Direccion Nacional del Antartico (DNA) for providing logistics support during fieldwork. Financial support was provided by Universidad Nacional del Comahue [Secretaria de Investigacion y Extension (Grant No B177)], CONICET (PIP 11220090100207) and ANPCyT-DNA (PICT 2010-0095).</t>
  </si>
  <si>
    <t>MAGNOLIA PRESS</t>
  </si>
  <si>
    <t>AUCKLAND</t>
  </si>
  <si>
    <t>PO BOX 41383, AUCKLAND, ST LUKES 1030, NEW ZEALAND</t>
  </si>
  <si>
    <t>1179-3155</t>
  </si>
  <si>
    <t>1179-3163</t>
  </si>
  <si>
    <t>Phytotaxa</t>
  </si>
  <si>
    <t>MAY 18</t>
  </si>
  <si>
    <t>10.11646/phytotaxa.261.2.8</t>
  </si>
  <si>
    <t>Plant Sciences</t>
  </si>
  <si>
    <t>DT9ME</t>
  </si>
  <si>
    <t>WOS:000381824400008</t>
  </si>
  <si>
    <t>Bissett, A; Fitzgerald, A; Meintjes, T; Mele, PM; Reith, F; Dennis, PG; Breed, MF; Brown, B; Brown, MV; Brugger, J; Byrne, M; Caddy-Retalic, S; Carmody, B; Coates, DJ; Correa, C; Ferrari, BC; Gupta, VVSR; Hamonts, K; Haslem, A; Hugenholtz, P; Karan, M; Koval, J; Lowe, AJ; Macdonald, S; McGrath, L; Martin, D; Morgan, M; North, KI; Paungfoo-Lonhienne, C; Pendall, E; Phillips, L; Pirzl, R; Powell, JR; Ragan, MA; Schmidt, S; Seymour, N; Snape, I; Stephen, JR; Stevens, M; Tinning, M; Williams, K; Yeoh, YK; Zammit, CM; Young, A</t>
  </si>
  <si>
    <t>Bissett, Andrew; Fitzgerald, Anna; Meintjes, Thys; Mele, Pauline M.; Reith, Frank; Dennis, Paul G.; Breed, Martin F.; Brown, Belinda; Brown, Mark V.; Brugger, Joel; Byrne, Margaret; Caddy-Retalic, Stefan; Carmody, Bernie; Coates, David J.; Correa, Carolina; Ferrari, Belinda C.; Gupta, Vadakattu V. S. R.; Hamonts, Kelly; Haslem, Asha; Hugenholtz, Philip; Karan, Mirko; Koval, Jason; Lowe, Andrew J.; Macdonald, Stuart; McGrath, Leanne; Martin, David; Morgan, Matt; North, Kristin I.; Paungfoo-Lonhienne, Chanyarat; Pendall, Elise; Phillips, Lori; Pirzl, Rebecca; Powell, Jeff R.; Ragan, Mark A.; Schmidt, Susanne; Seymour, Nicole; Snape, Ian; Stephen, John R.; Stevens, Matthew; Tinning, Matt; Williams, Kristen; Yeoh, Yun Kit; Zammit, Carla M.; Young, Andrew</t>
  </si>
  <si>
    <t>Introducing BASE: the Biomes of Australian Soil Environments soil microbial diversity database</t>
  </si>
  <si>
    <t>GIGASCIENCE</t>
  </si>
  <si>
    <t>Microbiology; Microbial ecology; Soil biology; Australia; Database; Microbial diversity; Metagenomics</t>
  </si>
  <si>
    <t>RIBOSOMAL-RNA SEQUENCES; BIODIVERSITY; PATTERNS; PRIMERS</t>
  </si>
  <si>
    <t>Background: Microbial inhabitants of soils are important to ecosystem and planetary functions, yet there are large gaps in our knowledge of their diversity and ecology. The 'Biomes of Australian Soil Environments' (BASE) project has generated a database of microbial diversity with associated metadata across extensive environmental gradients at continental scale. As the characterisation of microbes rapidly expands, the BASE database provides an evolving platform for interrogating and integrating microbial diversity and function. Findings: BASE currently provides amplicon sequences and associated contextual data for over 900 sites encompassing all Australian states and territories, a wide variety of bioregions, vegetation and land-use types. Amplicons target bacteria, archaea and general and fungal-specific eukaryotes. The growing database will soon include metagenomics data. Data are provided in both raw sequence (FASTQ) and analysed OTU table formats and are accessed via the project's data portal, which provides a user-friendly search tool to quickly identify samples of interest. Processed data can be visually interrogated and intersected with other Australian diversity and environmental data using tools developed by the 'Atlas of Living Australia'. Conclusions: Developed within an open data framework, the BASE project is the first Australian soil microbial diversity database. The database will grow and link to other global efforts to explore microbial, plant, animal, and marine biodiversity. Its design and open access nature ensures that BASE will evolve as a valuable tool for documenting an often overlooked component of biodiversity and the many microbe-driven processes that are essential to sustain soil function and ecosystem services.</t>
  </si>
  <si>
    <t>[Bissett, Andrew] CSIRO, Oceans &amp; Atmosphere, Hobart, Tas, Australia; [Fitzgerald, Anna] Bioplatforms Australia, Sydney, NSW, Australia; [Meintjes, Thys] Murdoch Univ, Ctr Comparat Genom, Perth, WA, Australia; [Mele, Pauline M.] Victorian Dept Econ Dev Jobs Transport &amp; Resource, Bundoora, Vic 3083, Australia; [Mele, Pauline M.] La Trobe Univ, Agribio Ctr, Bundoora, Vic 3083, Australia; [Reith, Frank] CSIRO Land &amp; Water, Adelaide, SA, Australia; [Reith, Frank; Breed, Martin F.; Caddy-Retalic, Stefan; Lowe, Andrew J.] Univ Adelaide, Sch Biol Sci, North Terrace, Adelaide, SA 5005, Australia; [Reith, Frank; Breed, Martin F.; Caddy-Retalic, Stefan; Lowe, Andrew J.] Univ Adelaide, Inst Environm, North Terrace, Adelaide, SA 5005, Australia; [Dennis, Paul G.; Paungfoo-Lonhienne, Chanyarat; Schmidt, Susanne] Univ Queensland, Sch Agr &amp; Food Sci, St Lucia, Qld 4072, Australia; [Brown, Belinda] Parks Australia, Dept Environm, Canberra, ACT 2601, Australia; [Brown, Mark V.] UNSW Australia, Sch Biotechnol &amp; Biomol Sci, Sydney, NSW 2052, Australia; [Brugger, Joel] Monash Univ, Sch Earth Atmosphere &amp; Environm, Clayton, Vic 3800, Australia; [Byrne, Margaret; Coates, David J.] Dept Parks &amp; Wildlife, Sci &amp; Conservat Div, Perth, WA, Australia; [Carmody, Bernie; Phillips, Lori] DEDJTR Rutherglen, Melbourne, Vic, Australia; [Correa, Carolina; Koval, Jason; North, Kristin I.] Univ New S Wales, Ramaciotti Ctr Genom, Sydney, NSW, Australia; [Ferrari, Belinda C.] Univ New S Wales, Sch Biotechnol &amp; Biomol Sci, Sydney, NSW 2052, Australia; [Gupta, Vadakattu V. S. R.] CSIRO Agr, Adelaide, SA 5064, Australia; [Hamonts, Kelly; Young, Andrew] CSIRO, Natl Res Collect Australia, Canberra, ACT, Australia; [Hamonts, Kelly; Pendall, Elise; Powell, Jeff R.] Univ Western Sydney, Hawkesbury Inst Environm, Penrith, NSW 1797, Australia; [Haslem, Asha; Stevens, Matthew; Tinning, Matt] Australian Genome Res Facil Ltd, Walter &amp; Eliza Hall Inst, Parkville, Vic, Australia; [Hugenholtz, Philip; Yeoh, Yun Kit] Univ Queensland, Sch Chem &amp; Mol Biosci, Australian Ctr Ecogen, St Lucia, Qld 4072, Australia; [Hugenholtz, Philip; Ragan, Mark A.; Yeoh, Yun Kit] Univ Queensland, Inst Mol Biosci, St Lucia, Qld 4072, Australia; [Karan, Mirko] James Cook Univ, Australian SuperSite Network, Townsville, Qld 4811, Australia; [Macdonald, Stuart] Univ Tasmania, Hobart, Tas, Australia; [McGrath, Leanne; Stephen, John R.] Australian Genome Res Facil Ltd, Adelaide, SA, Australia; [Martin, David; Pirzl, Rebecca] CSIRO, Atlas Living Australia, Canberra, ACT, Australia; [Morgan, Matt; Williams, Kristen] CSIRO Land &amp; Water, Canberra, ACT, Australia; [Phillips, Lori] Agr &amp; Agri Food Canada, Sci &amp; Technol Branch, 2585 Cty Rd 20, Harrow, ON N0R 1G0, Canada; [Seymour, Nicole] Dept Agr &amp; Fisheries, Brisbane, Qld, Australia; [Snape, Ian] Australian Antarctic Div, Dept Sustainabil Environm Water Populat &amp; Communi, 203 Channel Highway, Kingston, Tas 7050, Australia; [Zammit, Carla M.] Univ Queensland, Earth Sci, Brisbane, Qld 4072, Australia</t>
  </si>
  <si>
    <t>Commonwealth Scientific &amp; Industrial Research Organisation (CSIRO); Murdoch University; La Trobe University; Commonwealth Scientific &amp; Industrial Research Organisation (CSIRO); University of Adelaide; University of Adelaide; University of Queensland; University of New South Wales Sydney; Monash University; Melbourne Genomics Health Alliance; University of New South Wales Sydney; University of New South Wales Sydney; Commonwealth Scientific &amp; Industrial Research Organisation (CSIRO); Commonwealth Scientific &amp; Industrial Research Organisation (CSIRO); Western Sydney University; Walter &amp; Eliza Hall Institute; University of Queensland; University of Queensland; James Cook University; University of Tasmania; Commonwealth Scientific &amp; Industrial Research Organisation (CSIRO); Commonwealth Scientific &amp; Industrial Research Organisation (CSIRO); CSIRO Land &amp; Water; Agriculture &amp; Agri Food Canada; Australian Antarctic Division; University of Queensland</t>
  </si>
  <si>
    <t>Bissett, A (corresponding author), CSIRO, Oceans &amp; Atmosphere, Hobart, Tas, Australia.</t>
  </si>
  <si>
    <t>Andrew.bissett@csiro.au</t>
  </si>
  <si>
    <t>Bissett, Andrew/AFR-3887-2022; Morgan, Matt J/G-1067-2010; Pendall, Elise/AAF-5667-2020; Powell, Jeff R/A-5076-2010; Hugenholtz, Philip/AAD-9138-2019; Brugger, Joël/C-7113-2008; Dennis, Paul G/H-2141-2017; Morgan, Matthew/KFS-1478-2024; Yeoh, Yun Kit/C-4531-2016; Schmidt, Susanne/B-2780-2009; Pirzl, Rebecca/G-6151-2019; Williams, Kristen Jennifer/B-9941-2008; Ferrari, Belinda/AAI-3022-2020; Court, Leon N/J-7138-2013; Reith, Frank/E-5542-2011; Breed, Martin/G-5482-2011; Ragan, Mark/A-9825-2014; Vadakattu, Gupta/C-1722-2009; Byrne, Margaret/H-8198-2015</t>
  </si>
  <si>
    <t>Bissett, Andrew/0000-0001-7396-1484; Powell, Jeff R/0000-0003-1091-2452; Hugenholtz, Philip/0000-0001-5386-7925; Brugger, Joël/0000-0003-1510-5764; Yeoh, Yun Kit/0000-0003-0241-6117; Schmidt, Susanne/0000-0001-8369-1238; Williams, Kristen Jennifer/0000-0002-7324-5880; Ferrari, Belinda/0000-0001-5043-3726; Court, Leon N/0000-0003-3673-9504; Lowe, Andrew/0000-0003-1139-2516; Koval, Jason/0000-0003-4270-0534; Breed, Martin/0000-0001-7810-9696; Pirzl, Rebecca/0000-0002-4302-0736; Phillips, Lori/0000-0003-1005-5331; Pendall, Elise/0000-0002-1651-8969; Ragan, Mark/0000-0003-1672-7020; Vadakattu, Gupta/0000-0001-9774-6471; Byrne, Margaret/0000-0002-7197-5409</t>
  </si>
  <si>
    <t>Bioplatforms Australia through the Australian Government National Collaborative Research Infrastructure Strategy (NCRIS); Education Investment Fund (EIF) Super Science Initiative; Cotton Research and Development Corporation (RDC); Commonwealth Scientific and Industrial Research Organisation; Department of the Environment through the Director of National Parks; Department of Parks and Wildlife, Western Australia; Grains RDC (Soil Biology Initiative-II); South Australian Grains Industry Trust (SAGIT); Science and Industry Endowment Fund (SIEF)</t>
  </si>
  <si>
    <t>Bioplatforms Australia through the Australian Government National Collaborative Research Infrastructure Strategy (NCRIS)(Australian GovernmentDepartment of Industry, Innovation and Science); Education Investment Fund (EIF) Super Science Initiative; Cotton Research and Development Corporation (RDC)(Cotton R&amp;D Corp); Commonwealth Scientific and Industrial Research Organisation(Commonwealth Scientific &amp; Industrial Research Organisation (CSIRO)); Department of the Environment through the Director of National Parks; Department of Parks and Wildlife, Western Australia; Grains RDC (Soil Biology Initiative-II); South Australian Grains Industry Trust (SAGIT); Science and Industry Endowment Fund (SIEF)</t>
  </si>
  <si>
    <t>This program was funded by Bioplatforms Australia through the Australian Government National Collaborative Research Infrastructure Strategy (NCRIS) and Education Investment Fund (EIF) Super Science Initiative; the Cotton Research and Development Corporation (RDC); the Commonwealth Scientific and Industrial Research Organisation; the Department of the Environment through the Director of National Parks; the Department of Parks and Wildlife, Western Australia; the Grains RDC (Soil Biology Initiative-II); the South Australian Grains Industry Trust (SAGIT); and the Science and Industry Endowment Fund (SIEF). Support for components of field sample collection was provided by the Terrestrial Ecosystem Research Network (TERN) facilities: Ausplots, the Australian Transect Network and the Australian Supersite Network.</t>
  </si>
  <si>
    <t>OXFORD UNIV PRESS</t>
  </si>
  <si>
    <t>GREAT CLARENDON ST, OXFORD OX2 6DP, ENGLAND</t>
  </si>
  <si>
    <t>2047-217X</t>
  </si>
  <si>
    <t>GigaScience</t>
  </si>
  <si>
    <t>10.1186/s13742-016-0126-5</t>
  </si>
  <si>
    <t>Biology; Multidisciplinary Sciences</t>
  </si>
  <si>
    <t>Life Sciences &amp; Biomedicine - Other Topics; Science &amp; Technology - Other Topics</t>
  </si>
  <si>
    <t>DM6VK</t>
  </si>
  <si>
    <t>Green Published, gold, Green Accepted</t>
  </si>
  <si>
    <t>WOS:000376490600001</t>
  </si>
  <si>
    <t>Hu, QH; Xie, ZQ; Wang, XM; Yu, J; Zhang, YL</t>
  </si>
  <si>
    <t>Hu, Qihou; Xie, Zhouqing; Wang, Xinming; Yu, Juan; Zhang, Yanli</t>
  </si>
  <si>
    <t>Methyl iodine over oceans from the Arctic Ocean to the maritime Antarctic</t>
  </si>
  <si>
    <t>TROPICAL ATLANTIC-OCEAN; ORGANIC-COMPOUNDS; SURFACE SEAWATER; CAPE GRIM; EMISSIONS; AIR; ISOPRENE; PACIFIC; HALOCARBONS; HALIDES</t>
  </si>
  <si>
    <t>Studies about methyl iodide (CH3I), an important atmospheric iodine species over oceans, had been conducted in some maritime regions, but the understanding of the spatial distribution of CH3I on a global scale is still limited. In this study, we reports atmospheric CH3I over oceans during the Chinese Arctic and Antarctic Research Expeditions. CH3I varied considerably with the range of 0.17 to 2.9 pptv with absent of ship emission. The concentration of CH3I generally decreased with increasing latitudes, except for higher levels in the middle latitudes of the Northern Hemisphere than in the low latitudes. For sea areas, the Norwegian Sea had the highest CH3I concentrations with a median of 0.91 pptv, while the Central Arctic Ocean had the lowest concentrations with all values below 0.5 pptv. CH3I concentration over oceans was affected by many parameters, including sea surface temperature, salinity, dissolved organic carbon, biogenic emissions and input from continents, with distinctive dominant factor in different regions, indicating complex biogeochemical processes of CH3I on a global scale.</t>
  </si>
  <si>
    <t>[Hu, Qihou; Wang, Xinming; Zhang, Yanli] Chinese Acad Sci, Guangzhou Inst Geochem, State Key Lab Organ Geochem, Guangzhou 510640, Guangdong, Peoples R China; [Hu, Qihou; Xie, Zhouqing; Yu, Juan] Univ Sci &amp; Technol China, Sch Earth &amp; Space Sci, Inst Polar Environm, Hefei 230026, Peoples R China</t>
  </si>
  <si>
    <t>Chinese Academy of Sciences; Guangzhou Institute of Geochemistry, CAS; Chinese Academy of Sciences; University of Science &amp; Technology of China, CAS</t>
  </si>
  <si>
    <t>Xie, ZQ (corresponding author), Univ Sci &amp; Technol China, Sch Earth &amp; Space Sci, Inst Polar Environm, Hefei 230026, Peoples R China.</t>
  </si>
  <si>
    <t>zqxie@ustc.edu.cn</t>
  </si>
  <si>
    <t>xie, zhouqing/P-9661-2019; ZHANG, Yanli/A-3225-2015; Wang, Xinming/A-7388-2014</t>
  </si>
  <si>
    <t>ZHANG, Yanli/0000-0003-0614-2096; Wang, Xinming/0000-0002-1982-0928</t>
  </si>
  <si>
    <t>National Natural Science Foundation of China [41176170, 41025020]; Program of China Polar Environment Investigation and Assessment [CHINARE2011-2016]; External Cooperation Program of BIC, CAS [211134KYSB20130012]</t>
  </si>
  <si>
    <t>National Natural Science Foundation of China(National Natural Science Foundation of China (NSFC)); Program of China Polar Environment Investigation and Assessment; External Cooperation Program of BIC, CAS</t>
  </si>
  <si>
    <t>This research was supported by grants from the National Natural Science Foundation of China (Project Nos 41176170, 41025020), the Program of China Polar Environment Investigation and Assessment (Project No. CHINARE2011-2016) and the External Cooperation Program of BIC, CAS (Grant No. 211134KYSB20130012). The authors acknowledge the NOAA Air Resources Laboratory (ARL) for making the HYSPLIT transport and dispersion model available on the Internet (http://www.arl.noaa.gov/ready.html).</t>
  </si>
  <si>
    <t>MAY 17</t>
  </si>
  <si>
    <t>10.1038/srep26007</t>
  </si>
  <si>
    <t>DL8QG</t>
  </si>
  <si>
    <t>Green Published, gold</t>
  </si>
  <si>
    <t>WOS:000375905900001</t>
  </si>
  <si>
    <t>Doblin, MA; van Sebille, E</t>
  </si>
  <si>
    <t>Doblin, Martina A.; van Sebille, Erik</t>
  </si>
  <si>
    <t>Drift in ocean currents impacts intergenerational microbial exposure to temperature</t>
  </si>
  <si>
    <t>microbial ecology; plankton; advection; evolution; plasticity</t>
  </si>
  <si>
    <t>MARINE SYNECHOCOCCUS; ECOSYSTEM SERVICES; PHYTOPLANKTON; ENVIRONMENTS; SEA; ACIDIFICATION; VARIABILITY; ADAPTATION; EVOLUTION; GROWTH</t>
  </si>
  <si>
    <t>Microbes are the foundation of marine ecosystems [Falkowski PG, Fenchel T, Delong EF (2008) Science 320(5879): 1034-1039]. Until now, the analytical framework for understanding the implications of ocean warming on microbes has not considered thermal exposure during transport in dynamic seascapes, implying that our current view of change for these critical organisms may be inaccurate. Here we show that upper-ocean microbes experience along-trajectory temperature variability up to 10 degrees C greater than seasonal fluctuations estimated in a static frame, and that this variability depends strongly on location. These findings demonstrate that drift in ocean currents can increase the thermal exposure of microbes and suggests that microbial populations with broad thermal tolerance will survive transport to distant regions of the ocean and invade new habitats. Our findings also suggest that advection has the capacity to influence microbial community assemblies, such that regions with strong currents and large thermal fluctuations select for communities with greatest plasticity and evolvability, and communities with narrow thermal performance are found where ocean currents are weak or along-trajectory temperature variation is low. Given that fluctuating environments select for individual plasticity in microbial lineages, and that physiological plasticity of ancestors can predict the magnitude of evolutionary responses of subsequent generations to environmental change [Schaum CE, Collins S (2014) Proc Biol Soc 281(1793): 20141486], our findings suggest that microbial populations in the sub-Antarctic (similar to 40 degrees S), North Pacific, and North Atlantic will have the most capacity to adapt to contemporary ocean warming.</t>
  </si>
  <si>
    <t>[Doblin, Martina A.] Univ Technol Sydney, Plant Funct Biol &amp; Climate Change Cluster, Fac Sci, Sydney, NSW 2007, Australia; [van Sebille, Erik] Univ London Imperial Coll Sci Technol &amp; Med, Grantham Inst, London SW7 2AZ, England; [van Sebille, Erik] Univ London Imperial Coll Sci Technol &amp; Med, Dept Phys, London SW7 2AZ, England; [van Sebille, Erik] Univ New S Wales, Australian Res Council, Ctr Excellence Climate Syst Sci, Climate Change Res Ctr, Sydney, NSW 2052, Australia</t>
  </si>
  <si>
    <t>University of Technology Sydney; Imperial College London; Imperial College London; University of New South Wales Sydney</t>
  </si>
  <si>
    <t>Doblin, MA (corresponding author), Univ Technol Sydney, Plant Funct Biol &amp; Climate Change Cluster, Fac Sci, Sydney, NSW 2007, Australia.</t>
  </si>
  <si>
    <t>Martina.Doblin@uts.edu.au</t>
  </si>
  <si>
    <t>van Sebille, Erik/F-6781-2010; Doblin, Martina/L-1804-2019</t>
  </si>
  <si>
    <t>Doblin, Martina/0000-0001-8750-3433; van Sebille, Erik/0000-0003-2041-0704</t>
  </si>
  <si>
    <t>Australian Research Council's Discovery Projects funding scheme [DP140101340]; Australian Research Council Discovery Early Career Researcher Award [DE130101336]</t>
  </si>
  <si>
    <t>Australian Research Council's Discovery Projects funding scheme(Australian Research Council); Australian Research Council Discovery Early Career Researcher Award(Australian Research Council)</t>
  </si>
  <si>
    <t>We thank K. A. Murray for useful comments and insights on a draft on this manuscript; and M. van Oppen, P. Ralph, K. Baker, and J. Clark, who helped motivate this work. This research was supported under the Australian Research Council's Discovery Projects funding scheme (DP140101340); and Australian Research Council Discovery Early Career Researcher Award DE130101336 (to E.v.S.).</t>
  </si>
  <si>
    <t>10.1073/pnas.1521093113</t>
  </si>
  <si>
    <t>DL9QK</t>
  </si>
  <si>
    <t>Green Published, Green Submitted, Bronze</t>
  </si>
  <si>
    <t>WOS:000375977600060</t>
  </si>
  <si>
    <t>Fibiger, DL; Dibb, JE; Chen, DX; Thomas, JL; Burkhart, JF; Huey, LG; Hastings, MG</t>
  </si>
  <si>
    <t>Fibiger, Dorothy L.; Dibb, Jack E.; Chen, Dexian; Thomas, Jennie L.; Burkhart, John F.; Huey, L. Gregory; Hastings, Meredith G.</t>
  </si>
  <si>
    <t>Analysis of nitrate in the snow and atmosphere at Summit, Greenland: Chemistry and transport</t>
  </si>
  <si>
    <t>JOURNAL OF GEOPHYSICAL RESEARCH-ATMOSPHERES</t>
  </si>
  <si>
    <t>OXYGEN ISOTOPIC COMPOSITION; EAST ANTARCTIC PLATEAU; PART 2; TROPOSPHERIC OZONE; MODELING CHEMISTRY; PEROXY-RADICALS; FRESH-WATER; NITROGEN; AIR; NOX</t>
  </si>
  <si>
    <t>As a major sink of atmospheric nitrogen oxides (NOx = NO + NO2), nitrate (NO3-) in polar snow can reflect the long-range transport of NOx and related species (e.g., peroxyacetyl nitrate). On the other hand, because NO3- in snow can be photolyzed, potentially producing gas phase NOx locally, NO3- in snow (and thus, ice) may reflect local processes. Here we investigate the relationship between local atmospheric composition at Summit, Greenland (72 degrees 35'N, 38 degrees 25'W) and the isotopic composition of NO3- to determine the degree to which local processes influence atmospheric and snow NO3-. Based on snow and atmospheric observations during May-June 2010 and 2011, we find no connection between the local atmospheric concentrations of a suite of gases (BrO, NO, NOy, HNO3, and nitrite (NO2-)) and the NO3- isotopic composition or concentration in snow. This suggests that (1) the snow NO3- at Summit is primarily derived from long-range transport and (2) this NO3- is largely preserved in the snow. Additionally, three isotopically distinct NO3- sources were found to be contributing to the NO3- in the snowat Summit during both 2010 and 2011. Through the complete isotopic composition of NO3-, we suggest that these sources are local anthropogenic particulate NO3- from station activities (delta N-15 = 16 parts per thousand, Delta O-17 = 4 parts per thousand, and delta O-18 = 23 parts per thousand), NO3- formed from midlatitude NOx (delta N-15 = -10 parts per thousand, Delta O-17 = 29 parts per thousand, delta O-18 = 78 parts per thousand) and a NO3- source that is possibly influenced by or derived from stratospheric ozone NO3- (delta N-15 = 5 parts per thousand, Delta O-17 = 39 parts per thousand, delta O-18 = 100 parts per thousand).</t>
  </si>
  <si>
    <t>[Fibiger, Dorothy L.] Brown Univ, Dept Chem, Providence, RI 02912 USA; [Fibiger, Dorothy L.] NOAA, ESRL, CSD, Boulder, CO USA; [Dibb, Jack E.] Univ New Hampshire, Inst Study Earth Oceans &amp; Space, Earth Syst Res Ctr, Durham, NH 03824 USA; [Chen, Dexian; Huey, L. Gregory] Georgia Inst Technol, Sch Earth &amp; Atmospher Sci, Atlanta, GA 30332 USA; [Thomas, Jennie L.] Univ Paris 06, Sorbonne Univ, ISPL, LATMOS,UVSQ, Paris, France; [Burkhart, John F.] Univ Oslo, Dept Geosci, Oslo, Norway; [Burkhart, John F.] Univ Calif Merced, Sierra Nevada Res Inst, Merced, CA USA; [Hastings, Meredith G.] Brown Univ, Dept Earth Environm &amp; Planetary Sci, Providence, RI 02912 USA; [Hastings, Meredith G.] Brown Univ, Inst Brown Environm &amp; Soc, Providence, RI 02912 USA</t>
  </si>
  <si>
    <t>Brown University; National Oceanic Atmospheric Admin (NOAA) - USA; University System Of New Hampshire; University of New Hampshire; University System of Georgia; Georgia Institute of Technology; Universite Paris Cite; Sorbonne Universite; Universite Paris Saclay; University of Oslo; University of California System; University of California Merced; Brown University; Brown University</t>
  </si>
  <si>
    <t>Fibiger, DL (corresponding author), Brown Univ, Dept Chem, Providence, RI 02912 USA.;Fibiger, DL (corresponding author), NOAA, ESRL, CSD, Boulder, CO USA.</t>
  </si>
  <si>
    <t>dorothy.fibiger@noaa.gov</t>
  </si>
  <si>
    <t>Hastings, Meredith G/C-6199-2008; Burkhart, John/B-7095-2008; Burkhart, John/AAB-4744-2021</t>
  </si>
  <si>
    <t>Burkhart, John/0000-0002-5587-1693; Burkhart, John/0000-0002-5587-1693; Chen, Dexian/0000-0001-6963-5205</t>
  </si>
  <si>
    <t>NSF [0909374]; American Association of University Women; Directorate For Geosciences; Office of Polar Programs (OPP) [0909374] Funding Source: National Science Foundation</t>
  </si>
  <si>
    <t>NSF(National Science Foundation (NSF)); American Association of University Women; Directorate For Geosciences; Office of Polar Programs (OPP)(National Science Foundation (NSF)NSF - Directorate for Geosciences (GEO))</t>
  </si>
  <si>
    <t>Data from this paper are available at ACADIS. Data sets https://www.aoncadis.org/project/collaborative_research_the_impact_of_bromine_chemistry_on_the_isotopic_composition_of_nitrate_at_summit_greenland.html. This work was supported by NSF grant 0909374 (Arctic Natural Sciences) to M.G.H., J.E.D., and L.G.H. D.L.F. was partially supported by the American Association of University Women. The authors thank C. Corr, N. Chellman, E. Scheuer, and D. Tanner for data acquisition assistance and Polar Field Services for field logistics. The authors would also like to thank three reviewers for comments that significantly improved the manuscript.</t>
  </si>
  <si>
    <t>2169-897X</t>
  </si>
  <si>
    <t>2169-8996</t>
  </si>
  <si>
    <t>J GEOPHYS RES-ATMOS</t>
  </si>
  <si>
    <t>J. Geophys. Res.-Atmos.</t>
  </si>
  <si>
    <t>MAY 16</t>
  </si>
  <si>
    <t>10.1002/2015JD024187</t>
  </si>
  <si>
    <t>Meteorology &amp; Atmospheric Sciences</t>
  </si>
  <si>
    <t>DR2DS</t>
  </si>
  <si>
    <t>WOS:000379715800034</t>
  </si>
  <si>
    <t>Patara, L; Böning, CW; Biastoch, A</t>
  </si>
  <si>
    <t>Patara, Lavinia; Boening, Claus W.; Biastoch, Arne</t>
  </si>
  <si>
    <t>Variability and trends in Southern Ocean eddy activity in 1/12° ocean model simulations</t>
  </si>
  <si>
    <t>ANTARCTIC CIRCUMPOLAR CURRENT; ANNULAR MODE; CLIMATE-CHANGE; MESOSCALE EDDIES; CIRCULATION; TRANSPORT; SATURATION; IMPACT; SINK</t>
  </si>
  <si>
    <t>The response of eddy kinetic energy (EKE) to the strengthening of Southern Hemisphere winds occurring since the 1950s is investigated with a global ocean model having a resolution of 1/12 degrees in the Antarctic Circumpolar Current domain. The simulations expose regional differences in the relative importance of stochastic and wind-related contributions to interannual EKE changes. In the Pacific and Indian sectors the model captures the EKE variability observed since 1993 and confirms previous hypotheses of a lagged response to regional wind stress anomalies. Here the multidecadal trend in wind stress is reflected in an increase in EKE typically exceeding 5 cm(2) s(-2) decade(-1). In the western Atlantic, EKE variability is mostly stochastic, is weakly correlated with wind fluctuations, and its multidecadal trends are close to zero. The nonuniform distribution of wind-related changes in the eddy activity could affect the regional patterns of ocean circulation and biogeochemical responses to future climate change.</t>
  </si>
  <si>
    <t>[Patara, Lavinia; Boening, Claus W.; Biastoch, Arne] GEOMAR Helmholtz Ctr Ocean Res Kiel, Kiel, Germany</t>
  </si>
  <si>
    <t>Helmholtz Association; GEOMAR Helmholtz Center for Ocean Research Kiel</t>
  </si>
  <si>
    <t>Patara, L (corresponding author), GEOMAR Helmholtz Ctr Ocean Res Kiel, Kiel, Germany.</t>
  </si>
  <si>
    <t>lpatara@geomar.de</t>
  </si>
  <si>
    <t>Boening, Claus W./B-1686-2012; Boening, Claus W/HIR-8996-2022; Boening, Claus/AAW-6387-2020; Biastoch, Arne/B-5219-2014</t>
  </si>
  <si>
    <t>Boening, Claus W./0000-0002-6251-5777; Boening, Claus W/0000-0002-6251-5777; Boening, Claus/0000-0002-6251-5777; Biastoch, Arne/0000-0003-3946-4390</t>
  </si>
  <si>
    <t>Deutsche Forschungsgemeinschaft (DFG) [BO 907/4-1]; Cluster of Excellence The Future Ocean by the DFG [CP1219]</t>
  </si>
  <si>
    <t>Deutsche Forschungsgemeinschaft (DFG)(German Research Foundation (DFG)); Cluster of Excellence The Future Ocean by the DFG</t>
  </si>
  <si>
    <t>The data for this paper are freely available at thredds.geomar.de/thredds/catalog/open_access/patara_et_al_2016_grl/catalog.html. The integration of the experiments was performed at the North-German Supercomputing Alliance (HLRN). The study was financially supported by the Deutsche Forschungsgemeinschaft (DFG) project BO 907/4-1 and by the project CP1219 of the Cluster of Excellence The Future Ocean funded within the framework of the Excellence Initiative by the DFG. We thank the Archiving, Validation, and Interpretation of Satellite Oceanographic data (AVISO) project for providing altimetry data, and the NEMO and DRAKKAR teams for their technical support. We thank two anonymous reviewers for their constructive comments on a previous version of this manuscript.</t>
  </si>
  <si>
    <t>10.1002/2016GL069026</t>
  </si>
  <si>
    <t>DP2RS</t>
  </si>
  <si>
    <t>Bronze, Green Accepted</t>
  </si>
  <si>
    <t>WOS:000378339200053</t>
  </si>
  <si>
    <t>Zhang, JH; Cran, M; Northcott, K; Packer, M; Duke, M; Milne, N; Scales, P; Knight, A; Gray, SR</t>
  </si>
  <si>
    <t>Zhang, Jianhua; Cran, Marlene; Northcott, Kathy; Packer, Michael; Duke, Mikel; Milne, Nicholas; Scales, Peter; Knight, Adrian; Gray, Stephen R.</t>
  </si>
  <si>
    <t>Assessment of pressure decay test for RO protozoa removal validation in remote operations</t>
  </si>
  <si>
    <t>DESALINATION</t>
  </si>
  <si>
    <t>RO membrane; Membrane Integrity; Pressure decay test; Direct potable reuse</t>
  </si>
  <si>
    <t>REVERSE-OSMOSIS; MEMBRANES; REJECTION; SINGLE</t>
  </si>
  <si>
    <t>Essential requirements for remote potable water reuse in small communities include highly automated processes, remote monitoring and control, and high pathogen removal values that can be easily validated. A plant for advanced tertiary water treatment for remote operations using six pathogen barriers has been tested. It can achieve a credible Log Removal Value (LRV) for virus and bacteria well above target values recommended by current guidelines, but not for protozoa since this pathogen type is commonly resistant to most chemical disinfectants. As a result, the required LRV credit requirement for protozoa for the reverse osmosis (RO) barrier of the plant was at least 2 to reach the desired outcome. Furthermore, the maximum certified LRV for protozoa in Australia for RO in recycled water is no greater than 2 due to the lack of recognized integrity testing techniques to validate the process during operation. In this study, a pressure decay test (PDT) for RO systems is presented and verified by particle challenge testing. It is demonstrated with both laboratory scale and single element pilot scale tests that the PDT is more conservative than the particle challenge test. It is also demonstrated that frequent PDTs will not cause physical damage to membranes, based on a sample of 304 PDTs, as well as a visual check of the RO element structure and salt rejection. (C) 2016 Elsevier B.V. All rights reserved.</t>
  </si>
  <si>
    <t>[Zhang, Jianhua; Cran, Marlene; Duke, Mikel; Milne, Nicholas; Gray, Stephen R.] Victoria Univ, Inst Sustainabil &amp; Innovat, Werribee Campus POB 14428, Melbourne, Vic 8001, Australia; [Scales, Peter; Knight, Adrian] Univ Melbourne, Dept Chem &amp; Biol Engn, Parkville, Vic 3052, Australia; [Packer, Michael] Australian Antarctic Div, Kingston, Tas, Australia; [Northcott, Kathy] Veolia, Sydney, NSW, Australia</t>
  </si>
  <si>
    <t>Victoria University; Melbourne Genomics Health Alliance; University of Melbourne; Australian Antarctic Division; Veolia; Veolia Australia</t>
  </si>
  <si>
    <t>Zhang, JH (corresponding author), Victoria Univ, Inst Sustainabil &amp; Innovat, Werribee Campus POB 14428, Melbourne, Vic 8001, Australia.</t>
  </si>
  <si>
    <t>Scales, Peter j/I-8103-2013; Cran, Marlene Jane/H-8104-2019; Gray, Stephen/L-9684-2013; Duke, Mikel/J-8847-2013</t>
  </si>
  <si>
    <t>Scales, Peter j/0000-0002-8033-3686; Cran, Marlene Jane/0000-0002-6000-8093; Gray, Stephen/0000-0002-8748-2748; Milne, Nicholas/0000-0002-3047-080X; Zhang, Jianhua/0000-0002-8674-0485; Duke, Mikel/0000-0002-3383-0006</t>
  </si>
  <si>
    <t>Australian Water Recycling Centre of Excellence - Australian Government through the Water for the Future initiative [3170]; Australian Antarctic Division of the Department of Environment of the Australian Government; Collaborative Research Network (CRN) program of the Australian Government</t>
  </si>
  <si>
    <t>Australian Water Recycling Centre of Excellence - Australian Government through the Water for the Future initiative; Australian Antarctic Division of the Department of Environment of the Australian Government; Collaborative Research Network (CRN) program of the Australian Government</t>
  </si>
  <si>
    <t>The authors acknowledge the financial support of the Australian Water Recycling Centre of Excellence (3170), funded by the Australian Government through the Water for the Future initiative, the Australian Antarctic Division of the Department of Environment of the Australian Government and the Collaborative Research Network (CRN) program of the Australian Government.</t>
  </si>
  <si>
    <t>0011-9164</t>
  </si>
  <si>
    <t>1873-4464</t>
  </si>
  <si>
    <t>Desalination</t>
  </si>
  <si>
    <t>10.1016/j.desal.2016.02.031</t>
  </si>
  <si>
    <t>Engineering, Chemical; Water Resources</t>
  </si>
  <si>
    <t>Engineering; Water Resources</t>
  </si>
  <si>
    <t>DJ6ZX</t>
  </si>
  <si>
    <t>WOS:000374362800003</t>
  </si>
  <si>
    <t>Rosier, SHR; Gudmundsson, GH</t>
  </si>
  <si>
    <t>Rosier, Sebastian H. R.; Gudmundsson, G. Hilmar</t>
  </si>
  <si>
    <t>Tidal controls on the flow of ice streams</t>
  </si>
  <si>
    <t>SUBGLACIAL WATER; ANTARCTICA; MIGRATION; DYNAMICS; SPEED</t>
  </si>
  <si>
    <t>The flow of many Antarctic ice streams is known to be significantly influenced by tides. In the past, modeling studies have implemented the tidal forces acting on a coupled ice stream/ice shelf system in a number of different ways, but the consequences that this has on the modeled response of ice streams to tides have, until now, not been considered. Here we investigate for the first time differences in model response that are only due to differences in the way tidal forcings are implemented. We find that attempts to simplify the problem by neglecting flexural stresses are generally not valid and forcing models with only changes in ocean back pressure will not capture either the correct amplitudes or length scale.</t>
  </si>
  <si>
    <t>[Rosier, Sebastian H. R.; Gudmundsson, G. Hilmar] British Antarctic Survey, Cambridge CB3 0ET, England</t>
  </si>
  <si>
    <t>Rosier, SHR (corresponding author), British Antarctic Survey, Cambridge CB3 0ET, England.</t>
  </si>
  <si>
    <t>s.rosier@bas.ac.uk</t>
  </si>
  <si>
    <t>Gudmundsson, Gudmundur Hilmar/AAU-5987-2020; Gudmundsson, Gudmundur Hilmar/F-6499-2012</t>
  </si>
  <si>
    <t>Gudmundsson, Gudmundur Hilmar/0000-0003-4236-5369; Gudmundsson, Gudmundur Hilmar/0000-0003-4236-5369; Rosier, Sebastian/0000-0003-3047-9908</t>
  </si>
  <si>
    <t>NERC [NE/L013770/1]; Natural Environment Research Council [bas0100034, NE/L013770/1] Funding Source: researchfish; NERC [bas0100034, NE/L013770/1] Funding Source: UKRI</t>
  </si>
  <si>
    <t>NERC(UK Research &amp; Innovation (UKRI)Natural Environment Research Council (NERC)); Natural Environment Research Council(UK Research &amp; Innovation (UKRI)Natural Environment Research Council (NERC)); NERC(UK Research &amp; Innovation (UKRI)Natural Environment Research Council (NERC))</t>
  </si>
  <si>
    <t>The authors would like to thank the two anonymous reviewers of this manuscript for their constructive comments. This work was partly supported by the NERC large grant Ice shelves in a warming world: Filchner Ice Shelf system NE/L013770/1.</t>
  </si>
  <si>
    <t>10.1002/2016GL068220</t>
  </si>
  <si>
    <t>WOS:000378339200043</t>
  </si>
  <si>
    <t>Le Moigne, FAC; Henson, SA; Cavan, E; Georges, C; Pabortsava, K; Achterberg, EP; Ceballos-Romero, E; Zubkov, M; Sanders, RJ</t>
  </si>
  <si>
    <t>Le Moigne, Frederic A. C.; Henson, Stephanie A.; Cavan, Emma; Georges, Clement; Pabortsava, Katsiaryna; Achterberg, Eric P.; Ceballos-Romero, Elena; Zubkov, Mike; Sanders, Richard J.</t>
  </si>
  <si>
    <t>What causes the inverse relationship between primary production and export efficiency in the Southern Ocean?</t>
  </si>
  <si>
    <t>PARTICULATE ORGANIC-CARBON; PHYTOPLANKTON COMMUNITY COMPOSITION; IRON FERTILIZATION; ATMOSPHERIC CO2; NITROGEN; TEMPERATURE; TH-234; BLOOM; BIOMASS; RATIOS</t>
  </si>
  <si>
    <t>The ocean contributes to regulating atmospheric CO2 levels, partly via variability in the fraction of primary production (PP) which is exported out of the surface layer (i.e., the e ratio). Southern Ocean studies have found that contrary to global-scale analyses, an inverse relationship exists between e ratio and PP. This relationship remains unexplained, with potential hypotheses being (i) large export of dissolved organic carbon (DOC) in high PP areas, (ii) strong surface microbial recycling in high PP regions, and/or (iii) grazing-mediated export that varies inversely with PP. We find that the export of DOC has a limited influence in setting the negative e ratio/PP relationship. However, we observed that at sites with low PP and high e ratios, zooplankton-mediated export is large and surface microbial abundance low suggesting that both are important drivers of the magnitude of the e ratio in the Southern Ocean.</t>
  </si>
  <si>
    <t>[Le Moigne, Frederic A. C.; Henson, Stephanie A.; Zubkov, Mike; Sanders, Richard J.] Natl Oceanog Ctr, Southampton, Hants, England; [Le Moigne, Frederic A. C.; Achterberg, Eric P.] Helmholtz Ctr Ocean Res Kiel, GEOMAR, Kiel, Germany; [Cavan, Emma; Pabortsava, Katsiaryna; Achterberg, Eric P.] Univ Southampton, Natl Oceanog Ctr, Southampton, Hants, England; [Georges, Clement] ULCO, INSU CNRS, UMR LOG 8187, Lab Oceanol &amp; Geosci, Wimereux, France; [Ceballos-Romero, Elena] Univ Seville, Dept Fis Aplicada 2, Seville, Spain</t>
  </si>
  <si>
    <t>NERC National Oceanography Centre; Helmholtz Association; GEOMAR Helmholtz Center for Ocean Research Kiel; University of Southampton; NERC National Oceanography Centre; Centre National de la Recherche Scientifique (CNRS); CNRS - National Institute for Earth Sciences &amp; Astronomy (INSU); Universite du Littoral-Cote-d'Opale; University of Sevilla</t>
  </si>
  <si>
    <t>Le Moigne, FAC (corresponding author), Natl Oceanog Ctr, Southampton, Hants, England.;Le Moigne, FAC (corresponding author), Helmholtz Ctr Ocean Res Kiel, GEOMAR, Kiel, Germany.</t>
  </si>
  <si>
    <t>flemoigne@geomar.de</t>
  </si>
  <si>
    <t>Achterberg, Eric P/C-5820-2009; Sanders, Richard J/B-8717-2012; Romero, Elena Ceballos/Q-6214-2016; Zubkov, Mikhail/AAW-9674-2020; Henson, Stephanie/AAC-9709-2019; Le Moigne, Frederic/O-9851-2014</t>
  </si>
  <si>
    <t>Sanders, Richard J/0000-0002-6884-7131; Romero, Elena Ceballos/0000-0002-4622-8866; Zubkov, Mikhail/0000-0001-7723-6810; cavan, emma/0000-0003-1099-6705; Le Moigne, Frederic/0000-0001-7316-5111</t>
  </si>
  <si>
    <t>NERC SeasFX project [NE/J004383/1]; Natural Environment Research Council (NERC, UK); Department of Environment, Food, and Rural Affairs (Defra, UK); Department of Energy and Climate Change (DECC, U.K.) (NERC) [NE/H017097/1]; GEOTRACES UK program; NERC [NE/J004383/1, NE/H017097/1, noc010009] Funding Source: UKRI; Natural Environment Research Council [NE/H017097/1, noc010009, NE/J004383/1] Funding Source: researchfish</t>
  </si>
  <si>
    <t>NERC SeasFX project; Natural Environment Research Council (NERC, UK)(UK Research &amp; Innovation (UKRI)Natural Environment Research Council (NERC)); Department of Environment, Food, and Rural Affairs (Defra, UK)(Department for Environment, Food &amp; Rural Affairs (DEFRA)); Department of Energy and Climate Change (DECC, U.K.) (NERC); GEOTRACES UK program; NERC(UK Research &amp; Innovation (UKRI)Natural Environment Research Council (NERC)); Natural Environment Research Council(UK Research &amp; Innovation (UKRI)Natural Environment Research Council (NERC))</t>
  </si>
  <si>
    <t>A Naveira-Garabato, K. Sheen, M. Villa-Alfageme, A.J. Poulton, S. Richier, C.M. Moore, M. Hartmann, G. Taran, P. Ward, and T. Tyrell, the scientific party, crew, and officer of RRS James Clark Ross (British Antarctic Survey) are acknowledged for their help, support, and advices. Geraint Tarling (British Antarctic Survey) is warmly acknowledged for his great leadership during cruise JR 274 and scientific advices. The Ocean Productivity website (http://www.science.oregonstate.edu/ocean.productivity/) is acknowledged for providing primary production data. This study was funded by the NERC SeasFX project (grant NE/J004383/1). We thank Natural Environment Research Council (NERC, UK), the Department of Environment, Food, and Rural Affairs (Defra, UK), and the Department of Energy and Climate Change (DECC, U.K.) for funding to the UK Ocean Acidification research consortium (NERC grant NE/H017097/1) and the GEOTRACES UK program. Data are held at the British Oceanographic Data Centre (http://bodc.ac.uk/).</t>
  </si>
  <si>
    <t>10.1002/2016GL068480</t>
  </si>
  <si>
    <t>Green Accepted, Green Published, hybrid</t>
  </si>
  <si>
    <t>WOS:000378339200046</t>
  </si>
  <si>
    <t>Manno, C; Peck, VL; Tarling, GA</t>
  </si>
  <si>
    <t>Manno, Clara; Peck, Victoria L.; Tarling, Geraint A.</t>
  </si>
  <si>
    <t>Pteropod eggs released at high pCO2 lack resilience to ocean acidification</t>
  </si>
  <si>
    <t>TERRA-NOVA BAY; LIMACINA-HELICINA; SEA-WATER; SURFACE WATERS; SOUTHERN-OCEAN; CARBONIC-ACID; IMPACT; SEAWATER; DISSOCIATION; TEMPERATURES</t>
  </si>
  <si>
    <t>The effects of ocean acidification (OA) on the early recruitment of pteropods in the Scotia Sea, was investigated considering the process of spawning, quality of the spawned eggs and their capacity to develop. Maternal OA stress was induced on female pteropods (Limacina helicina antarctica) through exposure to present day pCO(2) conditions and two potential future OA states (750 mu atm and 1200 mu atm). The eggs spawned from these females, both before and during their exposure to OA, were incubated themselves in this same range of conditions (embryonic OA stress). Maternal OA stress resulted in eggs with lower carbon content, while embryonic OA stress retarded development. The combination of maternal and embryonic OA stress reduced the percentage of eggs successfully reaching organogenesis by 80%. We propose that OA stress not only affects the somatic tissue of pteropods but also the functioning of their gonads. Corresponding in-situ sampling found that post-larval L. helicina antarctica concentrated around 600 m depth, which is deeper than previously assumed. A deeper distribution makes their exposure to waters undersaturated for aragonite more likely in the near future given that these waters are predicted to shoal from depth over the coming decades.</t>
  </si>
  <si>
    <t>[Manno, Clara; Peck, Victoria L.; Tarling, Geraint A.] British Antarctic Survey, Nat Environm Res Council, High Cross,Madingley Rd, Cambridge CB3 0ET, England</t>
  </si>
  <si>
    <t>Manno, C (corresponding author), British Antarctic Survey, Nat Environm Res Council, High Cross,Madingley Rd, Cambridge CB3 0ET, England.</t>
  </si>
  <si>
    <t>clanno@bas.ac.uk</t>
  </si>
  <si>
    <t>NERC [bas0100025, bas0100035, bas0100030, NE/H017267/1] Funding Source: UKRI; Natural Environment Research Council [bas0100035, bas0100030, bas0100025, NE/H017267/1] Funding Source: researchfish</t>
  </si>
  <si>
    <t>10.1038/srep25752</t>
  </si>
  <si>
    <t>DL8NK</t>
  </si>
  <si>
    <t>WOS:000375898500001</t>
  </si>
  <si>
    <t>Trevizani, TH; Figueira, RCL; Ribeiro, AP; Theophilo, CYS; Majer, AP; Petti, MAV; Corbisier, TN; Montone, RC</t>
  </si>
  <si>
    <t>Trevizani, Tailisi Hoppe; Lopes Figueira, Rubens Cesar; Ribeiro, Andreza Portella; Sawamura Theophilo, Carolina Yume; Majer, Alessandra Pereira; Varella Petti, Monica Angelica; Corbisier, Thais Navajas; Montone, Rosalinda Carmela</t>
  </si>
  <si>
    <t>Bioaccumulation of heavy metals in marine organisms and sediments from Admiralty Bay, King George Island, Antarctica</t>
  </si>
  <si>
    <t>MARINE POLLUTION BULLETIN</t>
  </si>
  <si>
    <t>Metals; Mercury; Biodisponibility; Spatial distribution</t>
  </si>
  <si>
    <t>TRACE-ELEMENTS; COASTAL; CONTAMINATION; ACCUMULATION; POLLUTION</t>
  </si>
  <si>
    <t>The Antarctic continent is considered a low-impact environment; however, there is a tendency to increase the contaminants' levels due to human activities in the research stations. In this study, As, Cd, Cr, Cu, Hg, Ni, Pb and Zn levels in sediment and biota were determined in the environmental samples from Admiralty Bay (King George Island, Antarctica) collected in 2003. The results demonstrated high concentrations of Cu and Zn in the sediments. There was bioaccumulation of As in the biota from Admiralty Bay and bioaccumulation of Zn specifically in the biota from Martel Inlet. In addition, the results were useful in order to understand the heavy metal levels for the pre-accident condition of Comandante Ferraz Antarctic Station, where an accident occurred in 2012, and also for the comparison with current conditions within the monitoring work developed by INCT-APA (National Institute of Science and Technology for Environmental Research Antarctic). (C) 2016 Elsevier Ltd. All rights reserved.</t>
  </si>
  <si>
    <t>[Trevizani, Tailisi Hoppe; Lopes Figueira, Rubens Cesar; Sawamura Theophilo, Carolina Yume; Varella Petti, Monica Angelica; Corbisier, Thais Navajas; Montone, Rosalinda Carmela] Univ Sao Paulo, IO, Praca Oceanog 191, BR-05508120 Sao Paulo, SP, Brazil; [Ribeiro, Andreza Portella] Univ Nove Julho, Cidades Inteligentes &amp; Sustentaveis, BR-0500100 Sao Paulo, SP, Brazil; [Majer, Alessandra Pereira] Estacio Europan, BR-06711280 Cotia, SP, Brazil; [Majer, Alessandra Pereira] Estacio Uniradial, BR-05107001 Sao Paulo, SP, Brazil</t>
  </si>
  <si>
    <t>Universidade de Sao Paulo; Universidade Nove de Julho</t>
  </si>
  <si>
    <t>Trevizani, TH (corresponding author), Univ Sao Paulo, IO, Praca Oceanog 191, BR-05508120 Sao Paulo, SP, Brazil.</t>
  </si>
  <si>
    <t>Ribeiro, Andreza Portella/N-9082-2019; Corbisier, Thais N./R-8255-2017; Trevizani, T Hoppe/P-1841-2018; Portella, Andreza A/B-9754-2017; Theophilo, Carolina Yume Sawamura/AAQ-9963-2021; Theophilo, Carolina Yume Sawamura/AAD-1127-2019; Petti, Monica A V/S-6367-2016; Figueira, Rubens/AAC-1045-2022; Figueira, Rubens RCL/C-5958-2013; Majer, Alessandra Pereira P/B-5366-2014; Montone, Rosalinda/J-9110-2012</t>
  </si>
  <si>
    <t>Ribeiro, Andreza Portella/0000-0002-1763-4558; Trevizani, T Hoppe/0000-0002-6057-5434; Theophilo, Carolina Yume Sawamura/0000-0002-9707-1010; Figueira, Rubens/0000-0001-8945-4540; Montone, Rosalinda/0000-0002-9586-1000</t>
  </si>
  <si>
    <t>Fundacao de Amparo a Pesquisa do Estado de Sao Paulo (FAPESP) [2012/08633-0]; CNPq [550354/02-6]; Fundacao de Amparo a Pesquisa do Estado de Sao Paulo (FAPESP) [12/08633-0] Funding Source: FAPESP</t>
  </si>
  <si>
    <t>Fundacao de Amparo a Pesquisa do Estado de Sao Paulo (FAPESP)(Fundacao de Amparo a Pesquisa do Estado de Sao Paulo (FAPESP)); CNPq(Conselho Nacional de Desenvolvimento Cientifico e Tecnologico (CNPQ)); Fundacao de Amparo a Pesquisa do Estado de Sao Paulo (FAPESP)(Fundacao de Amparo a Pesquisa do Estado de Sao Paulo (FAPESP))</t>
  </si>
  <si>
    <t>Acknowledgements to the Fundacao de Amparo a Pesquisa do Estado de Sao Paulo (FAPESP) (2012/08633-0) for financial and institutional support and to CNPq, through the grant number 550354/02-6 - Rede 2 - Avaliacao do conhecimento da estrutura das comunidades bentonicas para o gerenciamento ambiental da Baia do Almirantado for sampling support.</t>
  </si>
  <si>
    <t>PERGAMON-ELSEVIER SCIENCE LTD</t>
  </si>
  <si>
    <t>THE BOULEVARD, LANGFORD LANE, KIDLINGTON, OXFORD OX5 1GB, ENGLAND</t>
  </si>
  <si>
    <t>0025-326X</t>
  </si>
  <si>
    <t>1879-3363</t>
  </si>
  <si>
    <t>MAR POLLUT BULL</t>
  </si>
  <si>
    <t>Mar. Pollut. Bull.</t>
  </si>
  <si>
    <t>MAY 15</t>
  </si>
  <si>
    <t>1-2</t>
  </si>
  <si>
    <t>10.1016/j.marpolbul.2016.02.056</t>
  </si>
  <si>
    <t>Environmental Sciences; Marine &amp; Freshwater Biology</t>
  </si>
  <si>
    <t>Environmental Sciences &amp; Ecology; Marine &amp; Freshwater Biology</t>
  </si>
  <si>
    <t>DM7MY</t>
  </si>
  <si>
    <t>WOS:000376545900055</t>
  </si>
  <si>
    <t>Lutz, V; Frouin, R; Negri, R; Silva, R; Pompeu, M; Rudorff, N; Cabral, A; Dogliotti, A; Martinez, G</t>
  </si>
  <si>
    <t>Lutz, Vivian; Frouin, Robert; Negri, Ruben; Silva, Ricardo; Pompeu, Mayza; Rudorff, Natalia; Cabral, Anderson; Dogliotti, Ana; Martinez, Gustavo</t>
  </si>
  <si>
    <t>Bio-optical characteristics along the Straits of Magallanes</t>
  </si>
  <si>
    <t>CONTINENTAL SHELF RESEARCH</t>
  </si>
  <si>
    <t>Particulate absorption; CDOM absorption; Phytoplankton pigments; Carbon to chlorophyll ratio; Photoacclimation; Straits of Magallanes</t>
  </si>
  <si>
    <t>SUB-ANTARCTIC AREA; GROWTH-RATE; PHYTOPLANKTON; CARBON; SUMMER; PROCHLOROCOCCUS; SYNECHOCOCCUS; TEMPERATURE; ECOSYSTEM; PIGMENT</t>
  </si>
  <si>
    <t>The Straits of Magallanes at the tip of South America connects the Atlantic and Pacific Oceans. The variability in the absorption characteristics by phytoplankton (a(ph)(440)), non-pigmented particles, NPP (a(NPP)(440)), and chromophoric dissolved organic matter, CDOM (a(y)(440)), measured along the Straits in late summer 2011 (RN Melville MV1102 cruise), was analyzed. Satellite-derived monthly PAR data showed that at the time of the cruise the western sector was exposed to a low-light environment (similar to 16 mol quanta m(-2)d(-1)) while the eastern sector received higher irradiance (similar to 28 mol quanta m(-2)d(-1)). In the Patagonian Shelf total absorption was dominated by phytoplankton (up to 76%; aph (440)=0.265 m(-1)), while in the Atlantic Sector of the Straits, the major contributor was NPP (up to 42%; a(NPP)(440)=0.138 m(-1)), and in the Pacific Sector of the Straits CDOM contributed up to 80% of the total absorption (a(y)(440)=0.232 m(-1)). These changes could be related in part to the input of fresh water from glacier melting and rain in the Pacific Sector (a(y)(440) vs salinity r(s)=-0.98). The carbon biomass (C) was composed in its majority by pico-phytoplanlcton and secondly by nano-phytoplankton, with exception of the Atlantic Sector where the micro-phytoplankton dominated. Carbon to chlorophyll-a ratios (C:Chla) were very low throughout the Straits (average of similar to 6) because of photoacclimation to the extremely low light Complementary pigments data obtained in spring 2003 by the BEAGLE expedition indicated the predominance of diatoms all along the Straits, but the bio-optical trend resembled the one found in late summer 2011, i.e., NPP dominated the absorption in the well mixed Atlantic Sector, phytoplankton in the Middle Sector, and CDOM in the Pacific Sector. These results emphasize that underwater light is the major factor affecting phytoplankton growth and physiology, and that prevalent physical and geochemical conditions play an important role regulating the bio-optical properties in this heterogeneous area. These effects should be considered to adjust parameters (such as C:Chla) when running biogeochemical models for this region. (C) 2016 Elsevier Ltd. All rights reserved.</t>
  </si>
  <si>
    <t>[Lutz, Vivian] Consejo Nacl Invest Cient &amp; Tecn, IIMyC, Mar Del Plata, Buenos Aires, Argentina; [Lutz, Vivian; Negri, Ruben; Silva, Ricardo] INIDEP, Mar Del Plata, Buenos Aires, Argentina; [Frouin, Robert] UCSD, SIO, La Jolla, CA USA; [Pompeu, Mayza] Univ Sao Paulo, IO, BR-09500900 Sao Paulo, Brazil; [Rudorff, Natalia] INPE CPTEC, Cachoeira Paulista, SP, Brazil; [Cabral, Anderson] Univ Fed Rio de Janeiro, IB, Rio de Janeiro, RJ, Brazil; [Dogliotti, Ana] UBA, CONICET, IAFE, Buenos Aires, DF, Argentina; [Martinez, Gustavo] Subsecretaria Pesca &amp; Acuicultura MAGyP, Buenos Aires, DF, Argentina</t>
  </si>
  <si>
    <t>Consejo Nacional de Investigaciones Cientificas y Tecnicas (CONICET); National Fisheries Research &amp; Development Institute (INIDEP); University of California System; University of California San Diego; Universidade de Sao Paulo; Instituto Nacional de Pesquisas Espaciais (INPE); Universidade Federal do Rio de Janeiro; University of Buenos Aires; Instituto de Astronomia y Fisica del Espacio (IAFE); Consejo Nacional de Investigaciones Cientificas y Tecnicas (CONICET)</t>
  </si>
  <si>
    <t>Lutz, V (corresponding author), INIDEP, Mar Del Plata, Buenos Aires, Argentina.</t>
  </si>
  <si>
    <t>vlutz@inidep.edu.ar; rfrouin@ucsd.edu; negri@inidep.edu.ar; risilva@inidep.edu.ar; pompeum@usp.br; natalia.rudorff@cptec.inpe.br; andersonscabral@yahoo.com.br; adogliotti@iafe.uba.ar; gumartin@minagri.gob.ar</t>
  </si>
  <si>
    <t>Rudorff Oliveira, Natália/HGB-9820-2022</t>
  </si>
  <si>
    <t>Rudorff, Natalia/0000-0003-3451-4512</t>
  </si>
  <si>
    <t>INIDEP; CONICET; National Aeronautics and Space Administration (NASA); CAPES; FAPERJ [E-26/103.692/2012]</t>
  </si>
  <si>
    <t>INIDEP; CONICET(Consejo Nacional de Investigaciones Cientificas y Tecnicas (CONICET)); National Aeronautics and Space Administration (NASA)(National Aeronautics &amp; Space Administration (NASA)); CAPES(Coordenacao de Aperfeicoamento de Pessoal de Nivel Superior (CAPES)); FAPERJ(Fundacao Carlos Chagas Filho de Amparo a Pesquisa do Estado do Rio De Janeiro (FAPERJ))</t>
  </si>
  <si>
    <t>The crews of R/V Melville and R/V Mirai are gratefully acknowledged, as well as the help of our colleagues on board, especially Walter Grismayer. We are grateful to Shubha Sathyendranath for leading the bio-optical project of the R/V Mirai and to Masao Fukasawa for the organization of the whole expedition. The National Science Foundation and the Scripps Institution of Oceanography (SIO) provided ship time and logistics and technical support for the MV1102 cruise. We acknowledge funding received by INIDEP and CONICET. The National Aeronautics and Space Administration (NASA) supported R. Frouin under various grants. Dr Rodolfo Paranhos provided support and allowed the use of the cytometry Multi-User Unit (UCEA- IB/UFRJ). AC was funded by CAPES Post-doctoral fellowship (Edital Ciencias do Mar 09/2009), and FAPERJ Post-doctoral fellowship (E-26/103.692/2012). We thank Crystal Thomas from NASA for performing HPLC pigment analysis for the MV1102 cruise, Gregg Mitchell and Brian Schieber from SIO for providing filtration equipments, as well as useful advice, and John McPherson from SIO and Eleonora Veron and Lucrecia Allega from INIDEP for assistance. This is INIDEP contribution no 1979.</t>
  </si>
  <si>
    <t>0278-4343</t>
  </si>
  <si>
    <t>1873-6955</t>
  </si>
  <si>
    <t>CONT SHELF RES</t>
  </si>
  <si>
    <t>Cont. Shelf Res.</t>
  </si>
  <si>
    <t>10.1016/j.csr.2016.03.008</t>
  </si>
  <si>
    <t>DK8GX</t>
  </si>
  <si>
    <t>WOS:000375166300005</t>
  </si>
  <si>
    <t>Lindeque, A; Gohl, K; Henrys, S; Wobbe, F; Davy, B</t>
  </si>
  <si>
    <t>Lindeque, Ansa; Gohl, Karsten; Henrys, Stuart; Wobbe, Florian; Davy, Bryan</t>
  </si>
  <si>
    <t>Seismic stratigraphy along the Amundsen Sea to Ross Sea continental rise: A cross-regional record of pre-glacial to glacial processes of the West Antarctic margin (vol 443, pg 183, 2016)</t>
  </si>
  <si>
    <t>PALAEOGEOGRAPHY PALAEOCLIMATOLOGY PALAEOECOLOGY</t>
  </si>
  <si>
    <t>Correction</t>
  </si>
  <si>
    <t>[Lindeque, Ansa; Gohl, Karsten; Wobbe, Florian] Alfred Wegener Inst, Helmholtz Zentrum Polar &amp; Meeresforsch, Alten Hafen 26, D-27568 Bremerhaven, Germany; [Henrys, Stuart; Davy, Bryan] GNS Sci, 1 Fairway Dr, Avalon 5010, Lower Hut, New Zealand</t>
  </si>
  <si>
    <t>Helmholtz Association; Alfred Wegener Institute, Helmholtz Centre for Polar &amp; Marine Research; GNS Science - New Zealand</t>
  </si>
  <si>
    <t>Lindeque, A (corresponding author), Alfred Wegener Inst, Helmholtz Zentrum Polar &amp; Meeresforsch, Alten Hafen 26, D-27568 Bremerhaven, Germany.</t>
  </si>
  <si>
    <t>ansa.lindeque@icloud.com</t>
  </si>
  <si>
    <t>Henrys, Stuart/ABD-7378-2020</t>
  </si>
  <si>
    <t>Henrys, Stuart/0000-0002-7164-5274; Gohl, Karsten/0000-0002-9558-2116</t>
  </si>
  <si>
    <t>0031-0182</t>
  </si>
  <si>
    <t>1872-616X</t>
  </si>
  <si>
    <t>PALAEOGEOGR PALAEOCL</t>
  </si>
  <si>
    <t>Paleogeogr. Paleoclimatol. Paleoecol.</t>
  </si>
  <si>
    <t>10.1016/j.palaeo.2016.03.017</t>
  </si>
  <si>
    <t>Geography, Physical; Geosciences, Multidisciplinary; Paleontology</t>
  </si>
  <si>
    <t>Physical Geography; Geology; Paleontology</t>
  </si>
  <si>
    <t>DK4VP</t>
  </si>
  <si>
    <t>WOS:000374918700010</t>
  </si>
  <si>
    <t>Mackay, SL; Marchant, DR</t>
  </si>
  <si>
    <t>Mackay, Sean L.; Marchant, David R.</t>
  </si>
  <si>
    <t>Dating buried glacier ice using cosmogenic 3He in surface clasts: Theory and application to Mullins Glacier, Antarctica</t>
  </si>
  <si>
    <t>QUATERNARY SCIENCE REVIEWS</t>
  </si>
  <si>
    <t>Cosmogenic-nuclides; Exposure dating; Buried ice; Antarctica; Debris-covered glacier; Glacier chronology; Helium(-3)</t>
  </si>
  <si>
    <t>DEBRIS-COVERED GLACIERS; MCMURDO DRY VALLEYS; BEACON VALLEY; SUPRAGLACIAL DEBRIS; PRODUCTION-RATES; BALTORO GLACIER; ROCK; THICKNESS; ABLATION; NUCLIDE</t>
  </si>
  <si>
    <t>We develop a modeling framework to describe the accumulation of terrestrial cosmogenic He-3 in Antarctic debris-covered glaciers. The framework helps quantify the expected range in cosmogenic-nuclide inventories for measured clasts at the surface of supraglacial debris. We first delineate the physical factors that impact clast movement within, and on top of, debris-covered glaciers, including the effects of (1) ice ablation, (2) erosion at the debris surface, and (3) stochastic geomorphic processes that impact clast movement within and on top of supraglacial debris; we then explicitly calculate the impact of each process in altering the total inventory of cosmogenic nuclides in surface clasts. Assuming basic elements of ice-dynamics and debris entrainment are known, the model results provide an estimate for the total accumulation of cosmogenic nuclides, as well as the expected range in nuclide inventories, for any clast at the surface of debris-covered glaciers. Because the values are quantified, the approach can be applied to help evaluate the robustness of existing and future cosmogenic datasets applied to these systems. As a test, we applied our model framework towards Mullins Glacier, a cold-based debris-covered alpine glacier in the Dry Valleys of Antarctica. Our simulated values for cosmogenic-nuclide inventories compare well with those previously measured from fifteen surface cobbles along Mullins Glacier (He-3), both in terms of expected ranges and absolute values, and suggest that our model framework adequately incorporates most of the complicating factors that impact cosmogenic datasets for cold-based, debris covered glaciers. Relating these cosmogenic-nuclide inventories to ice ages, the results show that ice within Mullins Glacier increases non-linearly, ranging from 12 ka to-220 ka in areas of active flow, to &gt;&gt; 1.6 Ma in areas of slow-moving-to-stagnant ice. (C) 2016 Elsevier Ltd. All rights reserved.</t>
  </si>
  <si>
    <t>[Mackay, Sean L.; Marchant, David R.] Boston Univ, Dept Earth &amp; Environm, Boston, MA 02215 USA</t>
  </si>
  <si>
    <t>Boston University</t>
  </si>
  <si>
    <t>Mackay, SL (corresponding author), Boston Univ, Dept Earth &amp; Environm, Boston, MA 02215 USA.</t>
  </si>
  <si>
    <t>smackay@bu.edu; marchant@bu.edu</t>
  </si>
  <si>
    <t>Mackay, Sean/0000-0001-5493-3728</t>
  </si>
  <si>
    <t>NSF [NSF ANT-0944702, NSF ANT-0739700, NSF ANT-1043706]</t>
  </si>
  <si>
    <t>NSF(National Science Foundation (NSF))</t>
  </si>
  <si>
    <t>Funding for this research was provided by NSF Graduate Research Fellowship awarded to S.L. Mackay and NSF Polar Programs grants NSF ANT-0944702, NSF ANT-0739700, and NSF ANT-1043706 awarded to D.R. Marchant. Logistical support for this project in Antarctica was provided by the U.S. National Science Foundation through the U.S. Antarctic Program. Measurements of cosmogenic nuclides reported in this study were completed by Joerg Schaefer at the cosmogenic-nuclide lab at the Lamont Doherty Earth Observatory and by William Phillips and Gary Landis at the USGS noble gas laboratory, Denver Federal Center.</t>
  </si>
  <si>
    <t>0277-3791</t>
  </si>
  <si>
    <t>QUATERNARY SCI REV</t>
  </si>
  <si>
    <t>Quat. Sci. Rev.</t>
  </si>
  <si>
    <t>10.1016/j.quascirev.2016.03.013</t>
  </si>
  <si>
    <t>Geography, Physical; Geosciences, Multidisciplinary</t>
  </si>
  <si>
    <t>Physical Geography; Geology</t>
  </si>
  <si>
    <t>DL3BL</t>
  </si>
  <si>
    <t>WOS:000375509100006</t>
  </si>
  <si>
    <t>Inkpen, R; Hall, K</t>
  </si>
  <si>
    <t>Inkpen, Rob; Hall, Kevin</t>
  </si>
  <si>
    <t>Using morphospaces to understand tafoni development</t>
  </si>
  <si>
    <t>GEOMORPHOLOGY</t>
  </si>
  <si>
    <t>Tafoni; Development; Fitness landscapes; Morphospaces</t>
  </si>
  <si>
    <t>EVOLUTION; LANDSCAPE; SYSTEMS; SPACE; LAND</t>
  </si>
  <si>
    <t>Tafoni research has tended to focus on issues around definition and differences rather than trying to develop general concepts for understanding the nature of tafoni. This paper uses the concepts of fitness landscapes and morphospaces to develop a standardized and dimensionless phase space within which to represent, visualize and analyse a dataset of 800 tafoni collected from Antarctica. Within this phase space it is possible to identify clustering of tafoni forms and to illustrate how tafoni development is constrained by a relational hierarchy of rock structure, processes and geometry or form. (C) 2016 Published by Elsevier B.V.</t>
  </si>
  <si>
    <t>[Inkpen, Rob] Univ Portsmouth, Dept Geog, Buckingham Bldg,Lion Terrace, Portsmouth PO1 3HE, Hants, England; [Hall, Kevin] Univ Pretoria, Dept Geog Geoinformat &amp; Meteorol, ZA-0002 Pretoria, South Africa</t>
  </si>
  <si>
    <t>University of Portsmouth; University of Pretoria</t>
  </si>
  <si>
    <t>Inkpen, R (corresponding author), Univ Portsmouth, Dept Geog, Buckingham Bldg,Lion Terrace, Portsmouth PO1 3HE, Hants, England.</t>
  </si>
  <si>
    <t>robert.Inkpen@port.ac.uk</t>
  </si>
  <si>
    <t>Inkpen, Rob/0000-0002-1510-6911</t>
  </si>
  <si>
    <t>South African NRF</t>
  </si>
  <si>
    <t>South African NRF(National Research Foundation - South Africa)</t>
  </si>
  <si>
    <t>The authors would like to thank Ian Meiklejohn, Christel Hansen, Michael Loubser and Werner Nel for the tafoni datasets that were from the 'Landscape Processes in Antarctic ecosystems' project funded by the South African NRF. The authors would also like to thank two anonymous reviewers for their constructive comments.</t>
  </si>
  <si>
    <t>0169-555X</t>
  </si>
  <si>
    <t>1872-695X</t>
  </si>
  <si>
    <t>Geomorphology</t>
  </si>
  <si>
    <t>10.1016/j.geomorph.2016.03.003</t>
  </si>
  <si>
    <t>DK0TE</t>
  </si>
  <si>
    <t>WOS:000374624300014</t>
  </si>
  <si>
    <t>Pavlov, AK; Stedmon, CA; Semushin, AV; Martma, T; Ivanov, BV; Kowalczuk, P; Granskog, MA</t>
  </si>
  <si>
    <t>Pavlov, Alexey K.; Stedmon, Colin A.; Semushin, Andrey V.; Martma, Tonu; Ivanov, Boris V.; Kowalczuk, Piotr; Granskog, Mats A.</t>
  </si>
  <si>
    <t>Linkages between the circulation and distribution of dissolved organic matter in the White Sea, Arctic Ocean</t>
  </si>
  <si>
    <t>Colored dissolved organic matter; Dissolved organic carbon; White Sea; Arctic Ocean; Terrestrial runoff</t>
  </si>
  <si>
    <t>OPTICAL-PROPERTIES; SPECTRAL SLOPES; LENA RIVER; HUDSON-BAY; ICE MELT; CDOM; MARINE; CARBON; ABSORPTION; NUTRIENTS</t>
  </si>
  <si>
    <t>The White Sea is a semi-enclosed Arctic marginal sea receiving a significant loading of freshwater (225-231 km(3) yr(-1) equaling an annual runoff yield of 2.5 m) and dissolved organic matter (DOM) from river run-off. We report discharge weighed values of stable oxygen isotope ratios (delta O-18) of -14.0 parts per thousand in Northern Dvina river for the period 10 May-12 October 2012. We found a significant linear relationship between salinity (S) and delta O-18 (delta O-18 = -17.66 +/- 0.58+0.52 +/- 0.02 x S; R-2=0.96, N=162), which indicates a dominant contribution of river water to the freshwater budget and little influence of sea ice formation or melt. No apparent brine additions from sea-ice formation is evident in the White Sea deep waters as seen from a joint analysis of temperature (T), S, delta O-18 and a(CDOM)(350) data, confirming previous suggestions about strong tidal induced vertical mixing in winter being the likely source of the deep waters. We investigated properties and distribution of colored dissolved organic matter (CDOM) and dissolved organic carbon (DOC) in the White Sea basin and coastal areas in summer. We found contrasting DOM properties in the inflowing Barents Sea waters and White Sea waters influenced by terrestrial runoff. Values of absorption by CDOM at 350 nm (a(CDOM)(350)) and DOC (exceeding 10 m(-1) and 550 mu mol l(-1), respectively) in surface waters of the White Sea basin are higher compared to other river-influenced coastal Arctic domains. Linear relationship between S and CDOM absorption, and S and DOC (DOC=959.21 +/- 52.99-25.80 +/- 1.79 x S; R-2=0.85; N=154) concentrations suggests conservative mixing of DOM in the White Sea. The strongest linear correlation between CDOM absorption and DOC was found in the ultraviolet (DOC=56.31 +/- 2.76+9.13 +/- 0.15 x a(CDOM)(254); R-2=0.99; N=155), which provides an easy and robust tool to trace DOC using CDOM absorption measurements as well as remote sensing algorithms. Deviations from this linear relationship in surface waters likely indicate contribution from different rivers along the coast of the White Sea. Characteristics of CDOM further indicate that there is limited removal or change in the DOM pool before it exits to the Barents Sea. (C) 2016 The Authors. Published by Elsevier Ltd.</t>
  </si>
  <si>
    <t>[Pavlov, Alexey K.; Granskog, Mats A.] Norwegian Polar Res Inst, Fram Ctr, N-9296 Tromso, Norway; [Pavlov, Alexey K.; Ivanov, Boris V.] Arctic &amp; Antarctic Res Inst, St Petersburg 199397, Russia; [Stedmon, Colin A.] Tech Univ Denmark, Natl Inst Aquat Resources, DK-2920 Charlottenlund, Denmark; [Semushin, Andrey V.] Northern Branch Polar Res, Inst Marine Fisheries &amp; Oceanog SevPINRO, Arkhangelsk 163002, Russia; [Martma, Tonu] Tallinn Univ Technol, Inst Geol, EE-19086 Tallinn, Estonia; [Ivanov, Boris V.] St Petersburg State Univ, St Petersburg 199178, Russia; [Kowalczuk, Piotr] Polish Acad Sci, Inst Oceanol, PL-81712 Sopot, Poland</t>
  </si>
  <si>
    <t>Norwegian Polar Institute; Arctic &amp; Antarctic Research Institute; Technical University of Denmark; Tallinn University of Technology; Saint Petersburg State University; Polish Academy of Sciences; Institute of Oceanology of the Polish Academy of Sciences</t>
  </si>
  <si>
    <t>Pavlov, AK (corresponding author), Norwegian Polar Res Inst, Fram Ctr, N-9296 Tromso, Norway.</t>
  </si>
  <si>
    <t>alexey.pavlov@npolar.no</t>
  </si>
  <si>
    <t>Semushin, Andrey/AAH-2309-2019; Stedmon, Colin Andrew/B-5841-2008; Martma, Tonu/B-7386-2019</t>
  </si>
  <si>
    <t>Stedmon, Colin Andrew/0000-0001-6642-9692; Martma, Tonu/0000-0001-5894-7692; Granskog, Mats/0000-0002-5035-4347; Kowalczuk, Piotr/0000-0001-6016-0610; Pavlov, Alexey/0000-0002-1978-5368</t>
  </si>
  <si>
    <t>Polish-Norwegian Research Programme [Pol-Nor/197511/40/2013]; OSL fellowship [03PL043A, D1551]; Centre for Ice, Climate and Ecosystems (ICE) at the Norwegian Polar Institute; Roshydromet grant [1.5.3.3]; President Grant [MK-4049.2014.8]; Ministry of Education and Science of the Russian Federation [RFMEFI61014 x 0006, 14.610.21.0006]; EU Regional Development Foundation [3.2.0801.12-0044]</t>
  </si>
  <si>
    <t>Polish-Norwegian Research Programme; OSL fellowship; Centre for Ice, Climate and Ecosystems (ICE) at the Norwegian Polar Institute; Roshydromet grant; President Grant; Ministry of Education and Science of the Russian Federation(Ministry of Education and Science, Russian Federation); EU Regional Development Foundation</t>
  </si>
  <si>
    <t>Authors thank the Northern Arctic Federal University, the Russian Geographic Society and other organizers of the Floating University cruise, as well as the crew of the RV Professor Molchanov. Vera Yavlovskaya, Ekaterina Bloshkina, Mikhail Makhotin, Vasiliy Bednenko helped with in situ water sample collection. Sergey Zhuravlev kindly helped to find river discharge data. Ocean Data View has been used for plotting (Schlitzer, 2015). We thank Heidemarie Kassens, Jens Holemann, Irina Fedorova, Elena Dobrotina, Lyudmila Korolyeva, and Roman Vlasenkov for the help within the Otto Schmidt Laboratory (OSL, St. Petersburg, Russia). We thank Paul A. Dodd for valuable discussion. A.K.P., P.K. and M.A.G. were supported by the Polish-Norwegian Research Programme operated by the National Centre for Research and Development under the Norwegian Financial Mechanism 2009-2014 in the frame of Project contract Pol-Nor/197511/40/2013, CDOM-HEAT. For A.S. and A.K.P this study was partly supported by OSL fellowship grant 03PL043A, D1551. M.A.G. was supported by the Centre for Ice, Climate and Ecosystems (ICE) at the Norwegian Polar Institute. A.K.P. and B.V.I. were supported by the Roshydromet grant number 1.5.3.3 and President Grant MK-4049.2014.8. For B.V.I. funding was provided by Ministry of Education and Science of the Russian Federation, Project RFMEFI61014 x 0006, Agreement no. 14.610.21.0006 Development of new methods and techniques for monitoring of hydrometeorological and geophysical state of Spitsbergen and Russian West Arctic. T.M. was supported by the EU Regional Development Foundation, Project 3.2.0801.12-0044. Finally, we thank two anonymous reviewers, who helped to improve the manuscript.</t>
  </si>
  <si>
    <t>10.1016/j.csr.2016.03.004</t>
  </si>
  <si>
    <t>WOS:000375166300001</t>
  </si>
  <si>
    <t>Oliva, M; Antoniades, D; Giralt, S; Granados, I; Pla-Rabes, S; Toro, M; Liu, EJ; Sanjurjo, J; Vieira, G</t>
  </si>
  <si>
    <t>Oliva, M.; Antoniades, D.; Giralt, S.; Granados, I.; Pla-Rabes, S.; Toro, M.; Liu, E. J.; Sanjurjo, J.; Vieira, G.</t>
  </si>
  <si>
    <t>The Holocene deglaciation of the Byers Peninsula (Livingston Island, Antarctica) based on the dating of lake sedimentary records</t>
  </si>
  <si>
    <t>Antarctica; Byers Peninsula; Deglaciation; Lake sediments</t>
  </si>
  <si>
    <t>SOUTH-SHETLAND-ISLANDS; KING-GEORGE-ISLAND; LAST GLACIAL MAXIMUM; ICE-SHEET; LIMNOPOLAR LAKE; CLIMATE-CHANGE; ACTIVE-LAYER; BEACHES; HISTORY; SURFACE</t>
  </si>
  <si>
    <t>The process of deglaciation in the Antarctic Peninsula region has large implications for the geomorphological and ecological dynamics of the ice-free environments. However, uncertainties still remain regarding the age of deglaciation in many coastal environments, as is the case in the South Shetland Islands. This study focuses on the Byers Peninsula, the largest ice-free area in this archipelago and the one with greatest biodiversity in Antarctica. A complete lacustrine sedimentary sequence was collected from five lakes distributed along a transect from the western coast to the Rotch Dome glacier front: Limnopolar, Chester, Escondido, Cerro Negro and Domo lakes. A multiple dating approach based on C-14, thermoluminescence and tephrochronology was applied to the cores in order to infer the Holocene environmental history and identify the deglaciation chronology in the Byers Peninsula. The onset of the deglaciation started during the Early Holocene in the western fringe of the Byers Peninsula according to the basal dating of Limnopolar Lake (ca. 8.3 cal. ky BP). Glacial retreat gradually exposed the highest parts of the Cerro Negro nunatak in the SE corner of Byers, where Cerro Negro Lake is located; this lake was glacier-free since at least 7.5 ky. During the Mid-Holocene the retreat of the Rotch Dome glacier cleared the central part of the Byers plateau of ice, and Escondido and Chester lakes formed at 6 cal. ky BP and 5.9 ky, respectively. The dating of the basal sediments of Domo Lake suggests that the deglaciation of the current ice-free easternmost part of the Byers Peninsula occurred before 1.8 cal. ky BP. (C) 2016 Elsevier B.V. All rights reserved.</t>
  </si>
  <si>
    <t>[Oliva, M.; Vieira, G.] Univ Lisbon, Ctr Geog Studies IGOT, P-1699 Lisbon, Portugal; [Antoniades, D.] Univ Laval, Dept Geog, Quebec City, PQ G1K 7P4, Canada; [Antoniades, D.] Univ Laval, Ctr Etud Nord, Quebec City, PQ G1K 7P4, Canada; [Giralt, S.] CSIC, Inst Earth Sci Jaume Almera, Madrid, Spain; [Granados, I.] Guadarrama Natl Pk, Ctr Invest Seguimiento &amp; Evaluac, Madrid, Spain; [Pla-Rabes, S.] CSIC, CREAF, Madrid, Spain; [Toro, M.] Ctr Hidrog Studies CEDEX, Girona, Spain; [Liu, E. J.] Univ Bristol, Dept Earth Sci, Bristol BS8 1TH, Avon, England; [Sanjurjo, J.] Univ A Coruna, Univ Inst Geol, La Coruna, Spain</t>
  </si>
  <si>
    <t>Universidade de Lisboa; Laval University; Laval University; Consejo Superior de Investigaciones Cientificas (CSIC); CSIC - Geociencias Barcelona (GEO3BCN); Consejo Superior de Investigaciones Cientificas (CSIC); Centro de Investigacion Ecologica y Aplicaciones Forestales (CREAF-CERCA); University of Bristol; Universidade da Coruna</t>
  </si>
  <si>
    <t>Oliva, M (corresponding author), Univ Lisbon, Ctr Geog Studies IGOT, P-1699 Lisbon, Portugal.</t>
  </si>
  <si>
    <t>oliva_marc@yahoo.com</t>
  </si>
  <si>
    <t>Giralt, Santiago/AAA-8585-2020; Granados, Ignacio/A-3737-2013; Giralt, Santiago/G-4823-2011; Pla-Rabes, Sergi/J-9209-2012; Sánchez, Jorge Sanjurjo/E-4404-2011; Vieira, Goncalo/G-5958-2010; Oliva, Marc/K-5423-2014</t>
  </si>
  <si>
    <t>Giralt, Santiago/0000-0001-8570-7838; Granados, Ignacio/0000-0002-8669-6613; Giralt, Santiago/0000-0001-8570-7838; Pla-Rabes, Sergi/0000-0003-3532-9466; Sánchez, Jorge Sanjurjo/0000-0002-7559-8647; Vieira, Goncalo/0000-0001-7611-3464; Nicholson, Emma/0000-0003-1749-9285; Oliva, Marc/0000-0001-6521-6388; Toro Velasco, Manuel/0000-0002-4860-7229; Antoniades, Dermot/0000-0001-6629-4839</t>
  </si>
  <si>
    <t>Portuguese Science Foundation through the research project HOLOANTAR (Holocene environmental change in the Maritime Antarctic. Interactions Between permafrost and the lacustrine environment); Portuguese Polar Program (PROPOLAR); AXA Research Fund</t>
  </si>
  <si>
    <t>Portuguese Science Foundation through the research project HOLOANTAR (Holocene environmental change in the Maritime Antarctic. Interactions Between permafrost and the lacustrine environment); Portuguese Polar Program (PROPOLAR); AXA Research Fund(AXA Research Fund)</t>
  </si>
  <si>
    <t>The present research has been funded by the Portuguese Science Foundation through the research project HOLOANTAR (Holocene environmental change in the Maritime Antarctic. Interactions Between permafrost and the lacustrine environment) and the Portuguese Polar Program (PROPOLAR). We acknowledge the logistic support of the Brazilian Antarctic Program during field work. The first author is grateful to the AXA Research Fund for funding his research activities. Special thanks to Prof David Palacios (Complutense University of Madrid) for his help during the sample collection for luminescence dating analysis.</t>
  </si>
  <si>
    <t>10.1016/j.geomorph.2016.02.029</t>
  </si>
  <si>
    <t>WOS:000374624300007</t>
  </si>
  <si>
    <t>Montone, RC; Taniguchi, S; Colabuono, FI; Martins, CC; Cipro, CVZ; Barroso, HS; da Silva, J; Bícego, MC; Weber, RR</t>
  </si>
  <si>
    <t>Montone, Rosalinda C.; Taniguchi, Satie; Colabuono, Fernanda I.; Martins, Cesar C.; Cipro, Caio Vinicius Z.; Barroso, Hileia S.; da Silva, Josilene; Bicego, Marcia C.; Weber, Rolf R.</t>
  </si>
  <si>
    <t>Persistent organic pollutants and polycyclic aromatic hydrocarbons in penguins of the genus Pygoscelis in Admiralty Bay - An Antarctic specially managed area</t>
  </si>
  <si>
    <t>PCBs; PBDEs; PAHs; Bioaccumulation; King George Island; Antarctica</t>
  </si>
  <si>
    <t>POLYBROMINATED DIPHENYL ETHERS; KING GEORGE ISLAND; STABLE-ISOTOPE ANALYSIS; ORGANOCHLORINE PESTICIDES; POTTER COVE; DIET; SEABIRDS; WATER; INDICATORS; SEDIMENTS</t>
  </si>
  <si>
    <t>Persistent organic pollutants were assessed in fat samples of the Gentoo (Pygoscelis papua), Chinstrap (Pygoscelis antarcticus) and Adelie (Pygoscelis adeliae) penguins collected during the austral summers of 2005/06 and 2006/07 in Admiralty Bay, King George Island, Antarctica. The predominant organic pollutants were PCB (114 to 1115), polycyclic aromatic hydrocarbons (PAHs) (60.1 to 238.7), HCB (&lt;03 to 1322) and BDE-47 (&lt;1.0 to 10.7) in ng g(-1) wet weight. The mean concentrations of the majority of organic pollutants were similar among the three species of penguins. Chicks of all three species showed similar profiles of PCB congeners, with predominance of lower chlorinated compounds. The distribution of PAHs was similar in all birds, with a predominance of naphthalene and alkyl-naphthalene, which are the main constituents of arctic diesel fuel. These data contribute to the monitoring of the continued exposure to organic pollutants in the Antarctic biota. (C) 2016 Elsevier Ltd. All rights reserved.</t>
  </si>
  <si>
    <t>[Montone, Rosalinda C.; Taniguchi, Satie; Colabuono, Fernanda I.; Cipro, Caio Vinicius Z.; Barroso, Hileia S.; da Silva, Josilene; Bicego, Marcia C.; Weber, Rolf R.] Univ Sao Paulo, Inst Oceanog, Lab Quim Organ Marinha, Praca Oceanog 191, BR-05508120 Sao Paulo, SP, Brazil; [Martins, Cesar C.; da Silva, Josilene] Univ Fed Parana, Ctr Estudos Mar, Caixa Postal 61, BR-83255976 Pontal Do Parana, PR, Brazil</t>
  </si>
  <si>
    <t>Universidade de Sao Paulo; Universidade Federal do Parana</t>
  </si>
  <si>
    <t>Montone, RC (corresponding author), Univ Sao Paulo, Inst Oceanog, Lab Quim Organ Marinha, Praca Oceanog 191, BR-05508120 Sao Paulo, SP, Brazil.</t>
  </si>
  <si>
    <t>rmontone@usp.br</t>
  </si>
  <si>
    <t>de Castro Martins, Cesar C/I-1086-2012; Colabuono, Fernanda Imperatrice/B-7197-2012; Bicego, Marcia C/D-1996-2013; Taniguchi, Satie/D-2552-2013; Zecchin Cipro, Caio Vinicius/C-6338-2014; Montone, Rosalinda/J-9110-2012</t>
  </si>
  <si>
    <t>Taniguchi, Satie/0000-0002-6825-6390; da Silva, Josilene/0000-0002-4527-9311; de Castro Martins, Cesar/0000-0002-2515-5565; Zecchin Cipro, Caio Vinicius/0000-0002-7028-6353; Bicego, Marcia/0000-0002-9939-9853; Montone, Rosalinda/0000-0002-9586-1000</t>
  </si>
  <si>
    <t>CNPq - Brazilian Antarctic Program (PROANTAR) [55.0348/2002-6, 550018/2007-7]; Ministerio do Meio Ambiente (MMA - Ministry of the Environment); Ministerio de Ciencia e Tecnologia (MCT - Ministry of Science and Technology); Conselho Nacional de Desenvolvimento Cientifico e Tecnologico (CNPq - National Council for Scientific and Technological development)</t>
  </si>
  <si>
    <t>CNPq - Brazilian Antarctic Program (PROANTAR); Ministerio do Meio Ambiente (MMA - Ministry of the Environment); Ministerio de Ciencia e Tecnologia (MCT - Ministry of Science and Technology); Conselho Nacional de Desenvolvimento Cientifico e Tecnologico (CNPq - National Council for Scientific and Technological development)(Conselho Nacional de Desenvolvimento Cientifico e Tecnologico (CNPQ))</t>
  </si>
  <si>
    <t>This study is part of the projects Environmental Management of Admiralty Bay, King George Island, Antarctica: Persistent organic pollutants and sewage (CNPq: 55.0348/2002-6) and Modeling the fate of organic pollutants through the Antarctic trophic web (CNPq: 550018/2007-7) funded by the Brazilian Antarctic Program (PROANTAR). This study is also included in the National Science and Technology Institute on Antarctic Environmental Research (INCT-APA - CNPq 574018/2008-5 and FAPERJ E-16/170023/2008). Financial support was obtained from the Brazilian agencies Ministerio do Meio Ambiente (MMA - Ministry of the Environment), Ministerio de Ciencia e Tecnologia (MCT - Ministry of Science and Technology) and Conselho Nacional de Desenvolvimento Cientifico e Tecnologico (CNPq - National Council for Scientific and Technological development). Logistical support was provided by the Secretaria da Comissao Interministerial para os Recursos do Mar (SECIRM-Secretary of the Inter-Ministerial Commission of Ocean Resources). The authors thank the staff of the Ferraz Station and fellow Antarctic researchers for their valuable support during the austral summers, especially Ana Paula Bertoldi Carneiro, who helped collect penguin samples at Llano Point. The authors are also grateful to the anonymous referees for their very useful comments on a previous version of this manuscript.</t>
  </si>
  <si>
    <t>10.1016/j.marpolbul.2016.02.047</t>
  </si>
  <si>
    <t>WOS:000376545900057</t>
  </si>
  <si>
    <t>Peters, JL; Benetti, S; Dunlop, P; Cofaigh, CO; Moreton, SG; Wheeler, AJ; Clark, CD</t>
  </si>
  <si>
    <t>Peters, Jared L.; Benetti, Sara; Dunlop, Paul; Cofaigh, Colm O.; Moreton, Steven G.; Wheeler, Andrew J.; Clark, Christopher D.</t>
  </si>
  <si>
    <t>Sedimentology and chronology of the advance and retreat of the last British-Irish Ice Sheet on the continental shelf west of Ireland</t>
  </si>
  <si>
    <t>British-Irish Ice Sheet; Retreat rate; Grounding zone wedge; Readvance; Radiocarbon; Sedimentology; Geomorphology; Ice shelf; Killard Point Stadial; Nahanagan (Younger Dryas) Stadial</t>
  </si>
  <si>
    <t>GROUNDING-LINE RETREAT; PINE ISLAND BAY; SUBGLACIAL TILL; SEA-LEVEL; BENTHIC FORAMINIFERA; ANTARCTIC PENINSULA; RADIOCARBON CONSTRAINTS; DEGLACIAL HISTORY; BE-10 CHRONOLOGY; GLACIAL HISTORY</t>
  </si>
  <si>
    <t>The last British-Irish Ice Sheet (BIIS) had extensive marine-terminating margins and was drained by multiple large ice streams and is thus a useful analogue for marine-based areas of modern ice sheets. However, despite recent advances from investigating the offshore record of the BIIS, the dynamic history of its marine margins, which would have been sensitive to external forcing(s), remain inadequately understood. This study is the first reconstruction of the retreat dynamics and chronology of the western, marine-terminating, margin of the last (Late Midlandian) BIIS. Analyses of shelf geomorphology and core sedimentology and chronology enable a reconstruction of the Late Midlandian history of the BIIS west of Ireland, from initial advance to final retreat onshore. Five AMS radiocarbon dates from marine cores constrain the timing of retreat and associated readvances during deglaciation. The BIIS advanced without streaming or surging, depositing a bed of highly consolidated subglacial traction till, and reached to within similar to 20 km of the shelf break by similar to 24,000 Cal BP. Ice margin retreat was likely preceded by thinning, grounding zone retreat and ice shelf formation on the outer shelf by similar to 22,000 Cal BP. This ice shelf persisted for &lt;= 2500 years, while retreating at a minimum rate of 24 m/yr and buttressing a &gt;150-km long, 20-km wide, bathymetrically-controlled grounding zone. A large (similar to 150 km long), arcuate, flat-topped grounding-zone wedge, termed here the Galway Lobe Grounding-Zone Wedge (GLGZW), was deposited below this ice shelf and records a significant stillstand in BUS retreat. Geomorphic relationships indicate that the BIIS experienced continued thinning during its retreat across the shelf, which led to increased topographic influence on its flow dynamics following ice shelf break up and grounding zone retreat past the GLGZW. At this stage of retreat the western BIIS was comprised of several discrete, asynchronous lobes that underwent several readvances. Sedimentary evidence of dilatant till deposition suggests that the readvances may have been rapid and possibly associated with ice streaming or surging. The largest lobe extended offshore from Galway Bay and deposited the Galway Lobe Readvance Moraine by &lt;18,500 Cal BP. Further to the north, an ice lobe readvanced at least 50 km offshore from Killary Harbour, possibly by &lt;= 15,100 Cal BP. The existing chronology currently does not allow us to determine conclusively whether these readvances were a glaciodynamic (internally-driven) response of the ice sheet during deglaciation or were climatically-driven. Following the &lt;18,500 Cal BP readvance, the Galway Lobe experienced accelerated eastward retreat at an estimated rate of similar to 113 m/yr. (C) 2016 Elsevier Ltd. All rights reserved.</t>
  </si>
  <si>
    <t>[Peters, Jared L.; Benetti, Sara; Dunlop, Paul] Univ Ulster, Sch Geog &amp; Environm Sci, Cromore Rd, Coleraine BT52 1SA, Londonderry, North Ireland; [Cofaigh, Colm O.] Univ Durham, Dept Geog, Durham DH1 3LE, England; [Moreton, Steven G.] NERC, Radiocarbon Facil, E Kilbride G75 0QF, Lanark, Scotland; [Wheeler, Andrew J.] Natl Univ Ireland Univ Coll Cork, Sch Biol Earth &amp; Environm Sci, Cork, Ireland; [Clark, Christopher D.] Univ Sheffield, Dept Geog, Sheffield S10 2TN, S Yorkshire, England</t>
  </si>
  <si>
    <t>Ulster University; Durham University; UK Research &amp; Innovation (UKRI); Natural Environment Research Council (NERC); NERC British Geological Survey; University College Cork; University of Sheffield</t>
  </si>
  <si>
    <t>Peters, JL (corresponding author), Univ Ulster, Sch Geog &amp; Environm Sci, Cromore Rd, Coleraine BT52 1SA, Londonderry, North Ireland.</t>
  </si>
  <si>
    <t>Peters-J@email.ulster.ac.uk</t>
  </si>
  <si>
    <t>Clark, Chris D/C-3830-2009; Dunlop, Paul/F-3062-2015; Moreton, Steven G/C-2373-2009; Peters, Jared L/S-4307-2018</t>
  </si>
  <si>
    <t>Dunlop, Paul/0000-0001-9503-5545; Moreton, Steven G/0000-0002-8030-2433; Benetti, Sara/0000-0001-6286-9842; Wheeler, Andrew/0000-0001-7107-2229; Peters, Jared/0000-0001-6720-9448</t>
  </si>
  <si>
    <t>University of Ulster; NERC consortium [NE/J009768/1]; NERC [NE/J007218/1, NE/J007196/1, NRCF010001, NE/J009768/1] Funding Source: UKRI; Natural Environment Research Council [NE/J009768/1, NE/J007218/1, NE/J007196/1, NRCF010001] Funding Source: researchfish</t>
  </si>
  <si>
    <t>University of Ulster; NERC consortium(UK Research &amp; Innovation (UKRI)Natural Environment Research Council (NERC)); NERC(UK Research &amp; Innovation (UKRI)Natural Environment Research Council (NERC)); Natural Environment Research Council(UK Research &amp; Innovation (UKRI)Natural Environment Research Council (NERC))</t>
  </si>
  <si>
    <t>JLP acknowledges a University of Ulster PhD studentship and Vice-Chancellor's Scholarship from 2013 to 2016. This work was supported by the NERC Radiocarbon Facility NRCF010001 (allocation number 1722.0613), NERC consortium grant NE/J009768/1, for radiocarbon dating. Further radiocarbon dating support was provided by the International Association of Sedimentologists (Postgraduate Research Grant, 1st session, 2014) and the Raidio Teilifis Eireann (RTE) broadcasting company for the television programme 'The Investigators'. Thanks to Derek Fabel at the Scottish Universities Environmental Research Centre, University of Glasgow, for his help during radiocarbon calibrations. Grateful thanks to Christian Wilson of Ocean DTM for Olex data-acquisition support, Robin Edwards at Trinity College, Dublin for the use of his MALVERN Mastersizer(c) for grain size analyses and sample processing, and Stephen McCarron at the National University of Ireland, Maynooth for the use of the GEOTEK multi-sensor core logger. We would like to thank the Captain and Crew of the RV Celtic Explorer, cruise participants and Mr Aodhan Fitzgerald of the Marine Institute, for their invaluable assistance during cruises CE10008 and CE14004 (WICPro). The research surveys were carried out under the Sea Change strategy with the support of the Marine Institute and the Marine Research Sub-programme of the National Development Plan 2007-2013. The authors also thank two anonymous reviewers, whose insightful comments have helped to improve this manuscript.</t>
  </si>
  <si>
    <t>10.1016/j.quascirev.2016.03.012</t>
  </si>
  <si>
    <t>WOS:000375509100007</t>
  </si>
  <si>
    <t>Lou, CN; Liu, XD; Liu, WQ; Wu, LB; Nie, YG; Emslie, SD</t>
  </si>
  <si>
    <t>Lou, Chuangneng; Liu, Xiaodong; Liu, Wenqi; Wu, Libin; Nie, Yaguang; Emslie, Steven D.</t>
  </si>
  <si>
    <t>Distribution patterns and possible influencing factors of As speciation in ornithogenic sediments from the Ross Sea region, East Antarctica</t>
  </si>
  <si>
    <t>SCIENCE OF THE TOTAL ENVIRONMENT</t>
  </si>
  <si>
    <t>Arsenic speciation; Biovector; Guano; Ornithogenic sediments; East Antarctica</t>
  </si>
  <si>
    <t>ARSENIC SPECIATION; ORGANIC-MATTER; PENGUIN; EXTRACTION; DYNAMICS; MERCURY; ISLAND; WATER; BIOACCUMULATION; DEMETHYLATION</t>
  </si>
  <si>
    <t>Ornithogenic sediments are rich in toxic As (arsenic) compounds, posing a potential threat to local ecosystems. Here we analyzed the distribution of As speciation in three ornithogenic sediment profiles (MB6, BI and CC) collected from the Ross Sea region, East Antarctica. The distributions of total As and total P (phosphorus) concentrations were highly consistent in all three profiles, indicating that guano input is a major factor controlling total As distribution in the ornithogenic sediments. The As found in MB6 and CC is principally As(V) (arsenate), in BI As(III) (arsenite) predominates, but the As in fresh guano is largely composed of DMA (dimethylarsinate). The significant difference of As species between fresh guano and ornithogenic sediment samples may be related to diagenetic processes after deposition by seabirds. Based on analysis of the sedimentary environment in the studied sediments, we found that the redox conditions have an obvious influence on the As speciation distribution. Moreover, the distributions of As(III) and chlorophyll a in the MB6 and BI profiles are highly consistent, demonstrating that aquatic algae abundance may also influence the distribution patterns of As speciation in the ornithogenic sediments. (C) 2016 Elsevier B.V. All rights reserved.</t>
  </si>
  <si>
    <t>[Lou, Chuangneng; Liu, Xiaodong; Wu, Libin; Nie, Yaguang] Univ Sci &amp; Technol China, Sch Earth &amp; Space Sci, Inst Polar Environm, Hefei 230026, Peoples R China; [Liu, Wenqi] Univ Sci &amp; Technol China, Instruments Ctr Phys Sci, Hefei 230026, Peoples R China; [Emslie, Steven D.] Univ N Carolina, Dept Biol &amp; Marine Biol, 601 S Coll Rd, Wilmington, NC 28403 USA</t>
  </si>
  <si>
    <t>Chinese Academy of Sciences; University of Science &amp; Technology of China, CAS; Chinese Academy of Sciences; University of Science &amp; Technology of China, CAS; University of North Carolina; University of North Carolina Wilmington</t>
  </si>
  <si>
    <t>Liu, XD (corresponding author), Univ Sci &amp; Technol China, Sch Earth &amp; Space Sci, Inst Polar Environm, Hefei 230026, Peoples R China.</t>
  </si>
  <si>
    <t>ycx@ustc.edu.cn</t>
  </si>
  <si>
    <t>National Natural Science Foundation of China [41576183, 41376124]; NSF [ANT 0739575]; Chinese Arctic and Antarctic Administration of the State Oceanic Administration</t>
  </si>
  <si>
    <t>National Natural Science Foundation of China(National Natural Science Foundation of China (NSFC)); NSF(National Science Foundation (NSF)); Chinese Arctic and Antarctic Administration of the State Oceanic Administration</t>
  </si>
  <si>
    <t>We would like to thank the Chinese Arctic and Antarctic Administration of the State Oceanic Administration for project support. We are especially grateful to Prof. Liguang Sun for his valuable support. We also thank the United States Antarctic Program (USAP), Raytheon Polar Services, and in particular J. Smykla, E. Gruber and L. Coats for their valuable assistance in the field. This study was supported by the National Natural Science Foundation of China (Grant Nos. 41576183 and 41376124) and NSF Grant ANT 0739575.</t>
  </si>
  <si>
    <t>0048-9697</t>
  </si>
  <si>
    <t>1879-1026</t>
  </si>
  <si>
    <t>SCI TOTAL ENVIRON</t>
  </si>
  <si>
    <t>Sci. Total Environ.</t>
  </si>
  <si>
    <t>10.1016/j.scitotenv.2016.02.053</t>
  </si>
  <si>
    <t>DI0XN</t>
  </si>
  <si>
    <t>WOS:000373220700047</t>
  </si>
  <si>
    <t>Petkov, BH; Láska, K; Vitale, V; Lanconelli, C; Lupi, A; Mazzola, M; Budíková, M</t>
  </si>
  <si>
    <t>Petkov, Boyan H.; Laska, Kamil; Vitale, Vito; Lanconelli, Christian; Lupi, Angelo; Mazzola, Mauro; Budikova, Marie</t>
  </si>
  <si>
    <t>Variability in solar irradiance observed at two contrasting Antarctic sites</t>
  </si>
  <si>
    <t>ATMOSPHERIC RESEARCH</t>
  </si>
  <si>
    <t>Solar irradiance in Antarctica; Environmental effect on solar radiation; Ozone column; Radiation amplification factor</t>
  </si>
  <si>
    <t>GROUND-BASED MEASUREMENTS; UV-RADIATION; SNOW COVER; OZONE; STATION; BEHAVIOR; NETWORK</t>
  </si>
  <si>
    <t>The features of erythemally weighted (EW) and short-wave downwelling (SWD) solar irradiances, observed during the spring-summer months of 2007-2011 at Johann Gregor Mendel (63 degrees 48'S, 57 degrees 53'W, 7 m a.s.I.) and Dome Concordia (75 degrees 06'S, 123 degrees 21'E, 3233 m a.s.l.) stations, placed at the Antarctic coastal region and on the interior plateau respectively, have been analysed and compared to each other. The EW and SWD spectral components have been presented by the corresponding daily integrated values and were examined taking into account the different geographic positions and different environmental conditions at both sites. The results indicate that at Mendel station the surface solar irradiance is strongly affected by the changes in the cloud cover, aerosols and albedo that cause a decrease in EW between 20% and 35%, and from 0% to 50% in SWD component, which contributions are slightly lower than the seasonal SWD variations evaluated to be about 71%. On the contrary, the changes in the cloud cover features at Concordia station produce only a 5% reduction of the solar irradiance, whilst the seasonal oscillations of 94% turn out to be the predominant mode. The present analysis leads to the conclusion that the variations in the ozone column cause an average decrease of about 46% in EW irradiance with respect to the value found in the case of minimum ozone content at each of the stations. In addition, the ratio between EW and SWD spectral components can be used to achieve a realistic assessment of the radiation amplification factor that quantifies the relationship between the atmospheric ozone and the surface UV irradiance. (C) 2016 Elsevier B.V. All rights reserved.</t>
  </si>
  <si>
    <t>[Petkov, Boyan H.; Vitale, Vito; Lanconelli, Christian; Lupi, Angelo; Mazzola, Mauro] Italian Natl Res Council CNR, Inst Atmospher Sci &amp; Climate ISAC, Bologna, Italy; [Laska, Kamil] Masaryk Univ, Fac Sci, Dept Geog, CS-61137 Brno, Czech Republic; [Budikova, Marie] Masaryk Univ, Fac Sci, Dept Math &amp; Stat, CS-61137 Brno, Czech Republic</t>
  </si>
  <si>
    <t>Consiglio Nazionale delle Ricerche (CNR); Istituto di Scienze dell'Atmosfera e del Clima (ISAC-CNR); Istituto di Neuroscienze (IN-CNR); Masaryk University Brno; Masaryk University Brno</t>
  </si>
  <si>
    <t>Petkov, BH (corresponding author), Italian Natl Res Council CNR, Inst Atmospher Sci &amp; Climate ISAC, Bologna, Italy.</t>
  </si>
  <si>
    <t>b.petkov@isac.cnr.it</t>
  </si>
  <si>
    <t>vitale, vito/AAW-8441-2021; Lanconelli, Christian/Q-5848-2018; Laska, Kamil/L-7875-2013; Budíková, Marie/AAF-5455-2019; Mazzola, Mauro/K-9376-2016</t>
  </si>
  <si>
    <t>Lanconelli, Christian/0000-0002-9545-1255; Laska, Kamil/0000-0002-5199-9737; Budíková, Marie/0000-0002-2748-6480; Mazzola, Mauro/0000-0002-8394-2292; vitale, vito/0000-0003-0978-8976; Petkov, Boyan/0000-0002-8328-340X; lupi, angelo/0000-0002-5009-9876</t>
  </si>
  <si>
    <t>Italian programme PNRA (Progetto Nazionale di Ricerche in Antartide); Implementation of the BSRN station at Dome Concordia [2004/2.04]; project of Masaryk University Global environmental changes in time and space (GlobST) [MUNI/A/1370/2014]</t>
  </si>
  <si>
    <t>Italian programme PNRA (Progetto Nazionale di Ricerche in Antartide); Implementation of the BSRN station at Dome Concordia; project of Masaryk University Global environmental changes in time and space (GlobST)</t>
  </si>
  <si>
    <t>This research was supported by the Italian programme PNRA (Progetto Nazionale di Ricerche in Antartide) and developed as a part of the subproject 2004/2.04 Implementation of the BSRN station at Dome Concordia. The contribution of Kamil Laska has been supported by the project of Masaryk University MUNI/A/1370/2014 Global environmental changes in time and space (GlobST). The authors would like to thank the Czech Antarctic Research Infrastructure and the crew of the Johann Gregor Mendel and Dome Concordia stations between 2007 and 2011 for the extensive technical support and field assistance. We also thank the OMI science team for providing the ozone column data used in this study, which are available from NASA GSFC FFP website ftp://jwocky.gsfc.nasa.gov/pub/omi/data/overpass/. The OMI surface reflectivity and AIRS cloud data products were obtained from the NASA Goddard Earth Sciences Data and Information Services Center (at http://giovanni.gsfc.nasa.gov).</t>
  </si>
  <si>
    <t>ELSEVIER SCIENCE INC</t>
  </si>
  <si>
    <t>STE 800, 230 PARK AVE, NEW YORK, NY 10169 USA</t>
  </si>
  <si>
    <t>0169-8095</t>
  </si>
  <si>
    <t>1873-2895</t>
  </si>
  <si>
    <t>ATMOS RES</t>
  </si>
  <si>
    <t>Atmos. Res.</t>
  </si>
  <si>
    <t>10.1016/j.atmosres.2016.01.005</t>
  </si>
  <si>
    <t>DF8ZY</t>
  </si>
  <si>
    <t>WOS:000371651200013</t>
  </si>
  <si>
    <t>Abe, K; Fuke, H; Haino, S; Hams, T; Hasegawa, M; Horikoshi, A; Itazaki, A; Kim, KC; Kumazawa, T; Kusumoto, A; Lee, MH; Makida, Y; Matsuda, S; Matsukawa, Y; Matsumoto, K; Mitchell, JW; Myers, Z; Nishimura, J; Nozaki, M; Orito, R; Ormes, JF; Picot-Clemente, N; Sakai, K; Sasaki, M; Seo, ES; Shikaze, Y; Shinoda, R; Streitmatter, E; Suzuki, J; Takasugi, Y; Takeuchi, K; Tanaka, K; Thakur, N; Yamagami, T; Yamamoto, A; Yoshida, T; Yoshimura, K</t>
  </si>
  <si>
    <t>Abe, K.; Fuke, H.; Haino, S.; Hams, T.; Hasegawa, M.; Horikoshi, A.; Itazaki, A.; Kim, K. C.; Kumazawa, T.; Kusumoto, A.; Lee, M. H.; Makida, Y.; Matsuda, S.; Matsukawa, Y.; Matsumoto, K.; Mitchell, J. W.; Myers, Z.; Nishimura, J.; Nozaki, M.; Orito, R.; Ormes, J. F.; Picot-Clemente, N.; Sakai, K.; Sasaki, M.; Seo, E. S.; Shikaze, Y.; Shinoda, R.; Streitmatter, E.; Suzuki, J.; Takasugi, Y.; Takeuchi, K.; Tanaka, K.; Thakur, N.; Yamagami, T.; Yamamoto, A.; Yoshida, T.; Yoshimura, K.</t>
  </si>
  <si>
    <t>MEASUREMENTS OF COSMIC-RAY PROTON AND HELIUM SPECTRA FROM THE BESS-POLAR LONG-DURATION BALLOON FLIGHTS OVER ANTARCTICA</t>
  </si>
  <si>
    <t>ASTROPHYSICAL JOURNAL</t>
  </si>
  <si>
    <t>astroparticle physics; cosmic rays</t>
  </si>
  <si>
    <t>COSMOLOGICAL ANTIMATTER; SPECTROMETER; PAMELA; SEARCH</t>
  </si>
  <si>
    <t>The BESS-Polar Collaboration measured the energy spectra of cosmic-ray protons and helium during two long-duration balloon flights over Antarctica in 2004 December and 2007 December at substantially different levels of solar modulation. Proton and helium spectra probe the origin and propagation history of cosmic rays in the galaxy, and are essential to calculations of the expected spectra of cosmic-ray antiprotons, positrons, and electrons from interactions of primary cosmic-ray nuclei with the interstellar gas, and to calculations of atmospheric muons and neutrinos. We report absolute spectra at the top of the atmosphere for cosmic-ray protons in the kinetic energy range 0.2-160 GeV and helium nuclei in the range 0.15-80 GeV/nucleon. The corresponding magnetic-rigidity ranges are 0.6-160 GV for protons and 1.1-160 GV for helium. These spectra are compared to measurements from previous BESS flights and from ATIC-2, PAMELA, and AMS-02. We also report the ratio of the proton and helium fluxes from 1.1 to 160 GV and compare this to the ratios from PAMELA and AMS-02.</t>
  </si>
  <si>
    <t>[Abe, K.; Itazaki, A.; Kusumoto, A.; Matsukawa, Y.; Orito, R.; Shikaze, Y.; Takasugi, Y.; Takeuchi, K.] Kobe Univ, Kobe, Hyogo 6578501, Japan; [Fuke, H.; Yamagami, T.; Yoshida, T.] Japan Aerosp Explorat Agcy ISAS JAXA, Inst Space &amp; Astronaut Sci, Sagamihara, Kanagawa 2525210, Japan; [Haino, S.; Hasegawa, M.; Horikoshi, A.; Kumazawa, T.; Makida, Y.; Matsuda, S.; Matsumoto, K.; Nozaki, M.; Suzuki, J.; Tanaka, K.; Yamamoto, A.] High Energy Accelerator Res Org, KEK, Tsukuba, Ibaraki 3050801, Japan; [Hams, T.; Mitchell, J. W.; Sakai, K.; Sasaki, M.; Streitmatter, E.; Thakur, N.] NASA, Goddard Space Flight Ctr, Greenbelt, MD 20771 USA; [Kim, K. C.; Lee, M. H.; Myers, Z.; Picot-Clemente, N.; Seo, E. S.] Univ Maryland, IPST, College Pk, MD 20742 USA; [Nishimura, J.; Shinoda, R.] Univ Tokyo, Bunkyo Ku, Tokyo 1130033, Japan; [Ormes, J. F.] Univ Denver, Denver, CO 80208 USA; [Yoshimura, K.] Okayama Univ, Okayama, Okayama 7000082, Japan; [Abe, K.] Univ Tokyo, ICRR, Kamioka Observ, Gifu 5061205, Japan; [Haino, S.] Acad Sinica, Inst Phys, Taipei 11529, Taiwan; [Hams, T.; Sakai, K.] Univ Maryland, CRESST, Baltimore, MD 21250 USA; [Orito, R.] Univ Tokushima, Tokushima, Tokushima 7708502, Japan; [Sasaki, M.] Univ Maryland, CRESST, College Pk, MD 20742 USA</t>
  </si>
  <si>
    <t>Kobe University; Japan Aerospace Exploration Agency (JAXA); Institute of Space &amp; Astronautical Science (ISAS); High Energy Accelerator Research Organization (KEK); National Aeronautics &amp; Space Administration (NASA); NASA Goddard Space Flight Center; University System of Maryland; University of Maryland College Park; University of Tokyo; University of Denver; Okayama University; University of Tokyo; Academia Sinica - Taiwan; University System of Maryland; University of Maryland Baltimore; Tokushima University; University System of Maryland; University of Maryland College Park</t>
  </si>
  <si>
    <t>Abe, K (corresponding author), Kobe Univ, Kobe, Hyogo 6578501, Japan.</t>
  </si>
  <si>
    <t>Yamamoto, Akira/AAC-1635-2022; , ES/AAN-2324-2020; Haino, Sadakazu/AAP-8315-2021; Koji, Yoshimura/J-9154-2018; Lee, Moo Hyun/AAK-4266-2020</t>
  </si>
  <si>
    <t>Lee, Moo Hyun/0000-0002-4082-1677; Yoshida, Tetsuya/0000-0003-0553-0150; MAKIDA, Yasuhiro/0000-0003-3638-9970; Picot-Clemente, Nicolas/0009-0006-3034-7832; HASEGAWA, MASAYA/0000-0003-1443-1082; Nozaki, Mitsuaki/0000-0001-7834-9614; Seo, Eun-Suk/0000-0001-8682-805X</t>
  </si>
  <si>
    <t>MEXT-JSPS; NASA; CSBF; NSF USAP</t>
  </si>
  <si>
    <t>MEXT-JSPS(Ministry of Education, Culture, Sports, Science and Technology, Japan (MEXT)Japan Society for the Promotion of Science); NASA(National Aeronautics &amp; Space Administration (NASA)); CSBF; NSF USAP</t>
  </si>
  <si>
    <t>The BESS-Polar program is a Japan-United States collaboration, supported in Japan by the Grant-in-Aid KAKENHI for Specially Promoted and Basic Researches, MEXT-JSPS, and in the United States by NASA. Balloon flight operations were carried out by the NASA Columbia Scientific Balloon (CSBF) Facility and the National Science Foundation United States Antarctic Program (USAP). We express our sincere thanks for the financial support and encouragement of both national agencies and the continuous and professional support of the technical and administrative staffs of the collaborating institutions and of CSBF and NSF USAP.</t>
  </si>
  <si>
    <t>IOP PUBLISHING LTD</t>
  </si>
  <si>
    <t>BRISTOL</t>
  </si>
  <si>
    <t>TEMPLE CIRCUS, TEMPLE WAY, BRISTOL BS1 6BE, ENGLAND</t>
  </si>
  <si>
    <t>0004-637X</t>
  </si>
  <si>
    <t>1538-4357</t>
  </si>
  <si>
    <t>ASTROPHYS J</t>
  </si>
  <si>
    <t>Astrophys. J.</t>
  </si>
  <si>
    <t>MAY 10</t>
  </si>
  <si>
    <t>10.3847/0004-637X/822/2/65</t>
  </si>
  <si>
    <t>DN6RZ</t>
  </si>
  <si>
    <t>Green Published, Green Submitted, Green Accepted, Bronze</t>
  </si>
  <si>
    <t>WOS:000377204900008</t>
  </si>
  <si>
    <t>Reisinger, RR; Gröcke, DR; Lübcker, N; McClymont, EL; Hoelzel, AR; de Bruyn, PJN</t>
  </si>
  <si>
    <t>Reisinger, Ryan R.; Groecke, Darren R.; Luebcker, Nico; McClymont, Erin L.; Hoelzel, A. Rus; de Bruyn, P. J. Nico</t>
  </si>
  <si>
    <t>Variation in the diet of killer whales Orcinus orca at Marion Island, Southern Ocean</t>
  </si>
  <si>
    <t>Predator; Stable isotopes; Carbon; delta C-13; Nitrogen; delta N-15; Foraging; Trophic level</t>
  </si>
  <si>
    <t>PERSISTENT ORGANIC POLLUTANTS; ISOTOPE TURNOVER RATES; STABLE-ISOTOPE; DISCRIMINATION FACTORS; CHEMICAL TRACERS; DELTA-C-13; DELTA-N-15; CARBON; FRACTIONATION; SKIN</t>
  </si>
  <si>
    <t>Diet seems to be a key factor driving diversity and isolation among killer whale populations. Killer whales at Marion Island, Southern Ocean, have been observed preying on seals and penguins but are also know to depredate Patagonian toothfish from longline fishing vessels. However, their diet is poorly known especially when they occur offshore. We analysed carbon and nitrogen stable isotope ratios in 32 skin samples collected from 24 killer whales belonging to 8 social units. Adult males showed higher delta N-15 values than adult females or subadults, indicating that they occupy a higher relative trophic level. There were no significant differences in delta C-13 among social units, but delta N-15 differed significantly and 2 individuals from social units which have been observed depredating Patagonian toothfish had higher delta N-15 values. The inshore presence of killer whales at Marion Island was a significant predictor of delta C-13 values, but not of delta N-15 values. This suggests some foraging north of Marion Island, potentially on lower trophic level prey. We also analysed tissue samples from seal, penguin and Patagonian toothfish prey and used available values for Antarctic fur seals. Results show that killer whales around Marion Island are apex predators, but that they do not feed exclusively on other high trophic level predators such as elephant seals, fur seals, and Patagonian toothfish. Killer whales had delta N-15 values similar to those of Pata gonian toothfish and adult male elephant seals, implying that the diet of killer whales at Marion Island includes some lower trophic level prey such as cephalopods or fishes.</t>
  </si>
  <si>
    <t>[Reisinger, Ryan R.; Luebcker, Nico; de Bruyn, P. J. Nico] Univ Pretoria, Mammal Res Inst, Dept Zool &amp; Entomol, Private Bag X20, ZA-0028 Pretoria, South Africa; [Groecke, Darren R.] Univ Durham, Dept Earth Sci, S Rd, Durham DH1 3LE, England; [McClymont, Erin L.] Univ Durham, Dept Geog, S Rd, Durham DH1 3LE, England; [Hoelzel, A. Rus] Univ Durham, Sch Biol &amp; Biomed Sci, S Rd, Durham DH1 3LE, England; [Reisinger, Ryan R.] Nelson Mandela Metropolitan Univ, Dept Zool, POB 77000, ZA-6031 Port Elizabeth, South Africa</t>
  </si>
  <si>
    <t>University of Pretoria; Durham University; Durham University; Durham University; Nelson Mandela University</t>
  </si>
  <si>
    <t>Reisinger, RR (corresponding author), Univ Pretoria, Mammal Res Inst, Dept Zool &amp; Entomol, Private Bag X20, ZA-0028 Pretoria, South Africa.;Reisinger, RR (corresponding author), Nelson Mandela Metropolitan Univ, Dept Zool, POB 77000, ZA-6031 Port Elizabeth, South Africa.</t>
  </si>
  <si>
    <t>ryan.r.reisinger@gmail.com</t>
  </si>
  <si>
    <t>McClymont, Erin L/K-2153-2012; McClymont, Erin/AAX-3657-2020; de Bruyn, P. J. Nico/E-4176-2010; Reisinger, Ryan R/D-6151-2014; McClymont, Erin/AAX-3567-2020; Lubcker, Nico/I-7622-2019; Grocke, Darren R./F-4799-2015</t>
  </si>
  <si>
    <t>McClymont, Erin L/0000-0003-1562-8768; McClymont, Erin/0000-0003-1562-8768; de Bruyn, P. J. Nico/0000-0002-9114-9569; Reisinger, Ryan R/0000-0002-8933-6875; McClymont, Erin/0000-0003-1562-8768; Lubcker, Nico/0000-0001-7141-6669; Grocke, Darren R./0000-0003-2296-7530</t>
  </si>
  <si>
    <t>National Research Foundation's (NRF) Thuthuka and South African National Antarctic programmes; South African Department of Science and Technology through the NRF; Mohamed bin Zayed Species Conservation Fund [10251290]; International Whaling Commission's Southern Ocean Research Partnership</t>
  </si>
  <si>
    <t>National Research Foundation's (NRF) Thuthuka and South African National Antarctic programmes; South African Department of Science and Technology through the NRF; Mohamed bin Zayed Species Conservation Fund; International Whaling Commission's Southern Ocean Research Partnership</t>
  </si>
  <si>
    <t>Tagging and biopsy sampling was approved by the University of Pretoria's Ethics Committee (EC023-10) and permitted by the Prince Edward Islands Management Committee (PEIMC 17/12, 1/2013 and 1/2014). Penguin blood samples were provided by Jacob GonzalezSolis and toothfish samples by Chris Heinecken. Andrea Walters provided Antarctic fur seal data and Graham Worthy provided data from Browning et al. (2014). Field assistants from the University of Pretoria's Mammal Research Institute collected seal samples and we particularly thank Dawn Cory-Toussaint and Chris Oosthuizen for their assistance with killer whale biopsy sampling and photo identification. Martin West, Amanda Hayton and Jess Bownes assisted us in the laboratory. Yves Cherel and Maelle Connan provided valuable comments and advice on our methods and analyses and the responsible editor, Conor Ryan, and 2 anonymous reviewers made useful comments which improved this manuscript. Funding was provided by the National Research Foundation's (NRF) Thuthuka and South African National Antarctic programmes, the South African Department of Science and Technology through the NRF, the Mohamed bin Zayed Species Conservation Fund (Project number: 10251290) and the International Whaling Commission's Southern Ocean Research Partnership. The Department of Environmental Affairs provided logistical support at Marion Island.</t>
  </si>
  <si>
    <t>10.3354/meps11676</t>
  </si>
  <si>
    <t>DM5GR</t>
  </si>
  <si>
    <t>WOS:000376376200020</t>
  </si>
  <si>
    <t>Rayner, MJ; Carlile, N; Priddel, D; Bretagnolle, V; Miller, MGR; Phillips, RA; Ranjard, L; Bury, SJ; Torres, LG</t>
  </si>
  <si>
    <t>Rayner, M. J.; Carlile, N.; Priddel, D.; Bretagnolle, V.; Miller, M. G. R.; Phillips, R. A.; Ranjard, L.; Bury, S. J.; Torres, L. G.</t>
  </si>
  <si>
    <t>Niche partitioning by three Pterodroma petrel species during non-breeding in the equatorial Pacific Ocean</t>
  </si>
  <si>
    <t>Species distribution models; Stable isotope analysis; Niche; Foraging ecology; Seabirds; Tropical Pacific</t>
  </si>
  <si>
    <t>EASTERN TROPICAL PACIFIC; BOOSTED REGRESSION TREES; NEW-SOUTH-WALES; STABLE-ISOTOPES; HABITAT PREFERENCES; LEUCOPTERA-LEUCOPTERA; ROUND DISTRIBUTION; NEW-ZEALAND; SEABIRDS; MIGRATION</t>
  </si>
  <si>
    <t>Niche divergence is expected for species that compete for shared resources, including migrants that occupy similar regions during the non-breeding season. Studies of temperate seabirds indicate that both spatial and behavioural segregation can be important mechanisms for reducing competition, but there have been few investigations of resource partitioning by closely related taxa in low productivity, tropical environments. We investigated niche partitioning in 3 gadfly petrel taxa, Pterodroma leucoptera leucoptera (n = 22), P. leucoptera caledonica (n = 7) and P. pycrofti (n = 12), during their non-breeding season in the eastern tropical Pacific Ocean by combining tracking data from geolocator-immersion loggers with remotely sensed environmental data in species distribution models (SDMs), and by comparing feather stable isotope ratios. The 3 taxa showed spatial partitioning: two foraged in the North Equatorial Counter Current and one in the South Equatorial Current. This reflected differences in their realised habitat niches, with significant taxon-specific responses to thermocline depth, sea surface temperature and bathymetry. There were also differences among taxa in activity patterns, and all birds spent a much larger proportion of time in flight at night than during the day, suggesting predominance of nocturnal foraging behaviour. Comparison of stable isotope ratios in feathers suggests that P. l. leucoptera and P. pycrofti mainly consume vertically migrating mesopelagic fishes, whereas the diet of P. l. caledonica also includes some lower trophic levels including crustaceans and squid. Unique insights can be gained from studies of the foraging ecology of tropical pelagic seabirds, in comparison with temperate and polar waters, and are urgently required for understanding and protecting tropical avifauna in key marine habitats.</t>
  </si>
  <si>
    <t>[Rayner, M. J.] Auckland Museum, Private Bag 92018, Auckland 1141, New Zealand; [Rayner, M. J.] Univ Auckland, Sch Biol Sci, 3A Symonds St,PB 92019, Auckland 1, New Zealand; [Carlile, N.; Priddel, D.] Off Environm &amp; Heritage, POB 1967, Hurstville, NSW 2220, Australia; [Bretagnolle, V.] Ctr Etud Biol Chize, CNRS, F-79360 Beauvoir Sur Niort, France; [Miller, M. G. R.] James Cook Univ, Ctr Trop Environm &amp; Sustainabil Sci, POB 6811, Cairns, Qld 4870, Australia; [Phillips, R. A.] British Antarctic Survey, NERC, Madingley Rd, Cambridge CB3 0ET, England; [Ranjard, L.] Australian Natl Univ, Res Sch Biol, GPO Box 4, Canberra, ACT 0200, Australia; [Bury, S. J.] Natl Inst Water &amp; Atmospher Res, Private Bag 14-901, Wellington 6011, New Zealand; [Torres, L. G.] Oregon State Univ, Hatfield Marine Sci Ctr, Marine Mammal Inst, Newport, OR 97365 USA; [Torres, L. G.] Oregon State Univ, Hatfield Marine Sci Ctr, Dept Fisheries &amp; Wildlife, Newport, OR 97365 USA</t>
  </si>
  <si>
    <t>University of Auckland; Office of Environment &amp; Heritage - New South Wales; Centre National de la Recherche Scientifique (CNRS); James Cook University; UK Research &amp; Innovation (UKRI); Natural Environment Research Council (NERC); NERC British Antarctic Survey; Australian National University; National Institute of Water &amp; Atmospheric Research (NIWA) - New Zealand; Oregon State University; Oregon State University</t>
  </si>
  <si>
    <t>Rayner, MJ (corresponding author), Auckland Museum, Private Bag 92018, Auckland 1141, New Zealand.;Rayner, MJ (corresponding author), Univ Auckland, Sch Biol Sci, 3A Symonds St,PB 92019, Auckland 1, New Zealand.</t>
  </si>
  <si>
    <t>mrayner@aucklandmuseum.com</t>
  </si>
  <si>
    <t>Bury, Sarah/JLN-0810-2023; Ranjard, Louis/M-4525-2015</t>
  </si>
  <si>
    <t>Ranjard, Louis/0000-0002-7622-4823; Miller, Mark/0000-0003-3690-5576; Rayner, Matt/0000-0002-1168-6699</t>
  </si>
  <si>
    <t>Ministry of Research Science and Technology post-doctoral fellowship; Wendy Rayner; Natural Environment Research Council [bas0100035] Funding Source: researchfish; NERC [bas0100035] Funding Source: UKRI</t>
  </si>
  <si>
    <t>Ministry of Research Science and Technology post-doctoral fellowship; Wendy Rayner; Natural Environment Research Council(UK Research &amp; Innovation (UKRI)Natural Environment Research Council (NERC)); NERC(UK Research &amp; Innovation (UKRI)Natural Environment Research Council (NERC))</t>
  </si>
  <si>
    <t>We thank Todd Dennis and New Zealand Department of Conservation Staff Graeme Taylor, Rodd Chappell and Shane McInnes for assistance with fieldwork, and Craig Donovan (Waters Edge Charters) for boat transportation. We thank Nick Sard for assisting with plots in R, and Julie Brown and Anna Kilimnik at the National Institute of Water &amp; Atmospheric Research New Zealand for analysing the stable isotope samples. M.J.R. was supported by a Ministry of Research Science and Technology post-doctoral fellowship during the completion of this research and acknowledges the support of Wendy Rayner during its completion. This paper is dedicated to the memory of 'field legend' Mr Vince Vaanders (23/03/1970-18/08/2013).</t>
  </si>
  <si>
    <t>10.3354/meps11707</t>
  </si>
  <si>
    <t>WOS:000376376200017</t>
  </si>
  <si>
    <t>Oloo, F; Valverde, A; Quiroga, MV; Vikram, S; Cowan, D; Mataloni, G</t>
  </si>
  <si>
    <t>Oloo, Felix; Valverde, Angel; Victoria Quiroga, Maria; Vikram, Surendra; Cowan, Don; Mataloni, Gabriela</t>
  </si>
  <si>
    <t>Habitat heterogeneity and connectivity shape microbial communities in South American peatlands</t>
  </si>
  <si>
    <t>BACTERIAL DIVERSITY; METHANE OXIDATION; SPHAGNUM MOSSES; BETA-DIVERSITY; PATTERNS; BOG; MECHANISMS; SUCCESSION; DISPERSAL; GRADIENTS</t>
  </si>
  <si>
    <t>Bacteria play critical roles in peatland ecosystems. However, very little is known of how habitat heterogeneity affects the structure of the bacterial communities in these ecosystems. Here, we used amplicon sequencing of the 16S rRNA and nifH genes to investigate phylogenetic diversity and bacterial community composition in three different sub-Antarctic peat bog aquatic habitats: Sphagnum magellanicum interstitial water, and water from vegetated and non-vegetated pools. Total and putative nitrogen-fixing bacterial communities from Sphagnum interstitial water differed significantly from vegetated and non-vegetated pool communities (which were colonized by the same bacterial populations), probably as a result of differences in water chemistry and biotic interactions. Total bacterial communities from pools contained typically aquatic taxa, and were more dissimilar in composition and less species rich than those from Sphagnum interstitial waters (which were enriched in taxa typically from soils), probably reflecting the reduced connectivity between the former habitats. These results show that bacterial communities in peatland water habitats are highly diverse and structured by multiple concurrent factors.</t>
  </si>
  <si>
    <t>[Oloo, Felix; Valverde, Angel; Vikram, Surendra; Cowan, Don] Univ Pretoria, Dept Genet, Ctr Microbial Ecol &amp; Genom, ZA-0002 Pretoria, South Africa; [Victoria Quiroga, Maria] Univ Nacl San Martin, Consejo Nacl Invest Cient &amp; Tecn, Inst Invest Biotecnol, Inst Tecnol Chascomus IIB INTECH, Buenos Aires, DF, Argentina; [Mataloni, Gabriela] Univ Nacl San Martin, Inst Invest &amp; Ingn Ambiental, Buenos Aires, DF, Argentina</t>
  </si>
  <si>
    <t>University of Pretoria; Consejo Nacional de Investigaciones Cientificas y Tecnicas (CONICET)</t>
  </si>
  <si>
    <t>Valverde, A (corresponding author), Univ Pretoria, Dept Genet, Ctr Microbial Ecol &amp; Genom, ZA-0002 Pretoria, South Africa.</t>
  </si>
  <si>
    <t>angel.valverde@up.ac.za</t>
  </si>
  <si>
    <t>Quiroga, Maria Victoria/JUV-5976-2023; Cowan, Donald A/E-3991-2012; Valverde, Angel/C-1308-2009</t>
  </si>
  <si>
    <t>Quiroga, Maria Victoria/0000-0002-6223-334X; Cowan, Donald A/0000-0001-8059-861X; Mataloni, Gabriela/0000-0002-6852-6143; Vikram, Surendra/0000-0002-4721-2890; Valverde, Angel/0000-0003-0439-9605</t>
  </si>
  <si>
    <t>Genomics Research Institute (University of Pretoria, SA); ANPCyT (Argentina) [PICT 2012-0529]</t>
  </si>
  <si>
    <t>Genomics Research Institute (University of Pretoria, SA); ANPCyT (Argentina)(ANPCyT)</t>
  </si>
  <si>
    <t>Financial support was provided by the Genomics Research Institute (University of Pretoria, SA) and the ANPCyT (Argentina) through PICT 2012-0529. We thank the Direccion Provincial de Recursos Hidricos de Tierra del Fuego and the Centro Austral de Investigaciones Cientificas (CADIC-CONICET) for logistic support.</t>
  </si>
  <si>
    <t>10.1038/srep25712</t>
  </si>
  <si>
    <t>DL2UD</t>
  </si>
  <si>
    <t>Green Submitted, Green Published, gold</t>
  </si>
  <si>
    <t>WOS:000375489800002</t>
  </si>
  <si>
    <t>Han, SR; Lee, JH; Kang, S; Park, H; Oh, TJ</t>
  </si>
  <si>
    <t>Han, So-Ra; Lee, Joo-Ho; Kang, Seunghyun; Park, Hyun; Oh, Tae-Jin</t>
  </si>
  <si>
    <t>Complete genome sequence of opine-utilizing Variovorax sp strain PAMC28711 isolated from an Antarctic lichen</t>
  </si>
  <si>
    <t>Variovorax sp PAMC28711; Complete genome sequence; Opine; Octopine; Antarctica lichen Himantormia sp.</t>
  </si>
  <si>
    <t>CATABOLISM</t>
  </si>
  <si>
    <t>We report the complete genome sequence of Variovorax sp. strain PAMC28711 isolated from the Antarctic lichen Himantormia sp. Whole genome sequencing revealed opine oxidase- and octopine dehydrogenase-related gene clusters that are involved in octopine utilization. These data will lead to future genetic and biochemical studies on the unusual catabolic traits of opine and octopine utilization in extremely cold environments. (C) 2016 Elsevier B.V. All rights reserved.</t>
  </si>
  <si>
    <t>[Han, So-Ra; Lee, Joo-Ho; Oh, Tae-Jin] SunMoon Univ, Dept BT Convergent Pharmaceut Engn, 100 Kalsan Ri, Asan 31460, Chungnam, South Korea; [Kang, Seunghyun; Park, Hyun] Korea Polar Res Inst KOPRI, 213-3 Songdo Dong, Inchon 21990, South Korea; [Park, Hyun] Univ Sci &amp; Technol, Polar Sci, Daejeon 34113, South Korea</t>
  </si>
  <si>
    <t>Lee, Joo Ho/AAS-2614-2021</t>
  </si>
  <si>
    <t>Lee, Joo Ho/0000-0001-7307-7744</t>
  </si>
  <si>
    <t>Antarctic organisms: Cold-Adaptation Mechanisms and its application grant - Korea Polar Research Institute [PE16070]</t>
  </si>
  <si>
    <t>Antarctic organisms: Cold-Adaptation Mechanisms and its application grant - Korea Polar Research Institute</t>
  </si>
  <si>
    <t>This work was supported by the Antarctic organisms: Cold-Adaptation Mechanisms and its application grant (PE16070) funded by the Korea Polar Research Institute.</t>
  </si>
  <si>
    <t>10.1016/j.jbiotec.2016.03.042</t>
  </si>
  <si>
    <t>DI5TH</t>
  </si>
  <si>
    <t>WOS:000373562100008</t>
  </si>
  <si>
    <t>Boast, W</t>
  </si>
  <si>
    <t>Boast, Will</t>
  </si>
  <si>
    <t>ICE DIARIES An Antarctic Memoir</t>
  </si>
  <si>
    <t>NEW YORK TIMES BOOK REVIEW</t>
  </si>
  <si>
    <t>Book Review</t>
  </si>
  <si>
    <t>NEW YORK TIMES</t>
  </si>
  <si>
    <t>620 8TH AVE, NEW YORK, NY 10018 USA</t>
  </si>
  <si>
    <t>0028-7806</t>
  </si>
  <si>
    <t>NY TIMES BK REV</t>
  </si>
  <si>
    <t>N. Y. Times Book Rev.</t>
  </si>
  <si>
    <t>MAY 8</t>
  </si>
  <si>
    <t>Humanities, Multidisciplinary</t>
  </si>
  <si>
    <t>Arts &amp; Humanities Citation Index (A&amp;HCI)</t>
  </si>
  <si>
    <t>Arts &amp; Humanities - Other Topics</t>
  </si>
  <si>
    <t>DL1CH</t>
  </si>
  <si>
    <t>WOS:000375369100048</t>
  </si>
  <si>
    <t>Plaza, DO; Gallardo, C; Straub, YD; Bravo, D; Pérez-Donoso, JM</t>
  </si>
  <si>
    <t>Plaza, D. O.; Gallardo, C.; Straub, Y. D.; Bravo, D.; Perez-Donoso, J. M.</t>
  </si>
  <si>
    <t>Biological synthesis of fluorescent nanoparticles by cadmium and tellurite resistant Antarctic bacteria: exploring novel natural nanofactories</t>
  </si>
  <si>
    <t>MICROBIAL CELL FACTORIES</t>
  </si>
  <si>
    <t>Fluorescent nanoparticles; Quantum dots; Green synthesis; Antarctica; Bacteria; Heavy metals</t>
  </si>
  <si>
    <t>QUANTUM DOTS; METAL NANOPARTICLES; OXIDATIVE STRESS; LOW-TEMPERATURE; BIOSYNTHESIS; GLUTATHIONE; HETEROSTRUCTURES; IDENTIFICATION; TOXICITY; SEQUENCE</t>
  </si>
  <si>
    <t>Background: Fluorescent nanoparticles or quantum dots (QDs) have been intensely studied for basic and applied research due to their unique size-dependent properties. There is an increasing interest in developing ecofriendly methods to synthesize these nanoparticles since they improve biocompatibility and avoid the generation of toxic byproducts. The use of biological systems, particularly prokaryotes, has emerged as a promising alternative. Recent studies indicate that QDs biosynthesis is related to factors such as cellular redox status and antioxidant defenses. Based on this, the mixture of extreme conditions of Antarctica would allow the development of natural QDs producing bacteria. Results: In this study we isolated and characterized cadmium and tellurite resistant Antarctic bacteria capable of synthesizing CdS and CdTe QDs when exposed to these oxidizing heavy metals. A time dependent change in fluorescence emission color, moving from green to red, was determined on bacterial cells exposed to metals. Biosynthesis was observed in cells grown at different temperatures and high metal concentrations. Electron microscopy analysis of treated cells revealed nanometric electron-dense elements and structures resembling membrane vesicles mostly associated to periplasmic space. Purified biosynthesized QDs displayed broad absorption and emission spectra characteristic of biogenic Cd nanoparticles. Conclusions: Our work presents a novel and simple biological approach to produce QDs at room temperature by using heavy metal resistant Antarctic bacteria, highlighting the unique properties of these microorganisms as potent natural producers of nano-scale materials and promising candidates for bioremediation purposes.</t>
  </si>
  <si>
    <t>[Plaza, D. O.; Gallardo, C.; Straub, Y. D.; Perez-Donoso, J. M.] Univ Andres Bello, Fac Ciencias Biol, CBIB, BioNanotechnol &amp; Microbiol Lab, Republ 239, Santiago, Chile; [Plaza, D. O.] Univ Chile, Fac Ciencias Quim &amp; Farmaceut, Sergio Livingstone Pohlhammer 1007, Santiago, Chile; [Bravo, D.] Univ Chile, Fac Odontol, Lab Microbiol Oral, Sergio Livingstone Pohlhammer 943, Santiago, Chile</t>
  </si>
  <si>
    <t>Universidad Andres Bello; Universidad de Chile; Universidad de Chile</t>
  </si>
  <si>
    <t>Pérez-Donoso, JM (corresponding author), Univ Andres Bello, Fac Ciencias Biol, CBIB, BioNanotechnol &amp; Microbiol Lab, Republ 239, Santiago, Chile.</t>
  </si>
  <si>
    <t>jose.perez@unab.cl</t>
  </si>
  <si>
    <t>Pérez-Donoso, José M./G-3668-2013</t>
  </si>
  <si>
    <t>Pérez-Donoso, José M./0000-0002-9506-1716; Gallardo Benavente, Carla/0000-0001-7293-517X</t>
  </si>
  <si>
    <t>Fondecyt [1151255, 11110076]; Anillo ACT [1111, 1107]; INACH Grant [T_19-11, MG_01-13]; Programa de Formacion de Capital Humano Avanzado de CONICYT</t>
  </si>
  <si>
    <t>Fondecyt(Comision Nacional de Investigacion Cientifica y Tecnologica (CONICYT)CONICYT FONDECYT); Anillo ACT(Comision Nacional de Investigacion Cientifica y Tecnologica (CONICYT)CONICYT PIA/ANILLOS); INACH Grant; Programa de Formacion de Capital Humano Avanzado de CONICYT</t>
  </si>
  <si>
    <t>This work was supported by Fondecyt 1151255 (J. M. P.), 11110076 (D.B.), Anillo ACT 1111 and 1107 (D. B. and J. M. P.), and INACH Grant T_19-11 (J. M. P. and D. B.). D. O. Plaza gratefully acknowledges support from Programa de Formacion de Capital Humano Avanzado de CONICYT for graduate fellowship and INACH Grant MG_01-13. The authors are also grateful for the valuable contribution of N. Bruna, F. Vega, G. Ulloa and F. Venegas. Finally, we thank Alejandro Munizaga and staff from the Catholic University of Chile for their support on Electron Microscopy facilities.</t>
  </si>
  <si>
    <t>1475-2859</t>
  </si>
  <si>
    <t>MICROB CELL FACT</t>
  </si>
  <si>
    <t>Microb. Cell. Fact.</t>
  </si>
  <si>
    <t>MAY 6</t>
  </si>
  <si>
    <t>10.1186/s12934-016-0477-8</t>
  </si>
  <si>
    <t>DL5DI</t>
  </si>
  <si>
    <t>gold, Green Published</t>
  </si>
  <si>
    <t>WOS:000375657100001</t>
  </si>
  <si>
    <t>Huovinen, P; Ramírez, J; Gómez, I</t>
  </si>
  <si>
    <t>Huovinen, Pirjo; Ramirez, Jaime; Gomez, Ivan</t>
  </si>
  <si>
    <t>Underwater Optics in Sub-Antarctic and Antarctic Coastal Ecosystems</t>
  </si>
  <si>
    <t>SOLAR ULTRAVIOLET-RADIATION; UV-B PENETRATION; SOUTHERN CHILE; COMAU FJORD; SPECTRAL ATTENUATION; PATAGONIAN FJORD; OZONE DEPLETION; ORGANIC-CARBON; LIGHT-FIELD; WATERS</t>
  </si>
  <si>
    <t>Understanding underwater optics in natural waters is essential in evaluating aquatic primary production and risk of UV exposure in aquatic habitats. Changing environmental conditions related with global climate change, which imply potential contrasting changes in underwater light climate further emphasize the need to gain insights into patterns related with underwater optics for more accurate future predictions. The present study evaluated penetration of solar radiation in six sub-Antarctic estuaries and fjords in Chilean North Patagonian region (39-44 degrees S) and in an Antarctic bay (62 degrees S). Based on vertical diffuse attenuation coefficients (K-d), derived from measurements with a submersible multichannel radiometer, average summer UV penetration depth (z(1%)) in these water bodies ranged 2-11 m for UV-B (313 nm), 4-27 m for UV-A (395 nm), and 7-30 m for PAR (euphotic zone). UV attenuation was strongest in the shallow Quempillen estuary, while Fildes Bay (Antarctica) exhibited the highest transparency. Optically non-homogeneous water layers and seasonal variation in transparency (lower in winter) characterized Comau Fjord and Puyuhuapi Channel. In general, multivariate analysis based on K-d values of UV and PAR wavelengths discriminated strongly Quempillen estuary and Puyuhuapi Channel from other study sites. Spatial (horizontal) variation within the estuary of Valdivia river reflected stronger attenuation in zones receiving river impact, while within Fildes Bay a lower spatial variation in water transparency could in general be related to closeness of glaciers, likely due to increased turbidity through ice-driven processes. Higher transparency and deeper UV-B penetration in proportion to UV-A/visible wavelengths observed in Fildes Bay suggests a higher risk for Antarctic ecosystems reflected by e.g. altered UV-B damage vs. photorepair under UV-A/PAR. Considering that damage repair processes often slow down under cool temperatures, adverse UV impact could be further exacerbated by cold temperatures in this location, together with episodes of ozone depletion. Overall, the results emphasize the marked spatial (horizontal and vertical) and temporal heterogeneity of optical characteristics, and challenges that these imply for estimations of underwater optics.</t>
  </si>
  <si>
    <t>[Huovinen, Pirjo; Ramirez, Jaime; Gomez, Ivan] Univ Austral Chile, Fac Ciencias, Inst Ciencias Marinas &amp; Limnol, Valdivia, Chile; [Huovinen, Pirjo; Gomez, Ivan] Ctr Fondap Invest Altas Latitudes IDEAL, Valdivia, Chile</t>
  </si>
  <si>
    <t>Universidad Austral de Chile</t>
  </si>
  <si>
    <t>Huovinen, P (corresponding author), Univ Austral Chile, Fac Ciencias, Inst Ciencias Marinas &amp; Limnol, Valdivia, Chile.;Huovinen, P (corresponding author), Ctr Fondap Invest Altas Latitudes IDEAL, Valdivia, Chile.</t>
  </si>
  <si>
    <t>pirjo.huovinen@uach.cl</t>
  </si>
  <si>
    <t>Gomez, Ivan/0000-0001-8381-3792; Huovinen, Pirjo/0000-0002-7754-4933</t>
  </si>
  <si>
    <t>Fondo Nacional de Desarrollo Cientifico y Tecnologico (FONDECYT-CONICYT) [1130582, 1130794]; Comision Nacional de Investigacion Cientifica y Tecnologica (CONICYT) [Anillo ART1101]; Conicyt [15150003]; [11]</t>
  </si>
  <si>
    <t>Fondo Nacional de Desarrollo Cientifico y Tecnologico (FONDECYT-CONICYT); Comision Nacional de Investigacion Cientifica y Tecnologica (CONICYT)(Comision Nacional de Investigacion Cientifica y Tecnologica (CONICYT)); Conicyt(Comision Nacional de Investigacion Cientifica y Tecnologica (CONICYT));</t>
  </si>
  <si>
    <t>This research was funded by the following grants to PH and IG: Grant # 1130582 and Grant # 1130794, Fondo Nacional de Desarrollo Cientifico y Tecnologico (FONDECYT-CONICYT) (www.conicyt.cl/fondecyt); Anillo ART1101, Comision Nacional de Investigacion Cientifica y Tecnologica (CONICYT) (http://www.conicyt.cl/pia). In addition, the data and manuscript processing was carried out in the frame of Centro Fondap-IDEAL (Grant 15150003) funded by Conicyt. The funders had no role in study design, data collection and analysis, decision to publish, or preparation of the manuscript.; The logistical support provided by the Instituto Antartico Chileno (INACh), the staff of Base Julio Escudero Station in the Antarctic and the staff of Huinay Scientific Station in Comau Fjord is greatly acknowledged. We also thank M. J. Diaz, P. Munoz and I. Garrido for their support and contribution in the raw data collection during several field campaigns. We are grateful for the two reviewers for their valuable comments, which substantially improved the manuscript. This is contribution # 11 of the Anillo ART1101 project.</t>
  </si>
  <si>
    <t>MAY 4</t>
  </si>
  <si>
    <t>e0154887</t>
  </si>
  <si>
    <t>10.1371/journal.pone.0154887</t>
  </si>
  <si>
    <t>DL5KR</t>
  </si>
  <si>
    <t>WOS:000375676400092</t>
  </si>
  <si>
    <t>Lu, QK; Huang, X; Liu, TT; Zhang, LP</t>
  </si>
  <si>
    <t>Lu, Qikai; Huang, Xin; Liu, Tingting; Zhang, Liangpei</t>
  </si>
  <si>
    <t>A structural similarity-based label-smoothing algorithm for the post-processing of land-cover classification</t>
  </si>
  <si>
    <t>REMOTE SENSING LETTERS</t>
  </si>
  <si>
    <t>Post-processing is able to achieve a satisfactory classification performance with a low cost and simple assumption, making it widely used in the refinement of classification maps. In this study, a novel structural similarity-based label-smoothing algorithm is developed for the post-processing of land-cover classification. Inspired by the non-local (NL) means algorithm, the proposed algorithm assigns different voting weights to the neighbouring pixels for the identification of the central pixel. Here, the voting weight of a specific neighbouring pixel depends on its structural similarity to the central pixel. In this paper, two measurements are proposed to evaluate the similarity between pixels: (1) a consistency criterion; and (2) a histogram similarity criterion. The proposed algorithm was tested on three remote-sensing images. The experimental results confirm that the proposed algorithm reduces the classification noise and preserves the detail and structural information at the same time. Compared to the traditional post-processing approaches (e.g., majority voting), the proposed algorithm exhibits a more satisfactory performance.</t>
  </si>
  <si>
    <t>[Lu, Qikai; Huang, Xin; Zhang, Liangpei] Wuhan Univ, State Key Lab Informat Engn Surveying Mapping &amp; R, Wuhan 430072, Peoples R China; [Lu, Qikai] Wuhan Univ, Elect Informat Sch, Wuhan 430072, Peoples R China; [Huang, Xin] Wuhan Univ, Sch Remote Sensing &amp; Informat Engn, Wuhan 430072, Peoples R China; [Liu, Tingting] Wuhan Univ, Chinese Antarctic Ctr Surveying &amp; Mapping, Wuhan 430072, Peoples R China</t>
  </si>
  <si>
    <t>Wuhan University; Wuhan University; Wuhan University; Wuhan University</t>
  </si>
  <si>
    <t>Huang, X (corresponding author), Wuhan Univ, Wuhan 430072, Peoples R China.</t>
  </si>
  <si>
    <t>huang_whu@163.com</t>
  </si>
  <si>
    <t>Liu, Tingting/HCH-2239-2022; Huang, Xin/C-8355-2014</t>
  </si>
  <si>
    <t>Huang, Xin/0000-0002-5625-0338</t>
  </si>
  <si>
    <t>National Natural Science Foundation of China [91338111]; China National Science Fund for Excellent Young Scholars [41522110]; Foundation for the Author of National Excellent Doctoral Dissertation of PR China (FANEDD) [201348]</t>
  </si>
  <si>
    <t>National Natural Science Foundation of China(National Natural Science Foundation of China (NSFC)); China National Science Fund for Excellent Young Scholars; Foundation for the Author of National Excellent Doctoral Dissertation of PR China (FANEDD)(Foundation for the Author of National Excellent Doctoral Dissertation of China)</t>
  </si>
  <si>
    <t>This work was supported by the National Natural Science Foundation of China under Grant 91338111, by China National Science Fund for Excellent Young Scholars under Grant 41522110, and by the Foundation for the Author of National Excellent Doctoral Dissertation of PR China (FANEDD) under Grant 201348.</t>
  </si>
  <si>
    <t>2150-704X</t>
  </si>
  <si>
    <t>2150-7058</t>
  </si>
  <si>
    <t>REMOTE SENS LETT</t>
  </si>
  <si>
    <t>Remote Sens. Lett.</t>
  </si>
  <si>
    <t>MAY 3</t>
  </si>
  <si>
    <t>10.1080/2150704X.2016.1149252</t>
  </si>
  <si>
    <t>Remote Sensing; Imaging Science &amp; Photographic Technology</t>
  </si>
  <si>
    <t>DE0KO</t>
  </si>
  <si>
    <t>WOS:000370314000004</t>
  </si>
  <si>
    <t>Lewis, AR; Ashworth, AC</t>
  </si>
  <si>
    <t>Lewis, Adam R.; Ashworth, Allan C.</t>
  </si>
  <si>
    <t>An early to middle Miocene record of ice-sheet and landscape evolution from the Friis Hills, Antarctica</t>
  </si>
  <si>
    <t>GEOLOGICAL SOCIETY OF AMERICA BULLETIN</t>
  </si>
  <si>
    <t>SOUTHERN VICTORIA LAND; SIRIUS GROUP SEDIMENTS; MCMURDO DRY VALLEYS; TRANSANTARCTIC MOUNTAINS; TAYLOR GLACIER; ROSS SEA; CENOZOIC CLIMATE; TABLE-MOUNTAIN; EXPOSURE AGES; HISTORY</t>
  </si>
  <si>
    <t>The Friis Hills (77 degrees 45'S,161 degrees 30'E), in the McMurdo Dry Valleys region, Antarctica, is a 1-km-high inselberg with early to middle Miocene-aged glacial deposits preserved on its upper surface. Lithology, sedimentology, and ice-flow direction define three units within a 34-m-thick sequence: the Friis I, Friis II, and Cavendish drifts. Tills in Friis I drift were deposited from alpine glaciers flowing to the SW. An extensive tephra bed in the drift is 19.76 +/- 0.11 Ma in age based on 40Ar/39Ar dating. Tills in Friis II drift were deposited from alpine glaciers flowing to the SE. Fossiliferous fluvial and lacustrine beds in the drift indicate that vegetation and insects repeatedly recolonized the Friis Hills during periods of reduced ice. The geographic distribution of modern descendants of the fossils specifies mean summer temperatures of 6-7 degrees C and precipitation as much as 3000 mm during these interglacial periods. The presence of fossils also indicates deposition of Friis II drift occurred before the mid-Miocene climate transition ca. 14.1 Ma. After this, eastward-flowing ice partially eroded the Friis I and II drifts. The ice also cut parallel troughs to the N and S, topographically isolating the Friis Hills. The Cavendish drift represents renewed deposition but from eastward-flowing outlet glaciers within the newly established troughs. Together, the Friis Hills drifts register multiple stages in the evolution of the East Antarctic cryosphere, including the general growth of the system, reorganizations of glacial drainage patterns, and periods of major downcutting. Importantly, they also provide constraints on terrestrial climate conditions during these stages. The Friis Hills record is the first that can be directly compared with shallow-marine records from the Ross Sea. The record also provides new constraints for paleoglaciological models of the early East Antarctic Ice Sheet. Based on lithologic and geomorphic arguments, the Friis Hills drifts are younger than nearby Sirius Group tillites, which predicates that the Sirius Group in the Dry Valleys region is at least early Miocene, or more probably, Oligocene in age.</t>
  </si>
  <si>
    <t>[Lewis, Adam R.; Ashworth, Allan C.] N Dakota State Univ, Dept Geosci, Fargo, ND 58108 USA</t>
  </si>
  <si>
    <t>North Dakota State University Fargo</t>
  </si>
  <si>
    <t>Lewis, AR; Ashworth, AC (corresponding author), N Dakota State Univ, Dept Geosci, Fargo, ND 58108 USA.</t>
  </si>
  <si>
    <t>adam.r.lewis.1@ndsu.edu; allan.ashworth@ndsu.edu</t>
  </si>
  <si>
    <t>National Science Foundation [0440761, 0739693]; Directorate For Geosciences; Division Of Polar Programs [0440761] Funding Source: National Science Foundation</t>
  </si>
  <si>
    <t>National Science Foundation(National Science Foundation (NSF)); Directorate For Geosciences; Division Of Polar Programs(National Science Foundation (NSF)NSF - Directorate for Geosciences (GEO))</t>
  </si>
  <si>
    <t>We are grateful to Noel Potter, Dickinson College, Pennsylvania, for directing our attention to the Friis Hills as a location where organic material might be interbedded with glacial deposits. His memory of brown fibers in sediment, and his intuition that they could be organics, turned out to be correct. We thank Sidney Hemming, Argon Geochronology for the Earth Sciences (AGES) laboratory, Lamont-Doherty Earth Observatory, Columbia University, for providing Ar-Ar analyses of volcanic ash samples. We are also grateful to J. Ian Raine (GNS Science, New Zealand) for providing a palynological analysis of Friis Hills fossiliferous beds. Alexander Smith provided sedimentological and geographic information system (GIS) analyses as part of his M.S. degree. For excellent assistance in the field, we thank Douglas Kowalewski, Andrew Podoll, Kelly Gorz, Spencer Salmon, Chad Crotty, and Michael Ginsbach. We also thank UNAVCO for providing global positioning system (GPS) and GIS support. Raytheon Polar Services and Petroleum Helicopters, Inc., provided efficient logistical support during four field seasons. We are also appreciative to Arjen Stroeven and to David Sugden for critically reviewing the manuscript. The research was supported by National Science Foundation OPP grants 0440761 and 0739693.</t>
  </si>
  <si>
    <t>GEOLOGICAL SOC AMER, INC</t>
  </si>
  <si>
    <t>BOULDER</t>
  </si>
  <si>
    <t>PO BOX 9140, BOULDER, CO 80301-9140 USA</t>
  </si>
  <si>
    <t>0016-7606</t>
  </si>
  <si>
    <t>1943-2674</t>
  </si>
  <si>
    <t>GEOL SOC AM BULL</t>
  </si>
  <si>
    <t>Geol. Soc. Am. Bull.</t>
  </si>
  <si>
    <t>MAY</t>
  </si>
  <si>
    <t>5-6</t>
  </si>
  <si>
    <t>10.1130/B31319.1</t>
  </si>
  <si>
    <t>DK8XJ</t>
  </si>
  <si>
    <t>WOS:000375212200002</t>
  </si>
  <si>
    <t>Daners, G; Guerstein, GR; Amenábar, CR; Morales, E</t>
  </si>
  <si>
    <t>Daners, Gloria; Raquel Guerstein, G.; Amenabar, Cecilia R.; Morales, Ethel</t>
  </si>
  <si>
    <t>MIDDLE TO UPPER EOCENE DINOFLAGELLATE CYSTS FROM PUNTADEL ESTE AND COLORADO BASINS, MID LATITUDE SOUTHWEST ATLANTIC OCEAN</t>
  </si>
  <si>
    <t>REVISTA BRASILEIRA DE PALEONTOLOGIA</t>
  </si>
  <si>
    <t>Spanish</t>
  </si>
  <si>
    <t>dinoflagellate cysts; Eocene; Punta del Este Basin; Colorado Basin; biostratigraphy; paleoceanography</t>
  </si>
  <si>
    <t>SANTA-CRUZ PROVINCE; SOUTHERN-OCEAN; DRAKE PASSAGE; CONTINENTAL-MARGIN; SCOTIA SEA; PALEOGENE; BIOSTRATIGRAPHY; ARGENTINA; EVOLUTION; PATAGONIA</t>
  </si>
  <si>
    <t>The analysis of middle Eocene dinoflagellate cyst assemblages from sites at Punta del Este (similar to 36 degrees S, Uruguay) and Colorado (similar to 38 degrees S, Argentina) basins allows to interpret ocean circulation patterns on the South American Shelf prior to the opening of the Drake Passage. The assemblages contain endemic-Antarctic taxa such as Enneadocysta, Defiandrea, Vozzhennikovia and Spinidinium, which are also dominant in several circum-Antarctic sites, located southern 45 degrees S. Enneadocysta dictyostila is the most abundant species recorded from the studied sites and the unique member of the endemic assemblage apparently tolerant to warm surface waters. The presence of endemic taxa at mid latitudes has been related to a strong clockwise subpolar gyre favoured by the partial continental blockage of the Tasmanian Gateways and the Drake Passage. The distribution of the dinoflagellate cyst assemblages along the South Atlantic Ocean Shelf can be explained by a similar dynamical mechanism induced by a cyclonic subpolar gyre on the South Atlantic Ocean. The western boundary current of this gyre, starting on the west Antarctic continental slope, would follow a similar path to the present Malvinas Current on the Patagonian slope, which introduce cold oceanic waters to the shelf and intensifies the northward shelf transport. In the same way, during the middle Eocene the western boundary current of a proto-Weddell Gyre transported the circum-Antarctic waters and the endemic taxa northward along the Southwestern Atlantic Shelf. The opening and deepening of the Tasmanian Gateway and Drake Passage and the development of an incipient Antarctic Circumpolar Current during the latest Eocene Oligocene disrupted the subpolar gyres and promoted the extinction of the endemic species.</t>
  </si>
  <si>
    <t>[Daners, Gloria] Univ Republica, Fac Ciencias, Inst Ciencias Geol, Dept Paleontol, Igua 4225, Montevideo 11400, Uruguay; [Raquel Guerstein, G.] Univ Nacl Sur, CONICET, Inst Geol Sur, Dept Geol, San Juan 670,B8000ICN, Bahia Blanca, Buenos Aires, Argentina; [Amenabar, Cecilia R.] Univ Buenos Aires, Inst Antartico Argentino, Inst Estudios Andinos Don Pablo Groeber, CONICET,Dept Ciencias Geol, Intendente Guiraldes 2160,C1428EGA, Buenos Aires, DF, Argentina; [Morales, Ethel] Univ Republica, Fac Ciencias, Inst Ciencias Geol, Dept Geol Sedimentaria &amp; Aplicada, Igua 4225, Montevideo 11400, Uruguay</t>
  </si>
  <si>
    <t>Universidad de la Republica, Uruguay; National University of the South; Consejo Nacional de Investigaciones Cientificas y Tecnicas (CONICET); Instituto Antartico Argentino; Consejo Nacional de Investigaciones Cientificas y Tecnicas (CONICET); University of Buenos Aires; Universidad de la Republica, Uruguay</t>
  </si>
  <si>
    <t>Daners, G (corresponding author), Univ Republica, Fac Ciencias, Inst Ciencias Geol, Dept Paleontol, Igua 4225, Montevideo 11400, Uruguay.</t>
  </si>
  <si>
    <t>glo@fcien.edu.uy; raquel.guerstein@uns.edu.ar; amenabar@gl.fcen.uba.ar; ethel@fcien.edu.uy</t>
  </si>
  <si>
    <t>SOC BRASILEIRA PALEONTOLOGIA</t>
  </si>
  <si>
    <t>SAO LEOPOLDO</t>
  </si>
  <si>
    <t>PPGEO UNISINOS, AV UNISINOS 950, SAO LEOPOLDO, RS 93022-000, BRAZIL</t>
  </si>
  <si>
    <t>1519-7530</t>
  </si>
  <si>
    <t>2236-1715</t>
  </si>
  <si>
    <t>REV BRAS PALEONTOLOG</t>
  </si>
  <si>
    <t>Rev. Bras. Paleontol.</t>
  </si>
  <si>
    <t>MAY-AUG</t>
  </si>
  <si>
    <t>10.4072/rbp.2016.2.11</t>
  </si>
  <si>
    <t>Paleontology</t>
  </si>
  <si>
    <t>DY9RD</t>
  </si>
  <si>
    <t>WOS:000385471900011</t>
  </si>
  <si>
    <t>Sykes, K</t>
  </si>
  <si>
    <t>Sykes, Katie</t>
  </si>
  <si>
    <t>The Appeal to Science and the Formation of Global Animal Law</t>
  </si>
  <si>
    <t>EUROPEAN JOURNAL OF INTERNATIONAL LAW</t>
  </si>
  <si>
    <t>This article critically examines the use of science in the formation of global animal law. It focuses on two international legal decisions that made a significant contribution to the development of global animal law in 2014: the report of the Appellate Body of the World Trade Organization (WTO) in EC - Seal Products, and the judgment of the International Court of Justice (ICJ) in Whaling in the Antarctic. The authority of science, and the interaction between scientific and juridical methods, lie at the heart of both of these decisions. In Whaling in the Antarctic, the ICJ ruled that Japan's whaling programme in the Southern Ocean is not 'for purposes of scientific research' within the meaning of the International Convention on the Regulation of Whaling. In EC - Seal Products, the WTO Appellate Body ruled that the European Union's ban on seal products was justifiable under Article XX(a) of the General Agreement on Tariffs and Trade as a matter of public morals because it was based on European citizens' moral objections to cruelty in seal hunting. Both cases, as well as the controversies over whaling and sealing that led up to them, illustrate the persuasive power of the 'appeal to science', enlisting scientific objectivity and rigour to underpin the credibility of legal arguments. At the same time, both judgments vindicate the final authority of jurists to determine questions of justice and confirm that such questions cannot be simply outsourced to science. The article analyses the way science is used in the reasoning of both tribunals and finds that both decisions appropriately distinguish between the roles of scientific and legal reasoning. It concludes by proposing, following the direction suggested by Judge Canado Trindade's separate opinion in Whaling in the Antarctic, that the basis of international obligations towards animals is to be found not so much in scientific evidence as in our shared humanity and ethical conscience.</t>
  </si>
  <si>
    <t>[Sykes, Katie] Thompson Rivers Univ, Fac Law, Kamloops, BC, Canada</t>
  </si>
  <si>
    <t>Sykes, K (corresponding author), Thompson Rivers Univ, Fac Law, Kamloops, BC, Canada.</t>
  </si>
  <si>
    <t>csykes@tru.ca</t>
  </si>
  <si>
    <t>Sykes, Katie/0000-0002-1172-7825</t>
  </si>
  <si>
    <t>0938-5428</t>
  </si>
  <si>
    <t>1464-3596</t>
  </si>
  <si>
    <t>EUR J INT LAW</t>
  </si>
  <si>
    <t>Eur. J. Int. Law</t>
  </si>
  <si>
    <t>10.1093/ejil/chw013</t>
  </si>
  <si>
    <t>International Relations; Law</t>
  </si>
  <si>
    <t>International Relations; Government &amp; Law</t>
  </si>
  <si>
    <t>DV7ZG</t>
  </si>
  <si>
    <t>WOS:000383156700012</t>
  </si>
  <si>
    <t>Wiese, DN; Killett, E; Watkins, MM; Yuan, DN</t>
  </si>
  <si>
    <t>Wiese, D. N.; Killett, E.; Watkins, M. M.; Yuan, D. -N.</t>
  </si>
  <si>
    <t>Antarctic tides from GRACE satellite accelerations</t>
  </si>
  <si>
    <t>RUTFORD ICE STREAM; OCEAN TIDES; CLIMATE EXPERIMENT; GRAVITY RECOVERY; SHELF; FIELDS; FLOW</t>
  </si>
  <si>
    <t>The extended length of the GRACE data time series (now 13.5 years) provides the unique opportunity to estimate global mass variations due to ocean tides at large (similar to 300 km) spatial scales. State-of-the-art global tide models rely heavily on satellite altimetry data, which are sparse for latitudes higher than 66 degrees. Thus, the performance of the models is typically worse at higher latitudes. GRACE data, alternately, extend to polar latitudes and therefore provide information for both model validation and improvement at the higher latitudes. In this work, 11 years of GRACE inter-satellite range-acceleration measurements are inverted to solve for corrections to the amplitudes and phases of the major solar and lunar ocean tidal constituents (M-2, K-1, S-2, and O-1) from the GOT4.7 ocean tide model at latitudes south of 50 degrees S. Two independent inversion and regularization methods are employed and compared against one another. Uncertainty estimates are derived by subtracting two independent solutions, each spanning a unique 5.5 years of data. Features above the noise floor in the derived solutions likely represent errors in GOT4.7. We find the GOT4.7 amplitudes to be generally too small for M-2 and K1, and too large for S-2 and O-1, and to spatially correlate with geographic regions where GOT4.7 predicts the largest tidal amplitudes. In particular, we find GOT4.7 errors to be dominant over the Patagonia shelf (M-2), the Filchner-Ronne Ice Shelf (M-2 and S-2), the Ross Ice Shelf (S2), and the Weddell and Ross Seas (K-1 and O-1).</t>
  </si>
  <si>
    <t>[Wiese, D. N.; Yuan, D. -N.] CALTECH, Jet Prop Lab, Pasadena, CA 91125 USA; [Watkins, M. M.] Univ Texas Austin, Ctr Space Res, Austin, TX 78712 USA</t>
  </si>
  <si>
    <t>California Institute of Technology; National Aeronautics &amp; Space Administration (NASA); NASA Jet Propulsion Laboratory (JPL); University of Texas System; University of Texas Austin</t>
  </si>
  <si>
    <t>Wiese, DN (corresponding author), CALTECH, Jet Prop Lab, Pasadena, CA 91125 USA.</t>
  </si>
  <si>
    <t>david.n.wiese@jpl.nasa.gov</t>
  </si>
  <si>
    <t>National Aeronautics and Space Administration</t>
  </si>
  <si>
    <t>National Aeronautics and Space Administration(National Aeronautics &amp; Space Administration (NASA))</t>
  </si>
  <si>
    <t>We wish to thank Richard Ray for sharing the GOT 4.7 code and model and for constructive conversations related to this work. We also thank Sung Byun and Da Kuang for processing the GRACE acceleration data and Victor Zlotnicki for many enlightening conversations. We thank Laurence Padman and two anonymous reviewers for extremely constructive comments regarding this manuscript to bring it to its present form. This work was performed at the Jet Propulsion Laboratory, California Institute of Technology, under contract with the National Aeronautics and Space Administration. Source code for the Gravitational Accelerations Inverter and Analyzer (GAIA) is available at http://bryankillett.com, and the GRACE L1B data used to derive these results are available at http://podaac.jpl.nasa.gov/dataset/GRACE L1B GRAV JPL RL02.</t>
  </si>
  <si>
    <t>10.1002/2015JC011488</t>
  </si>
  <si>
    <t>DW2IQ</t>
  </si>
  <si>
    <t>WOS:000383466500003</t>
  </si>
  <si>
    <t>Olason, E</t>
  </si>
  <si>
    <t>Olason, Einar</t>
  </si>
  <si>
    <t>A dynamical model of Kara Sea land-fast ice</t>
  </si>
  <si>
    <t>SHORE-FAST ICE; SATELLITE; FLOW; PARAMETERIZATION; VARIABILITY; STRENGTH; RHEOLOGY; POLYNYAS; CLIMATE; HOPPERS</t>
  </si>
  <si>
    <t>This paper introduces modifications to the traditional viscous-plastic sea-ice dynamical model, which are necessary to model land-fast ice in the Kara Sea in a realistic manner. The most important modifications are an increase in the maximum viscosity from the standard value of C-max = (2.5x10(8)s)P to zeta(max)=(10(13)5)P, and to use a solver for the momentum equation capable of correctly solving for small ice velocities (the limit here is set to 10(-4) m/s). Given these modifications, a necessary condition for a realistic fast-ice simulation is that the yield curve give sufficient uniaxial compressive strength. This is consistent with the idea that land-fast ice in the Kara Sea forms primarily via static arching. The modified model is tested and tuned using forcing data and observations from 1997 and 1998. The results show that it is possible to model land-fast ice using this model with the modifications mentioned above. The model performs well in terms of modeled fast-ice extent, but suffers from unrealistic break-ups during the start and end of the fast-ice season. The main results are that fast ice in the Kara Sea is supported by arching of the ice, the arches footers resting on a chain of islands off shore.</t>
  </si>
  <si>
    <t>[Olason, Einar] Max Planck Inst Meteorol, Hamburg, Germany; [Olason, Einar] Nansen Environm &amp; Remote Sensing Ctr, Bergen, Norway</t>
  </si>
  <si>
    <t>Max Planck Society; Nansen Environmental &amp; Remote Sensing Center (NERSC)</t>
  </si>
  <si>
    <t>Olason, E (corresponding author), Max Planck Inst Meteorol, Hamburg, Germany.;Olason, E (corresponding author), Nansen Environm &amp; Remote Sensing Ctr, Bergen, Norway.</t>
  </si>
  <si>
    <t>einar.olason@nersc.no</t>
  </si>
  <si>
    <t>Ólason, Elnar/AAY-1708-2021</t>
  </si>
  <si>
    <t>Ólason, Elnar/0000-0001-7911-5713</t>
  </si>
  <si>
    <t>DFG [HA 3166/2-1]</t>
  </si>
  <si>
    <t>DFG(German Research Foundation (DFG))</t>
  </si>
  <si>
    <t>The model development was financed by the DFG under HA 3166/2-1 STARBUG. Forcing data for the model were provided by the National Center for Environmental Prediction (NCEP), the National Center for Atmospheric Research (NCAR), the University Corporation for Atmospheric Research (UCAR), the Alfred Wagner Institute in Bremen, Ocean Atmosphere Systems GmbH in Hamburg, the Global Runoff Data Centre in Koblenz, the Arctic and Antarctic Research Institute (AARI), and the Integrated Climate Data Center in Hamburg, as listed in section 2.1. Source code and input files are available from the author at request (einar.olason@nersc.no). I would like to thank Ingo Harms, Lars Kaleshke and Jan Backhaus for their help with this project. I would also like to thank Bruno Tremblay for nudging me in the right direction and his continued interest, Dirk Notz for his support and help in preparing this manuscript, and Jackie Richter-Menge for some pointers on the measurements of viscous creep. Finally, I would like to thank Bruno Tremblay, Jean-Francois Lemieux, and Dany Dumont for their review of the manuscript which helped greatly improve the final paper.</t>
  </si>
  <si>
    <t>10.1002/2016JC011638</t>
  </si>
  <si>
    <t>WOS:000383466500018</t>
  </si>
  <si>
    <t>Rodriguez, AR; Mazloff, MR; Gille, ST</t>
  </si>
  <si>
    <t>Rodriguez, Angelica R.; Mazloff, Matthew R.; Gille, Sarah T.</t>
  </si>
  <si>
    <t>An oceanic heat transport pathway to the Amundsen Sea Embayment</t>
  </si>
  <si>
    <t>CIRCUMPOLAR DEEP-WATER; PINE ISLAND GLACIER; ANTARCTIC ICE-SHEET; WEST ANTARCTICA; SHELF; CIRCULATION; INFLOW; VARIABILITY; SENSITIVITY; STABILITY</t>
  </si>
  <si>
    <t>The Amundsen Sea Embayment (ASE) on the West Antarctic coastline has been identified as a region of accelerated glacial melting. A Southern Ocean State Estimate (SOSE) is analyzed over the 2005-2010 time period in the Amundsen Sea region. The SOSE oceanic heat budget reveals that the contribution of parameterized small-scale mixing to the heat content of the ASE waters is small compared to advection and local air-sea heat flux, both of which contribute significantly to the heat content of the ASE waters. Above the permanent pycnocline, the local air-sea flux dominates the heat budget and is controlled by seasonal changes in sea ice coverage. Overall, between 2005 and 2010, the model shows a net heating in the surface above the pycnocline within the ASE. Sea water below the permanent pycnocline is isolated from the influence of air-sea heat fluxes, and thus, the divergence of heat advection is the major contributor to increased oceanic heat content of these waters. Oceanic transport of mass and heat into the ASE is dominated by the cross-shelf input and is primarily geostrophic below the permanent pycnocline. Diagnosis of the time-mean SOSE vorticity budget along the continental shelf slope indicates that the cross-shelf transport is sustained by vorticity input from the localized wind-stress curl over the shelf break.</t>
  </si>
  <si>
    <t>[Rodriguez, Angelica R.; Mazloff, Matthew R.; Gille, Sarah T.] Univ Calif San Diego, Scripps Inst Oceanog, La Jolla, CA 92093 USA</t>
  </si>
  <si>
    <t>University of California System; University of California San Diego; Scripps Institution of Oceanography</t>
  </si>
  <si>
    <t>Rodriguez, AR (corresponding author), Univ Calif San Diego, Scripps Inst Oceanog, La Jolla, CA 92093 USA.</t>
  </si>
  <si>
    <t>arodrigu@ucsd.edu</t>
  </si>
  <si>
    <t>Mazloff, Matthew/AAG-6463-2019; Gille, Sarah T./B-3171-2012</t>
  </si>
  <si>
    <t>Mazloff, Matthew/0000-0002-1650-5850; Gille, Sarah/0000-0001-9144-4368; Rodriguez, Angelica/0000-0001-5022-772X</t>
  </si>
  <si>
    <t>National Science Foundation (NSF) Office of Polar Programs [ANT0961218]; NSF Division of Ocean Sciences [OCE-1234473]; NSF Scripps Institution of Oceanography Research Experience for Undergraduates [1062305]; National Oceanic and Atmospheric Administration [NA10OAR4310139]; NSF XSEDE [OCE130007]; Directorate For Geosciences; Division Of Ocean Sciences [1234473, 1062305] Funding Source: National Science Foundation; Directorate For Geosciences; Office of Polar Programs (OPP) [1425989] Funding Source: National Science Foundation</t>
  </si>
  <si>
    <t>National Science Foundation (NSF) Office of Polar Programs(National Science Foundation (NSF)); NSF Division of Ocean Sciences(National Science Foundation (NSF)); NSF Scripps Institution of Oceanography Research Experience for Undergraduates; National Oceanic and Atmospheric Administration(National Oceanic Atmospheric Admin (NOAA) - USA); NSF XSEDE(National Science Foundation (NSF)); Directorate For Geosciences; Division Of Ocean Sciences(National Science Foundation (NSF)NSF - Directorate for Geosciences (GEO)); Directorate For Geosciences; Office of Polar Programs (OPP)(National Science Foundation (NSF)NSF - Directorate for Geosciences (GEO))</t>
  </si>
  <si>
    <t>This work was supported by the National Science Foundation (NSF) Office of Polar Programs (grant ANT0961218), NSF Division of Ocean Sciences (grant OCE-1234473), NSF Scripps Institution of Oceanography Research Experience for Undergraduates (grant 1062305), and the National Oceanic and Atmospheric Administration (grant NA10OAR4310139). Computational resources for the SOSE were provided by NSF XSEDE resource grant OCE130007. The SOSE solution for the years 2005-2010, denoted iteration 100, is available from sose.ucsd.edu. The observations used for model validation are available from the NOAA National Ocean Data Center (http://www.nodc.noaa.gov/). The authors would like to thank Anna Wahlin, as well as an additional reviewer for their helpful comments and suggestions on an earlier submission of this manuscript.</t>
  </si>
  <si>
    <t>10.1002/2015JC011402</t>
  </si>
  <si>
    <t>WOS:000383466500030</t>
  </si>
  <si>
    <t>Menezes, VV; Phillips, HE; Vianna, ML; Bindoff, NL</t>
  </si>
  <si>
    <t>Menezes, Viviane V.; Phillips, Helen E.; Vianna, Marcio L.; Bindoff, Nathaniel L.</t>
  </si>
  <si>
    <t>Interannual variability of the South Indian Countercurrent</t>
  </si>
  <si>
    <t>TROPOSPHERIC BIENNIAL OSCILLATION; OCEAN DIPOLE; ATLANTIC OCEANS; ROSSBY WAVES; SURFACE; ENSO; REANALYSIS; IMPACT; MODEL; 20TH-CENTURY</t>
  </si>
  <si>
    <t>In the present work, we investigate the interannual variability of the South Indian Countercurrent (SICC), a major and still understudied current of the Indian Ocean circulation. To characterize the interannual variability of the SICC, four different data sets (altimetry, GLORYS, OFAM3, and SODA) are analyzed using multiple tools, which include Singular Spectrum Analysis and wavelet methods. The quasi-biennial band dominates the SICC low-frequency variance, with the main peak in the 1.5-1.8 year interval. A secondary peak (2.1-2.5 year) is only found in the western basin. Interannual and decadal-type modulations of the quasi-biennial signal are also identified. In addition, limitations of SODA before the 1960s in the SICC region are revealed. Within the quasi-biennial band, the SICC system presents two main patterns with a multiple jet structure. One pattern is characterized by a robust northern jet, while in the other the central jet is well developed and northern jet is weaker. In both patterns, the southern jet has always a strong signature. When the northern SICC jet is stronger, the northern cell of the subtropical gyre has a triangular shape, with its southern limb having a strong equatorward slant. The quasi-biennial variability of the SICC is probably related to the Indian Ocean tropical climate modes that are known to have a strong biennial characteristic.</t>
  </si>
  <si>
    <t>[Menezes, Viviane V.; Phillips, Helen E.; Bindoff, Nathaniel L.] Univ Tasmania, Inst Marine &amp; Antarctic Studies, Hobart, Tas, Australia; [Menezes, Viviane V.; Phillips, Helen E.; Bindoff, Nathaniel L.] ARC Ctr Excellence Climate Syst Sci, Hobart, Tas, Australia; [Menezes, Viviane V.] Woods Hole Oceanog Inst, Dept Phys Oceanog, Woods Hole, MA 02543 USA; [Vianna, Marcio L.] VM Ocean Ltda, Ocean Sci Div, Sao Paulo, Brazil; [Bindoff, Nathaniel L.] Ctr Australian Weather &amp; Climate Res, Hobart, Tas, Australia; [Bindoff, Nathaniel L.] CSIRO Wealth Oceans Flagship, Hobart, Tas, Australia; [Bindoff, Nathaniel L.] Antarctic Climate &amp; Ecosyst Cooperat Res Ctr, Hobart, Tas, Australia</t>
  </si>
  <si>
    <t>University of Tasmania; ARC Centre of Excellence for Climate System Science; Woods Hole Oceanographic Institution; Commonwealth Scientific &amp; Industrial Research Organisation (CSIRO); Commonwealth Scientific &amp; Industrial Research Organisation (CSIRO); Antarctic Climate &amp; Ecosystems Cooperative Research Centre (ACE CRC)</t>
  </si>
  <si>
    <t>Menezes, VV (corresponding author), Univ Tasmania, Inst Marine &amp; Antarctic Studies, Hobart, Tas, Australia.;Menezes, VV (corresponding author), ARC Ctr Excellence Climate Syst Sci, Hobart, Tas, Australia.;Menezes, VV (corresponding author), Woods Hole Oceanog Inst, Dept Phys Oceanog, Woods Hole, MA 02543 USA.</t>
  </si>
  <si>
    <t>vmenezes@whoi.edu</t>
  </si>
  <si>
    <t>Phillips, Helen/I-3761-2013; Bindoff, Nathaniel Lee/C-8050-2011; Bindoff, Nathaniel Lee/IVV-0333-2023; Menezes, Viviane/AAG-8235-2020</t>
  </si>
  <si>
    <t>Phillips, Helen/0000-0002-2941-7577; Bindoff, Nathaniel Lee/0000-0001-5662-9519; Bindoff, Nathaniel Lee/0000-0001-5662-9519; Menezes, Viviane/0000-0002-4885-2056</t>
  </si>
  <si>
    <t>CSIRO-UTAS QMS Write Up Scholarship; ARC [DP130102088]; NSF [OCE-091716 PI]; Ocean Science Division of VM Oceanica</t>
  </si>
  <si>
    <t>CSIRO-UTAS QMS Write Up Scholarship; ARC(Australian Research Council); NSF(National Science Foundation (NSF)); Ocean Science Division of VM Oceanica</t>
  </si>
  <si>
    <t>We wish to acknowledge use of the Ferret program (NOAA/PMEL) and NCL (http://dx.doi.org/10.5065/D6WD3XH5) for analysis and graphics in this paper, and the MATLAB wavelet toolbox made freely available by Christopher Torrence and Gilbert P. Compo (http://paos.colorado.edu/research/wavelets/). We are sincerely grateful to the providers of data used here. Thanks to PSMSL, OFAM3 (CSIRO Marine Laboratories), and SODA (U. Maryland and Texas A&amp;M University) teams for the data made available on the web. GLORYS reanalysis received support from INSU-CNRS, Mercator Ocean, Groupe Mission Mercator Coriolis, and the European Community's Seventh Framework Programm (MyOcean). The altimeter products were produced by Ssalto/Duacs and distributed by Aviso with support from CNES. Support for the Twentieth Century Reanalysis Project data set is provided by the U.S. Department of Energy, Office of Science Innovative and Novel Computational Impact on Theory and Experiment (DOE INCITE) program, and Office of Biological and Environmental Research (BER), and by the National Oceanic and Atmospheric Administration Climate Program Office. V.V.M. was supported by a CSIRO-UTAS QMS Write Up Scholarship. This paper is partially based on Chapter 5 of her PhD thesis. VVM also thanks Eric Oliver for discussions about the limitations of reanalysis products involving the South Indian Ocean, which was important to explain the large jump in the SODA data. N.L.B. and H.E.P. acknowledge the support of the ARC Discovery Project DP130102088 and NSF grant OCE-091716 PI. M.L.V. was supported by the Ocean Science Division of VM Oceanica. The data used in the present study can be obtained directly from the data providers. Last but not least, we would like to thank the two anonymous reviewers for their suggestions to improve the readability of the paper.</t>
  </si>
  <si>
    <t>10.1002/2015JC011417</t>
  </si>
  <si>
    <t>Bronze, Green Accepted, Green Published, Green Submitted</t>
  </si>
  <si>
    <t>WOS:000383466500039</t>
  </si>
  <si>
    <t>Bol'shiyanov, DY; Bakunov, NA; Makarov, AS</t>
  </si>
  <si>
    <t>Bol'shiyanov, D. Yu.; Bakunov, N. A.; Makarov, A. S.</t>
  </si>
  <si>
    <t>On 137Cs Migration in Water Systems of Eastern Fennoscandia</t>
  </si>
  <si>
    <t>WATER RESOURCES</t>
  </si>
  <si>
    <t>Cs-137; cumulative reserve; river; lake; export from a watershed; water purification</t>
  </si>
  <si>
    <t>The rate of natural removal of Cs-137 from water bodies in Eastern Fennoscandia is evaluated. The half-time T of water purification from global Cs-137 in lake-river systems was similar to 6.5 years and that for river systems was 6.5-10 years. For the 15- and 20-year exposure of Cs-137 in watershed soils, its annual input in rivers was 0.021-0.120 and 0.017-0.070% of its reserve. The period of May-December 1986 showed maximal export of Cs-137, i.e., 1.1% of its reserve. Cs-137 export into rivers decreased in the region from north to south because of changes in landscape and climate conditions that affect Cs-137 migration on watersheds.</t>
  </si>
  <si>
    <t>[Bol'shiyanov, D. Yu.; Bakunov, N. A.; Makarov, A. S.] Arctic &amp; Antarctic Res Inst, Ul Beringa 38, St Petersburg 199397, Russia</t>
  </si>
  <si>
    <t>Arctic &amp; Antarctic Research Institute</t>
  </si>
  <si>
    <t>Bol'shiyanov, DY (corresponding author), Arctic &amp; Antarctic Res Inst, Ul Beringa 38, St Petersburg 199397, Russia.</t>
  </si>
  <si>
    <t>bolshiyanov@aari.ru</t>
  </si>
  <si>
    <t>Bakunov, Nikolay/AAB-4832-2019</t>
  </si>
  <si>
    <t>MAIK NAUKA/INTERPERIODICA/SPRINGER</t>
  </si>
  <si>
    <t>233 SPRING ST, NEW YORK, NY 10013-1578 USA</t>
  </si>
  <si>
    <t>0097-8078</t>
  </si>
  <si>
    <t>1608-344X</t>
  </si>
  <si>
    <t>WATER RESOUR+</t>
  </si>
  <si>
    <t>Water Resour.</t>
  </si>
  <si>
    <t>10.1134/S0097807816030039</t>
  </si>
  <si>
    <t>Water Resources</t>
  </si>
  <si>
    <t>DX1QI</t>
  </si>
  <si>
    <t>WOS:000384141600012</t>
  </si>
  <si>
    <t>Luk'yanchenko, OO; Kostina, OV; Bouraou, NI; Kuz'ko, OV</t>
  </si>
  <si>
    <t>Luk'yanchenko, O. O.; Kostina, O. V.; Bouraou, N. I.; Kuz'ko, O. V.</t>
  </si>
  <si>
    <t>Investigation of Static and Dynamic Characteristics of Complex Thin-Walled Shell Structure with Cracks</t>
  </si>
  <si>
    <t>STRENGTH OF MATERIALS</t>
  </si>
  <si>
    <t>finite element method; nonlinear stability; thin-walled shell structure; crack; welded joint; natural vibrations</t>
  </si>
  <si>
    <t>A numerical approach to investigation of static and dynamic characteristics of fuel reservoir and surge-protection capacity with cracks in welded joints of their walls has been proposed. Mathematical modeling of the nonlinear behavior of the complex shell structure has been performed under the action of static vertical loading using the software complex of finite element analysis. The models of cracks with different length within vertical and horizontal welded joints of shell walls have been developed. The influence of cracks on the stress-strain state and stability of the fuel reservoir as well as the surge-protection capacity has been investigated. The dynamic characteristics of the structure have been determined, the influence of cracks on the frequencies and the modes of their natural vibrations has been evaluated.</t>
  </si>
  <si>
    <t>[Luk'yanchenko, O. O.; Kostina, O. V.] Kyiv Natl Univ Construct &amp; Architecture, Res Inst Struct Mech, Kiev, Ukraine; [Bouraou, N. I.] Natl Tech Univ Ukraine, Kyiv Polytech Inst, Kiev, Ukraine; [Kuz'ko, O. V.] Natl Antarctic Sci Ctr, Kiev, Ukraine</t>
  </si>
  <si>
    <t>Ministry of Education &amp; Science of Ukraine; Kyiv National University of Construction &amp; Architecture; Ministry of Education &amp; Science of Ukraine; Igor Sikorsky Kyiv Polytechnic Institute; Ministry of Education &amp; Science of Ukraine; State Institution National Antarctic Scientific Center</t>
  </si>
  <si>
    <t>Kostina, OV (corresponding author), Kyiv Natl Univ Construct &amp; Architecture, Res Inst Struct Mech, Kiev, Ukraine.</t>
  </si>
  <si>
    <t>kl0867@meta.ua</t>
  </si>
  <si>
    <t>Bouraou, Nadiia/AAJ-8902-2020; Kostina, Olena/JFJ-8439-2023; Kostina, Olena/ABF-6174-2021</t>
  </si>
  <si>
    <t>Kostina, Olena/0000-0002-6692-6231; Nadiia, Bouraou/0000-0001-6848-816X</t>
  </si>
  <si>
    <t>0039-2316</t>
  </si>
  <si>
    <t>1573-9325</t>
  </si>
  <si>
    <t>STRENGTH MATER+</t>
  </si>
  <si>
    <t>Strength Mater-Engl. Tr.</t>
  </si>
  <si>
    <t>10.1007/s11223-016-9778-8</t>
  </si>
  <si>
    <t>Materials Science, Characterization &amp; Testing</t>
  </si>
  <si>
    <t>Materials Science</t>
  </si>
  <si>
    <t>DU2BF</t>
  </si>
  <si>
    <t>WOS:000382014900010</t>
  </si>
  <si>
    <t>Koutnik, MR; Fudge, TJ; Conway, H; Waddington, ED; Neumann, TA; Cuffey, KM; Buizert, C; Taylor, KC</t>
  </si>
  <si>
    <t>Koutnik, Michelle R.; Fudge, T. J.; Conway, Howard; Waddington, Edwin D.; Neumann, Thomas A.; Cuffey, Kurt M.; Buizert, Christo; Taylor, Kendrick C.</t>
  </si>
  <si>
    <t>Holocene accumulation and ice flow near the West Antarctic Ice Sheet Divide ice core site</t>
  </si>
  <si>
    <t>JOURNAL OF GEOPHYSICAL RESEARCH-EARTH SURFACE</t>
  </si>
  <si>
    <t>PINE ISLAND GLACIER; CHRONOLOGY AICC2012; THWAITES GLACIER; SIPLE-DOME; SEA; VARIABILITY; GREENLAND; THICKNESS; COLLAPSE; STREAMS</t>
  </si>
  <si>
    <t>The West Antarctic Ice Sheet Divide Core (WDC) provided a high-resolution climate record from near the Ross-Amundsen Divide in Central West Antarctica. In addition, radar-detected internal layers in the vicinity of the WDC site have been dated directly from the ice core to provide spatial variations in the age structure of the region. Using these two data sets together, we first infer a high-resolution Holocene accumulation-rate history from 9.2 kyr of the ice-core timescale and then confirm that this climate history is consistent with internal layers upstream of the core site. Even though the WDC was drilled only 24 km from the modern ice divide, advection of ice from upstream must be taken into account. We evaluate histories of accumulation rate by using a flowband model to generate internal layers that we compare to observed layers. Results show that the centennially averaged accumulation rate was over 20% lower than modern at 9.2 kyr before present (B.P.), increased by 40% from 9.2 to 2.3 kyr B.P., and decreased by at least 10% over the past 2 kyr B.P. to the modern values; these Holocene accumulation-rate changes in Central West Antarctica are larger than changes inferred from East Antarctic ice-core records. Despite significant changes in accumulation rate, throughout the Holocene the regional accumulation pattern has likely remained similar to today, and the ice-divide position has likely remained on average within 5 km of its modern position. Continent-scale ice-sheet models used for reconstructions of West Antarctic ice volume should incorporate this accumulation history.</t>
  </si>
  <si>
    <t>[Koutnik, Michelle R.; Fudge, T. J.; Conway, Howard; Waddington, Edwin D.] Univ Washington, Dept Earth &amp; Space Sci, Seattle, WA 98195 USA; [Neumann, Thomas A.] NASA, Goddard Space Flight Ctr, Cryospher Sci Branch, Greenbelt, MD USA; [Cuffey, Kurt M.] Univ Calif Berkeley, Dept Geog, Berkeley, CA 94720 USA; [Buizert, Christo] Oregon State Univ, Coll Earth Ocean &amp; Atmospher Sci, Corvallis, OR 97331 USA; [Taylor, Kendrick C.] Nevada Syst Higher Educ, Desert Res Inst, Reno, NV USA</t>
  </si>
  <si>
    <t>University of Washington; University of Washington Seattle; National Aeronautics &amp; Space Administration (NASA); NASA Goddard Space Flight Center; University of California System; University of California Berkeley; Oregon State University; Nevada System of Higher Education (NSHE); Desert Research Institute NSHE</t>
  </si>
  <si>
    <t>Koutnik, MR (corresponding author), Univ Washington, Dept Earth &amp; Space Sci, Seattle, WA 98195 USA.</t>
  </si>
  <si>
    <t>mkoutnik@uw.edu</t>
  </si>
  <si>
    <t>Neumann, Thomas/JLL-4672-2023; Neumann, Thomas/D-5264-2012; Taylor, Kendrick/A-3469-2016</t>
  </si>
  <si>
    <t>Conway, Howard/0000-0003-4634-3474; Taylor, Kendrick/0000-0001-8535-1261; Fudge, Tyler/0000-0002-6818-7479</t>
  </si>
  <si>
    <t>National Science Foundation [OPP-0440666, ANT-0944197]; NASA IceBridge grant [NNX12AB74G]; NSF International Research Fellowship Program; NSF [1043518, 0539232, 0537661, 0230396, 0440817, 0944348, 0944266]; NASA Earth and Space Science Fellowship; Ice Drilling Program Office; Ice Drilling Design and Operations group; Directorate For Geosciences; Office of Polar Programs (OPP) [1043518, 0537661, 0944348, 0539232] Funding Source: National Science Foundation; NASA [NNX12AB74G, 30949] Funding Source: Federal RePORTER</t>
  </si>
  <si>
    <t>National Science Foundation(National Science Foundation (NSF)); NASA IceBridge grant; NSF International Research Fellowship Program(National Science Foundation (NSF)); NSF(National Science Foundation (NSF)); NASA Earth and Space Science Fellowship; Ice Drilling Program Office; Ice Drilling Design and Operations group; Directorate For Geosciences; Office of Polar Programs (OPP)(National Science Foundation (NSF)NSF - Directorate for Geosciences (GEO)); NASA(National Aeronautics &amp; Space Administration (NASA))</t>
  </si>
  <si>
    <t>This work would not have been possible without the collective effort of the WAIS Divide ice core community. National Science Foundation grants OPP-0440666 and ANT-0944197 and NASA IceBridge grant NNX12AB74G supported this work at the University of Washington, as well as an NSF International Research Fellowship Program award to M.R.K. C.B. was supported by NSF grant 1043518. K.M.C. was supported by NSF grants 0539232 and 0537661. This work was also supported by a NASA Earth and Space Science Fellowship to T.J.F. We acknowledge the WAIS Divide Science Coordination Office at the Desert Research Institute of Reno, Nevada, and University of New Hampshire for the collection and distribution of the WAIS Divide ice core and related tasks (NSF grants 0230396, 0440817, 0944348, and 0944266). The National Science Foundation Office of Polar Programs also funded the Ice Drilling Program Office and Ice Drilling Design and Operations group for coring activities, the National Ice Core Laboratory for curation of the core, Raytheon Polar Services for logistics support in Antarctica, and the 109th New York Air National Guard for airlift in Antarctica. We also thank UNAVCO, Raytheon Polar Services, Antarctic Support Contractor, and Kenn Borek Air for their logistical and field support. We thank K. Matsuoka for providing the layer-picking interface RadarGUI. All data for this paper are properly cited and referred to in the reference list. We thank Neil Ross and two anonymous reviewers for comments that improved the manuscript and helped us to refine the implications of this work. We thank Scientific Editor Bryn Hubbard for additional comments.</t>
  </si>
  <si>
    <t>2169-9003</t>
  </si>
  <si>
    <t>2169-9011</t>
  </si>
  <si>
    <t>J GEOPHYS RES-EARTH</t>
  </si>
  <si>
    <t>J. Geophys. Res.-Earth Surf.</t>
  </si>
  <si>
    <t>10.1002/2015JF003668</t>
  </si>
  <si>
    <t>DV0AQ</t>
  </si>
  <si>
    <t>WOS:000382580100006</t>
  </si>
  <si>
    <t>Yokokawa, M; Izumi, N; Naito, K; Parker, G; Yamada, T; Greve, R</t>
  </si>
  <si>
    <t>Yokokawa, M.; Izumi, N.; Naito, K.; Parker, G.; Yamada, T.; Greve, R.</t>
  </si>
  <si>
    <t>Cyclic steps on ice</t>
  </si>
  <si>
    <t>HEAT-FLUX; BED; OCEAN; FLOWS; WATER</t>
  </si>
  <si>
    <t>Boundary waves often form at the interface between ice and fluid flowing adjacent to it, such as ripples under river ice covers, and steps on the bed of supraglacial meltwater channels. They may also be formed by wind, such as the megadunes on the Antarctic ice sheet. Spiral troughs on the polar ice caps of Mars have been interpreted to be cyclic steps formed by katabatic wind blowing over ice. Cyclic steps are relatives of upstream-migrating antidunes. Cyclic step formation on ice is not only a mechanical but also a thermodynamic process. There have been very few studies on the formation of either cyclic steps or upstream-migrating antidunes on ice. In this study, we performed flume experiments to reproduce cyclic steps on ice by flowing water, and found that trains of steps form when the Froude number is larger than unity. The features of those steps allow them to be identified as ice-bed analogs of cyclic steps in alluvial and bedrock rivers. We performed a linear stability analysis and obtained a physical explanation of the formation of upstream-migrating antidunes, i.e., precursors of cyclic steps. We compared the results of experiments with the predictions of the analysis and found the observed steps fall in the range where the analysis predicts interfacial instability. We also found that short antidune-like undulations formed as a precursor to the appearance of well-defined steps. This fact suggests that such antidune-like undulations correspond to the instability predicted by the analysis and are precursors of cyclic steps.</t>
  </si>
  <si>
    <t>[Yokokawa, M.] Osaka Inst Technol, Fac Informat Sci, Hirakata, Osaka, Japan; [Izumi, N.; Yamada, T.] Hokkaido Univ, Fac Engn, Sapporo, Hokkaido, Japan; [Naito, K.] Univ Illinois, Dept Civil &amp; Environm Engn, Urbana, IL 61801 USA; [Parker, G.] Univ Illinois, Dept Geol, Dept Civil &amp; Environm Engn, Urbana, IL USA; [Greve, R.] Hokkaido Univ, Inst Low Temp Sci, Sapporo, Hokkaido, Japan</t>
  </si>
  <si>
    <t>Osaka Institute of Technology; Hokkaido University; University of Illinois System; University of Illinois Urbana-Champaign; University of Illinois System; University of Illinois Urbana-Champaign; Hokkaido University</t>
  </si>
  <si>
    <t>Yokokawa, M (corresponding author), Osaka Inst Technol, Fac Informat Sci, Hirakata, Osaka, Japan.</t>
  </si>
  <si>
    <t>miwa@is.oit.ac.jp</t>
  </si>
  <si>
    <t>; Greve, Ralf/G-2336-2010</t>
  </si>
  <si>
    <t>Naito, Kensuke/0000-0001-8683-0846; Greve, Ralf/0000-0002-1341-4777</t>
  </si>
  <si>
    <t>Institute of Low Temperature Science (ILTS), Hokkaido University [12-59]; JSPS [24654165]; Grants-in-Aid for Scientific Research [24654165, 25241005] Funding Source: KAKEN</t>
  </si>
  <si>
    <t>Institute of Low Temperature Science (ILTS), Hokkaido University; JSPS(Ministry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</si>
  <si>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The original photographs, some of which are used in this paper and the others were used to measure the wavelength and wave height of steps are available at http://sites.google.com/site/miwayokokawawebsite/open-data. This study was supported partly by the Grant for Joint Research Program of the Institute of Low Temperature Science (ILTS), Hokkaido University (proposal 12-59) and Grant-in-Aid for Challenging Exploratory Research (24654165) from JSPS. We offer our thanks to Isaac Smith, John W. Holt, and Wonsuck Kim for their valuable discussion. Hiroki Shimizu, Tadahiro Kitayama, Toru Batani, Shinya Yamamoto, Haruka Kuse, Kazunori Takahashi and the stuff of ILTS helped make this research possible. We also thank the editors, Giovanni Coco and Michel Louge, and the three reviewers, Carlo Camporeale, Matthieu Cartigny, and an anonymous reviewer, for their helpful guidance and suggestions.</t>
  </si>
  <si>
    <t>10.1002/2015JF003736</t>
  </si>
  <si>
    <t>WOS:000382580100012</t>
  </si>
  <si>
    <t>Purcell, A; Tregoning, P; Dehecq, A</t>
  </si>
  <si>
    <t>Purcell, A.; Tregoning, P.; Dehecq, A.</t>
  </si>
  <si>
    <t>An assessment of the ICE6G_C(VM5a) glacial isostatic adjustmentmodel</t>
  </si>
  <si>
    <t>JOURNAL OF GEOPHYSICAL RESEARCH-SOLID EARTH</t>
  </si>
  <si>
    <t>SEA-LEVEL CHANGE; ICE-AGE EARTH; LATERAL VISCOSITY VARIATIONS; MANTLE VISCOSITY; PLEISTOCENE DEGLACIATION; ROTATING EARTH; MODEL; RELAXATION; HISTORIES; INVERSION</t>
  </si>
  <si>
    <t>The recent release of the next-generation global ice history model, ICE6G_C(VM5a), is likely to be of interest to a wide range of disciplines including oceanography (sea level studies), space gravity (mass balance studies), glaciology, and, of course, geodynamics (Earth rheology studies). In this paper we make an assessment of some aspects of the ICE6G_C(VM5a) model and show that the published present-day radial uplift rates are too high along the eastern side of the Antarctic Peninsula (by similar to 8.6 mm/yr) and beneath the Ross Ice Shelf (by similar to 5 mm/yr). Furthermore, the published spherical harmonic coefficients-which are meant to represent the dimensionless present-day changes due to glacial isostatic adjustment (GIA)-contain excessive power for degree &gt;= 90, do not agree with physical expectations and do not represent accurately the ICE6G_C(VM5a) model. We show that the excessive power in the high-degree terms produces erroneous uplift rates when the empirical relationship of Purcell et al. (2011) is applied, but when correct Stokes coefficients are used, the empirical relationship produces excellent agreement with the fully rigorous computation of the radial velocity field, subject to the caveats first noted by Purcell et al. (2011). Using the Australian National University (ANU) groups CALSEA software package, we recompute the present-day GIA signal for the ice thickness history and Earth rheology used by Peltier et al. (2015) and provide dimensionless Stokes coefficients that can be used to correct satellite altimetry observations for GIA over oceans and by the space gravity community to separate GIA and present-day mass balance change signals. We denote the new data sets as ICE6G_ ANU.</t>
  </si>
  <si>
    <t>[Purcell, A.; Tregoning, P.; Dehecq, A.] Australian Natl Univ, Res Sch Earth Sci, Canberra, ACT, Australia; [Dehecq, A.] Polytech Annecy Chambery, Annecy Le Vieux, France</t>
  </si>
  <si>
    <t>Purcell, A (corresponding author), Australian Natl Univ, Res Sch Earth Sci, Canberra, ACT, Australia.</t>
  </si>
  <si>
    <t>Anthony.Purcell@anu.edu.au</t>
  </si>
  <si>
    <t>Tregoning, Paul/D-9283-2013; Dehecq, Amaury/ABD-3344-2020; Tregoning, Paul/N-4842-2018</t>
  </si>
  <si>
    <t>Tregoning, Paul/0000-0001-7192-5391; Dehecq, Amaury/0000-0002-5157-1183; Tregoning, Paul/0000-0001-7192-5391; Purcell, Anthony/0000-0001-5289-3902</t>
  </si>
  <si>
    <t>AuScope Ltd. under the National Collaborative Research Infrastructure Strategy (NCRIS), an Australian Commonwealth Government Programme</t>
  </si>
  <si>
    <t>AuScope Ltd. under the National Collaborative Research Infrastructure Strategy (NCRIS), an Australian Commonwealth Government Programme(Australian GovernmentDepartment of Industry, Innovation and Science)</t>
  </si>
  <si>
    <t>We thank W.R. Peltier for making the ice thickness history and gridded uplift rate values available for the ICE6G_C(VM5a) model and J.X. Mitrovica for providing rotational correction terms for ICE6G_C(VM5a). Figures were plotted using GMT Wessell and Smith [1998]. Calculations were performed on the Terrawulf cluster, a computational facility supported through the AuScope initiative. AuScope Ltd. is funded under the National Collaborative Research Infrastructure Strategy (NCRIS), an Australian Commonwealth Government Programme. We would also like to thank the two anonymous reviewers of this article for their constructive suggestions on its improvement. The data for this paper are available by contacting the corresponding author at anthony.purcell@anu.edu.au.</t>
  </si>
  <si>
    <t>2169-9313</t>
  </si>
  <si>
    <t>2169-9356</t>
  </si>
  <si>
    <t>J GEOPHYS RES-SOL EA</t>
  </si>
  <si>
    <t>J. Geophys. Res.-Solid Earth</t>
  </si>
  <si>
    <t>10.1002/2015JB012742</t>
  </si>
  <si>
    <t>DT6XA</t>
  </si>
  <si>
    <t>WOS:000381626900041</t>
  </si>
  <si>
    <t>Halford, AJ; McGregor, SL; Hudson, MK; Millan, RM; Kress, BT</t>
  </si>
  <si>
    <t>Halford, A. J.; McGregor, S. L.; Hudson, M. K.; Millan, R. M.; Kress, B. T.</t>
  </si>
  <si>
    <t>BARREL observations of a solar energetic electron and solar energetic proton event</t>
  </si>
  <si>
    <t>solar energetic protons; solar energetic electrons; BARREL; electron precipitation; proton precipitation; solar storm</t>
  </si>
  <si>
    <t>COSMIC-RAYS; JANUARY 6; PARTICLE; MAGNETOSPHERE; IMPACT; EARTH; ACCELERATION; SPECTRA; STORM</t>
  </si>
  <si>
    <t>During the second Balloon Array for Radiation Belt Relativistic Electron Losses (BARREL) campaign two solar energetic proton (SEP) events were observed. Although BARREL was designed to observe X-rays created during electron precipitation events, it is sensitive to X-rays from other sources. The gamma lines produced when energetic protons hit the upper atmosphere are used in this paper to study SEP events. During the second SEP event starting on 7 January 2014 and lasting approximate to 3days, which also had a solar energetic electron (SEE) event occurring simultaneously, BARREL had six payloads afloat spanning all magnetic local time (MLT) sectors and L values. Three payloads were in a tight array (approximate to 2h in MLT and approximate to 2 L) inside the inner magnetosphere and at times conjugate in both L and MLT with the Van Allen Probes (approximately once per day). The other three payloads mapped to higher L values with one payload on open field lines for the entire event, while the other two appear to be crossing from open to closed field lines. Using the observations of the SEE and SEP events, we are able to map the open-closed boundary. Halford et al. (2015) demonstrated how BARREL can monitor electron precipitation following an interplanetary shock created by a coronal mass ejection (ICME-shock) arrival at Earth, while in this study we look at the SEP event precursor to the arrival of the ICME-Shock in our cradle-to-grave view: from flare, to SEE and SEP events, to radiation belt electron precipitation.</t>
  </si>
  <si>
    <t>[Halford, A. J.; Hudson, M. K.; Millan, R. M.] Dartmouth Coll, Dept Phys &amp; Astron, Hanover, NH 03755 USA; [Halford, A. J.] NASA, Goddard Space Flight Ctr, Greenbelt, MD 20771 USA; [McGregor, S. L.] Keene State Coll, Dept Phys, Keene, NH USA; [Kress, B. T.] NOAA, Boulder, CO USA</t>
  </si>
  <si>
    <t>Dartmouth College; National Aeronautics &amp; Space Administration (NASA); NASA Goddard Space Flight Center; University System Of New Hampshire; Keene State College; National Oceanic Atmospheric Admin (NOAA) - USA</t>
  </si>
  <si>
    <t>Halford, AJ (corresponding author), Dartmouth Coll, Dept Phys &amp; Astron, Hanover, NH 03755 USA.;Halford, AJ (corresponding author), NASA, Goddard Space Flight Ctr, Greenbelt, MD 20771 USA.</t>
  </si>
  <si>
    <t>Alexa.J.Halford@Dartmouth.edu</t>
  </si>
  <si>
    <t>Halford, Alexa/AAH-2098-2019; Kress, Brian/ABH-2844-2021</t>
  </si>
  <si>
    <t>Halford, Alexa/0000-0002-5383-4602; McGregor, Sarah/0009-0007-0750-6337</t>
  </si>
  <si>
    <t>NASA [NNX15AF54G, NNX08AM58G, NAS5-01072]; NSF [AGS-1455470]; BARREL team; National Science Foundation (NSF); National Environmental Research Council (NERC)/British Antarctic Survey; South African National Antarctic Program (SANAP); JHU/APL [967399]; NASA [803888, NNX15AF54G, NNX08AM58G, 94485] Funding Source: Federal RePORTER</t>
  </si>
  <si>
    <t>NASA(National Aeronautics &amp; Space Administration (NASA)); NSF(National Science Foundation (NSF)); BARREL team; National Science Foundation (NSF)(National Science Foundation (NSF)); National Environmental Research Council (NERC)/British Antarctic Survey; South African National Antarctic Program (SANAP); JHU/APL; NASA(National Aeronautics &amp; Space Administration (NASA))</t>
  </si>
  <si>
    <t>The authors acknowledge NASA grants NNX15AF54G and NNX08AM58G and NSF grant AGS-1455470 and the BARREL team for use of BARREL data. The BARREL team would also like to acknowledge the National Science Foundation (NSF), the National Environmental Research Council (NERC)/British Antarctic Survey, and the South African National Antarctic Program (SANAP) for their support of the BARREL campaign. The BARREL data can be found at http://barreldata.ucsc.edu/data_products/v05/. The authors would like to thank Jeremy Faden and all of the developers of Autoplot. The REPT data were supported by RBSP-ECT funding provided by JHU/APL contract 967399 under NASA's Prime contract NAS5-01072. The authors would like to thank NOAA for the use of GOES data http://satdat.ngdc.noaa.gov/sem/goes/data/. We thank the ACE EPAM instrument team and the ACE Science Center for providing the ACE data. S. McGregor and A. Halford would like to give a special thanks to CISM for encouraging us to look at the larger Sun to Mud view and enabling us to form collaborations which led to this and other papers. We would like to thank BARREL team members and specifically Michael McCarthy and David Smith for their useful conversations. And last but not least, to Magritte's painting Ceci n'est pas une pipe for reminding us that this is not a subject pronoun. All other data used in this paper can be found on CDAweb.</t>
  </si>
  <si>
    <t>10.1002/2016JA022462</t>
  </si>
  <si>
    <t>DR6QD</t>
  </si>
  <si>
    <t>WOS:000380025500024</t>
  </si>
  <si>
    <t>Dunaev, NN</t>
  </si>
  <si>
    <t>Dunaev, N. N.</t>
  </si>
  <si>
    <t>Coasts of the South Georgia Microcontinent in the Solving Questions of the Holocene Eustasy</t>
  </si>
  <si>
    <t>OCEANOLOGY</t>
  </si>
  <si>
    <t>ANTARCTIC PENINSULA; SEA LEVELS; DEGLACIATION</t>
  </si>
  <si>
    <t>Data on the geological and geomorphological structure and morpholithodynamics of the northern coasts of the South Georgia microcontinent allowed us to conclude that the Holocene sea level in this region did not exceed its present-day level, which was reached no later than 1000 years ago during the sea level rise after the previous global glaciation epoch. Microcontinents as structural elements of the Earth's crust are favorable test areas for detailed study of the trends and rates of Holocene (including present-day) sea level fluctuations. This study exceeds the limits of regional research and will contribute to solving certain problems of global natural history.</t>
  </si>
  <si>
    <t>[Dunaev, N. N.] Russian Acad Sci, Shirshov Inst Oceanol, Moscow, Russia</t>
  </si>
  <si>
    <t>Russian Academy of Sciences; Shirshov Institute of Oceanology</t>
  </si>
  <si>
    <t>Dunaev, NN (corresponding author), Russian Acad Sci, Shirshov Inst Oceanol, Moscow, Russia.</t>
  </si>
  <si>
    <t>dunaev@ocean.ru</t>
  </si>
  <si>
    <t>Dunaev, Nikolay/S-1510-2016</t>
  </si>
  <si>
    <t>Presidium RAS [13P]</t>
  </si>
  <si>
    <t>Presidium RAS(Russian Academy of Sciences)</t>
  </si>
  <si>
    <t>This work is carried out in a framework of the State Order No 0149-2014-0035 and is supported by the Program No 13P of the Presidium RAS.</t>
  </si>
  <si>
    <t>0001-4370</t>
  </si>
  <si>
    <t>1531-8508</t>
  </si>
  <si>
    <t>OCEANOLOGY+</t>
  </si>
  <si>
    <t>Oceanology</t>
  </si>
  <si>
    <t>10.1134/S000143701603005X</t>
  </si>
  <si>
    <t>DR2LF</t>
  </si>
  <si>
    <t>WOS:000379735300014</t>
  </si>
  <si>
    <t>Schofield, O; Newman, L; Bricher, P; Constable, A; Swart, S; Wåhlin, A</t>
  </si>
  <si>
    <t>Schofield, Oscar; Newman, Louise; Bricher, Phillippa; Constable, Andrew; Swart, Sebastiaan; Wahlin, Anna</t>
  </si>
  <si>
    <t>Moving Towards Implementation of a Southern Ocean Observing System</t>
  </si>
  <si>
    <t>MARINE TECHNOLOGY SOCIETY JOURNAL</t>
  </si>
  <si>
    <t>Southern Ocean; ocean observing; Global Ocean Observation System</t>
  </si>
  <si>
    <t>RECENT CLIMATE-CHANGE; CIRCULATION; ECOSYSTEMS; CO2</t>
  </si>
  <si>
    <t>The Global Ocean Observing System (GOOS) is deploying a holistic system to monitor the worlds ocean; however, a major challenge is many regions are chronically under-sampled. One such region is the Southern Ocean, which is remote and a harsh region to sample. The importance of improving holistic sampling in this region is clear, given its disproportionate significance to Earth and the fact that the area is exhibiting rapid change. As the Southern Ocean is beyond the capability of any single nation, the international Southern Ocean research community recognized a need for improved international coordination, strategic planning, and eventual implementation of a Southern Ocean Observing System (SOOS). The focus of SOOS is on (1) designing a sustainable system that provides data for determining the status and change of the Southern Ocean, (2) standardizing measurements across national efforts, (3) providing a forum for opportunities to guide future investments, (4) developing a portal for open transparent access to data, and (5) supporting grassroots discussion to identify/design expeditions and technology development. This manuscript highlights current SOOS strategies to meet those needs. Critical lessons emphasize the need for providing value to users who are contributing content/strategy as volunteers and sustain a dedicated office to coordinate those efforts while providing documented value to those contributing time and expertise.</t>
  </si>
  <si>
    <t>[Schofield, Oscar] Rutgers State Univ, COOL, Dept Marine &amp; Coastal Sci, Sch Environm &amp; Biol Sci, 71 Dudley Rd, New Brunswick, NJ 08901 USA; [Newman, Louise; Bricher, Phillippa] Univ Tasmania, Inst Marine &amp; Antarctic Studies, SOOS Int Project Off, Hobart, Tas 7001, Australia; [Constable, Andrew] Antarctic Climate &amp; Ecosyst Climate &amp; Res Ctr, Hobart, Tas, Australia; [Swart, Sebastiaan] CSIR, Stellenbosch, South Africa; [Wahlin, Anna] Univ Gothenburg, Dept Marine Sci, Gothenburg, Sweden</t>
  </si>
  <si>
    <t>Rutgers University System; Rutgers University New Brunswick; University of Tasmania; Council for Scientific &amp; Industrial Research (CSIR) - South Africa; University of Gothenburg</t>
  </si>
  <si>
    <t>Schofield, O (corresponding author), Rutgers State Univ, COOL, Dept Marine &amp; Coastal Sci, Sch Environm &amp; Biol Sci, 71 Dudley Rd, New Brunswick, NJ 08901 USA.</t>
  </si>
  <si>
    <t>Oscar@marine.rutgers.edu</t>
  </si>
  <si>
    <t>Swart, Sebastiaan/U-5498-2017; Wåhlin, Anna/U-3790-2017; Newman, Louise/HNI-7544-2023; Newman, Louise/Q-8592-2019; Schofield, Oscar/H-4169-2018</t>
  </si>
  <si>
    <t>Wåhlin, Anna/0000-0003-1799-6476; Newman, Louise/0000-0001-9523-8713; Schofield, Oscar/0000-0003-2359-4131</t>
  </si>
  <si>
    <t>SOOS; IPO host organizations; Institute for Marine and Antarctic Studies; Australian Research Council's Antarctic Gateway Partnership at the University of Tasmania; Scientific Committee on Oceanic Research (SCOR); Scientific Committee on Antarctic Research (SCAR); NSF LTER programs [OPP-0823101]; Rutgers Center of Ocean Observing Leadership</t>
  </si>
  <si>
    <t>SOOS; IPO host organizations; Institute for Marine and Antarctic Studies; Australian Research Council's Antarctic Gateway Partnership at the University of Tasmania(Australian Research Council); Scientific Committee on Oceanic Research (SCOR); Scientific Committee on Antarctic Research (SCAR); NSF LTER programs; Rutgers Center of Ocean Observing Leadership</t>
  </si>
  <si>
    <t>The authors acknowledge the support of all sponsors of SOOS (www.soos.aq/about-us/sponsors), in particular, the IPO host organizations, the Institute for Marine and Antarctic Studies, and the Australian Research Council's Antarctic Gateway Partnership at the University of Tasmania. SOOS also acknowledges the support and guidance of the Scientific Committee on Oceanic Research (SCOR) and the Scientific Committee on Antarctic Research (SCAR). Additionally, support was provided by the NSF LTER programs (OPP-0823101) and Rutgers Center of Ocean Observing Leadership.</t>
  </si>
  <si>
    <t>MARINE TECHNOLOGY SOC INC</t>
  </si>
  <si>
    <t>COLUMBIA</t>
  </si>
  <si>
    <t>5565 STERRETT PLACE, STE 108, COLUMBIA, MD 21044 USA</t>
  </si>
  <si>
    <t>0025-3324</t>
  </si>
  <si>
    <t>1948-1209</t>
  </si>
  <si>
    <t>MAR TECHNOL SOC J</t>
  </si>
  <si>
    <t>Mar. Technol. Soc. J.</t>
  </si>
  <si>
    <t>MAY-JUN</t>
  </si>
  <si>
    <t>10.4031/MTSJ.50.3.8</t>
  </si>
  <si>
    <t>Engineering, Ocean; Oceanography</t>
  </si>
  <si>
    <t>Engineering; Oceanography</t>
  </si>
  <si>
    <t>DQ4TN</t>
  </si>
  <si>
    <t>WOS:000379196300010</t>
  </si>
  <si>
    <t>Filippova, SN; Surgucheva, NA; Sorokin, VV; Akimov, VN; Karnysheva, EA; Brushkov, AV; Andersen, D; Gal'chenko, VF</t>
  </si>
  <si>
    <t>Filippova, S. N.; Surgucheva, N. A.; Sorokin, V. V.; Akimov, V. N.; Karnysheva, E. A.; Brushkov, A. V.; Andersen, D.; Gal'chenko, V. F.</t>
  </si>
  <si>
    <t>Bacteriophages in Arctic and Antarctic low-temperature systems</t>
  </si>
  <si>
    <t>MICROBIOLOGY</t>
  </si>
  <si>
    <t>bacteriophages; phage-sensitive bacteria; lysogeny; ice wedge; ice-covered Antarctic lakes</t>
  </si>
  <si>
    <t>LAKE UNTERSEE; ICE WEDGE; BACTERIAL; SURVIVAL; SEQUENCE</t>
  </si>
  <si>
    <t>Comparative analysis of the presence of bacteriophages was carried out for the water column of a permanently ice-covered, extremely oligotrophic Lake Untersee (East Antarctica) and the ancient ice wedge of the Mamontova Gora outcrop (Aldan River, Central Yakutia). Microscopy revealed bacteriophages in the Mamontova Gora ice samples and in the lysates of the pure cultures of phage-sensitive bacteria isolated from the same samples. Bacteriophages isolated from these cultures were filamentous and interacted with bacteria as moderate (lysogenic) phages. A similar filamentous bacteriophage was isolated from the Lake Untersee water column. The highest morphological diversity of bacteriophages was revealed by microscopy in the oxic Lake Untersee water column in the chemocline zone (70-76 m) and in the sulfide layer (85 m). Detection of similar filamentous bacteriophages in a relic ice sample and in the samples from Antarctic Lake Untersee indicate wide occurrence of bacteriophages and lysogeny in microbial communities of low-temperature ecosystems.</t>
  </si>
  <si>
    <t>[Filippova, S. N.; Surgucheva, N. A.; Sorokin, V. V.; Akimov, V. N.; Gal'chenko, V. F.] Russian Acad Sci, Winogradsky Inst Microbiol, Biotechnol Res Ctr, Moscow, Russia; [Akimov, V. N.] Russian Acad Sci, Skryabin Inst Biochem &amp; Physiol Microorganisms, Pushchino, Russia; [Karnysheva, E. A.; Brushkov, A. V.] Lomonosov Moscow State Univ, Fac Geol, Moscow, Russia; [Andersen, D.] SETI Inst, Carl Sagan Ctr, New York, NY USA</t>
  </si>
  <si>
    <t>Russian Academy of Sciences; Research Center of Biotechnology RAS; Russian Academy of Sciences; Pushchino Scientific Center for Biological Research (PSCBI) of the Russian Academy of Sciences; Lomonosov Moscow State University</t>
  </si>
  <si>
    <t>Filippova, SN (corresponding author), Russian Acad Sci, Winogradsky Inst Microbiol, Biotechnol Res Ctr, Moscow, Russia.</t>
  </si>
  <si>
    <t>svfilipova@mail.ru</t>
  </si>
  <si>
    <t>Akimov, Vladimir/KFS-1096-2024; Andersen, Dale T/B-4816-2013; Brouchkov, Anatoli/AAZ-1509-2020</t>
  </si>
  <si>
    <t>Andersen, Dale T/0000-0001-8827-1259; Surgucheva, Natalya/0000-0002-3646-569X; Sorokin, Vladimir/0000-0002-4166-3105</t>
  </si>
  <si>
    <t>Russian Foundation for Basic Research [14-04-1645a, 15-05-04106a]</t>
  </si>
  <si>
    <t>Russian Foundation for Basic Research(Russian Foundation for Basic Research (RFBR)Spanish Government)</t>
  </si>
  <si>
    <t>The work was supported by the Russian Foundation for Basic Research, project nos. 14-04-1645a and 15-05-04106a.</t>
  </si>
  <si>
    <t>0026-2617</t>
  </si>
  <si>
    <t>1608-3237</t>
  </si>
  <si>
    <t>MICROBIOLOGY+</t>
  </si>
  <si>
    <t>Microbiology</t>
  </si>
  <si>
    <t>10.1134/S0026261716030048</t>
  </si>
  <si>
    <t>DP8UO</t>
  </si>
  <si>
    <t>WOS:000378773600013</t>
  </si>
  <si>
    <t>Viebahn, JP; von der Heydt, AS; Le Bars, D; Dijkstra, HA</t>
  </si>
  <si>
    <t>Viebahn, Jan P.; von der Heydt, Anna S.; Le Bars, Dewi; Dijkstra, Henk A.</t>
  </si>
  <si>
    <t>Effects of Drake Passage on a strongly eddying global ocean</t>
  </si>
  <si>
    <t>ocean gateways; ocean heat transport; mesoscale eddies; Eocene-Oligocene transition; gyre circulation; overturning circulation</t>
  </si>
  <si>
    <t>SOUTHERN-OCEAN; MESOSCALE EDDIES; OVERTURNING CIRCULATION; ANTARCTIC GLACIATION; CARBON-DIOXIDE; HEAT-TRANSPORT; HEMISPHERE; GREENHOUSE; IMPACT; TEMPERATURE</t>
  </si>
  <si>
    <t>The climate impact of ocean gateway openings during the Eocene-Oligocene transition is still under debate. Previous model studies employed grid resolutions at which the impact of mesoscale eddies has to be parameterized. We present results of a state-of-the-art eddy-resolving global ocean model with a closed Drake Passage and compare with results of the same model at noneddying resolution. An analysis of the pathways of heat by decomposing the meridional heat transport into eddy, horizontal, and overturning circulation components indicates that the model behavior on the large scale is qualitatively similar at both resolutions. Closing Drake Passage induces (i) sea surface warming around Antarctica due to equatorward expansion of the subpolar gyres, (ii) the collapse of the overturning circulation related to North Atlantic Deep Water formation leading to surface cooling in the North Atlantic, and (iii) significant equatorward eddy heat transport near Antarctica. However, quantitative details significantly depend on the chosen resolution. The warming around Antarctica is substantially larger for the noneddying configuration (approximate to 5.5 degrees C) than for the eddying configuration (approximate to 2.5 degrees C). This is a consequence of the subpolar mean flow which partitions differently into gyres and circumpolar current at different resolutions. We conclude that for a deciphering of the different mechanisms active in Eocene-Oligocene climate change detailed analyses of the pathways of heat in the different climate subsystems are crucial in order to clearly identify the physical processes actually at work.</t>
  </si>
  <si>
    <t>[Viebahn, Jan P.; von der Heydt, Anna S.; Le Bars, Dewi; Dijkstra, Henk A.] Univ Utrecht, Inst Marine &amp; Atmospher Res Utrecht, Utrecht, Netherlands</t>
  </si>
  <si>
    <t>Utrecht University</t>
  </si>
  <si>
    <t>Viebahn, JP (corresponding author), Univ Utrecht, Inst Marine &amp; Atmospher Res Utrecht, Utrecht, Netherlands.</t>
  </si>
  <si>
    <t>J.P.Viebahn@uu.nl</t>
  </si>
  <si>
    <t>von der Heydt, Anna/B-9250-2008; Le Bars, Dewi/AAK-8631-2020; Dijkstra, Henk A./H-2559-2016</t>
  </si>
  <si>
    <t>von der Heydt, Anna/0000-0002-5557-3282; Le Bars, Dewi/0000-0002-1175-4225;</t>
  </si>
  <si>
    <t>Netherlands Organization for Scientific Research (NWO), Earth and Life Sciences [ALW 802.01.024]; NWO [SH-209-14]</t>
  </si>
  <si>
    <t>Netherlands Organization for Scientific Research (NWO), Earth and Life Sciences(Netherlands Organization for Scientific Research (NWO)); NWO(Netherlands Organization for Scientific Research (NWO))</t>
  </si>
  <si>
    <t>The model data used in this paper are available from the corresponding author upon request (j.p.viebahn@uu.nl). This work was funded by the Netherlands Organization for Scientific Research (NWO), Earth and Life Sciences, through project ALW 802.01.024. The computations were done on the Cartesius at SURFsara in Amsterdam. The use of the SURFsara computing facilities was sponsored by NWO under the project SH-209-14.</t>
  </si>
  <si>
    <t>10.1002/2015PA002888</t>
  </si>
  <si>
    <t>DP7SQ</t>
  </si>
  <si>
    <t>Green Submitted, Green Published</t>
  </si>
  <si>
    <t>WOS:000378699900005</t>
  </si>
  <si>
    <t>Li, J; Feng, L; Pang, XP; Gong, WS; Zhao, X</t>
  </si>
  <si>
    <t>Li, Juan; Feng, Lian; Pang, Xiaoping; Gong, Weishu; Zhao, Xi</t>
  </si>
  <si>
    <t>Radiometric cross Calibration of Gaofen-1 WFV Cameras Using Landsat-8 OLI Images: A Simple Image-Based Method</t>
  </si>
  <si>
    <t>REMOTE SENSING</t>
  </si>
  <si>
    <t>cross calibration; Gaofen-1 WFV; Landsat-8 OLI; relative spectral response; spectral library; remote sensing</t>
  </si>
  <si>
    <t>ATMOSPHERIC CORRECTION; INUNDATION CHANGES; LAKE; REFLECTANCE; ETM+; SPECTROMETER; TM</t>
  </si>
  <si>
    <t>WFV (Wide Field of View) cameras on-board Gaofen-1 satellite (gaofenmeans high resolution) provide unparalleled global observations with both high spatial and high temporal resolutions. However, the accuracy of the radiometric calibration remains unknown. Using an improved cross calibration method, the WFV cameras were re-calibrated with well-calibrated Landsat-8 OLI (Operational Land Imager) data as reference. An objective method was proposed to guarantee the homogeneity and sufficient dynamic coverage for calibration sites and reference sensors. The USGS spectral library was used to match the most appropriate hyperspectral data, based on which the spectral band differences between WFV and OLI were adjusted. The TOA (top-of-atmosphere) reflectance of the cross-calibrated WFV agreed very well with that of OLI, with the mean differences between the two sensors less than 5% for most of the reflectance ranges of the four spectral bands, after accounting for the spectral band difference between the two sensors. Given the calibration error of 3% for Landsat-8 OLI TOA reflectance, the uncertainty of the newly-calibrated WFV should be within 8%. The newly generated calibration coefficients established confidence when using Gaofen-1 WFV observations for their further quantitative applications, and the proposed simple cross calibration method here could be easily extended to other operational or planned satellite missions.</t>
  </si>
  <si>
    <t>[Li, Juan; Pang, Xiaoping; Zhao, Xi] Wuhan Univ, Chinese Antarctic Ctr Surveying &amp; Mapping, Wuhan 430079, Peoples R China; [Feng, Lian] Wuhan Univ, State Key Lab Informat Engn Surveying Mapping &amp; R, Wuhan 430079, Peoples R China; [Gong, Weishu] Univ Maryland, Dept Geog Sci, College Pk, MD 20742 USA</t>
  </si>
  <si>
    <t>Wuhan University; Wuhan University; University System of Maryland; University of Maryland College Park</t>
  </si>
  <si>
    <t>Feng, L (corresponding author), Wuhan Univ, State Key Lab Informat Engn Surveying Mapping &amp; R, Wuhan 430079, Peoples R China.</t>
  </si>
  <si>
    <t>lijuan0624@whu.edu.cn; lian.feng@whu.edu.cn; pxp@whu.edu.cn; weishugong@gmail.com; xi.zhao@whu.edu.cn</t>
  </si>
  <si>
    <t>Feng, Lian/JQI-0512-2023; zhao, xi/HJY-6017-2023; Gong, Weishu/AHA-0761-2022</t>
  </si>
  <si>
    <t>Feng, Lian/0000-0002-4590-3022;</t>
  </si>
  <si>
    <t>National Natural Science Foundation of China [41401388, 41571344, 41576175, 41301463]; Fundamental Research Funds for the Central Universities; LIESMARS (Wuhan University)</t>
  </si>
  <si>
    <t>National Natural Science Foundation of China(National Natural Science Foundation of China (NSFC)); Fundamental Research Funds for the Central Universities(Fundamental Research Funds for the Central Universities); LIESMARS (Wuhan University)</t>
  </si>
  <si>
    <t>This work was supported by the National Natural Science Foundation of China (NO. 41401388, 41571344, 41576175, and 41301463) and the Fundamental Research Funds for the Central Universities and the open-fund projects of LIESMARS (Wuhan University). We thank the USGS for providing Landsat data and spectral library.</t>
  </si>
  <si>
    <t>MDPI</t>
  </si>
  <si>
    <t>BASEL</t>
  </si>
  <si>
    <t>ST ALBAN-ANLAGE 66, CH-4052 BASEL, SWITZERLAND</t>
  </si>
  <si>
    <t>2072-4292</t>
  </si>
  <si>
    <t>REMOTE SENS-BASEL</t>
  </si>
  <si>
    <t>Remote Sens.</t>
  </si>
  <si>
    <t>10.3390/rs8050411</t>
  </si>
  <si>
    <t>Environmental Sciences; Geosciences, Multidisciplinary; Remote Sensing; Imaging Science &amp; Photographic Technology</t>
  </si>
  <si>
    <t>Environmental Sciences &amp; Ecology; Geology; Remote Sensing; Imaging Science &amp; Photographic Technology</t>
  </si>
  <si>
    <t>DP3PC</t>
  </si>
  <si>
    <t>Green Submitted, gold</t>
  </si>
  <si>
    <t>WOS:000378406400055</t>
  </si>
  <si>
    <t>Alsina-Pagès, RM; Hervás, M; Orga, F; Pijoan, JL; Badia, D; Altadill, D</t>
  </si>
  <si>
    <t>Ma Alsina-Pages, Rosa; Hervas, Marcos; Orga, Ferran; Lluis Pijoan, Joan; Badia, David; Altadill, David</t>
  </si>
  <si>
    <t>Physical Layer Definition for a Long-Haul HF Antarctica to Spain Radio Link</t>
  </si>
  <si>
    <t>physical layer; modulation; synchronization; symbol error rate; geomagnetism; observatories; ionosphere; HF modem; long-haul link; remote sensing</t>
  </si>
  <si>
    <t>SEQUENCES; COMMUNICATION; TRANSMISSION; OFDM</t>
  </si>
  <si>
    <t>La Salle and the Observatori de l'Ebre (OE) have been involved in a remote sensing project in Antarctica for the last 11 years. The OE has been monitoring the geomagnetic activity for more than twenty years and also the ionospheric activity of the last ten years in the Spanish Antarctic Station Juan Carlos I (ASJI) (62.7 degrees S, 299.6 degrees E). La Salle is finishing the design and testing of a low-power communication system between the ASJI and Cambrils (41.0 degrees N, 1.0 degrees E) with a double goal: (i) the transmission of data from the sensors located at the ASJI and (ii) the performance of an oblique ionospheric sounding of a 12,760 km HF link. Previously, La Salle has already performed sounding and modulation tests to describe the channel performance in terms of availability, Signal-to-Noise Ratio (SNR), Doppler spread and delay spread. This paper closes the design of the physical layer, by means of the channel error study and the synchronization performance, and concludes with a new physical layer proposal for the Oblique Ionosphere Sounder. Narrowband and wideband frames have been defined to be used when the oblique sounder performs as an ionospheric sensor. Finally, two transmission modes have been defined for the modem performance: the High Robustness Mode (HRM) for low SNR hours and the High Throughput Mode (HTM) for the high SNR hours.</t>
  </si>
  <si>
    <t>[Ma Alsina-Pages, Rosa; Hervas, Marcos; Orga, Ferran] La Salle Univ Ramon Llull, GTM Grp Recerca Tecnol Media, C Quatre Camins 30, Barcelona 08022, Spain; [Lluis Pijoan, Joan; Badia, David] La Salle Univ Ramon Llull, GR SETAD, C Quatre Camins 30, Barcelona 08022, Spain; [Altadill, David] Univ Ramon Llull, CSIC, OE, Horta Alta 38, Roquetes 43520, Spain</t>
  </si>
  <si>
    <t>Universitat Ramon Llull; Universitat Ramon Llull; Consejo Superior de Investigaciones Cientificas (CSIC); Universitat Ramon Llull</t>
  </si>
  <si>
    <t>Alsina-Pagès, RM (corresponding author), La Salle Univ Ramon Llull, GTM Grp Recerca Tecnol Media, C Quatre Camins 30, Barcelona 08022, Spain.</t>
  </si>
  <si>
    <t>ralsina@salleurl.edu; mhervas@salleurl.edu; forga@salleurl.edu; joanp@salleurl.edu; david@salleurl.edu; david_altadill@obsebre.es</t>
  </si>
  <si>
    <t>Altadill, David/K-9309-2014; Hervás, Marcos/K-7016-2015; Badia, David/ABF-4258-2021; Orga, Ferran/ABF-8135-2021; Alsina-Pagès, Rosa Ma/M-6099-2017; Pijoan, Joan Lluis/S-3319-2018</t>
  </si>
  <si>
    <t>Altadill, David/0000-0001-7730-385X; Hervás, Marcos/0000-0003-2021-9264; Badia, David/0000-0002-4792-8688; Orga, Ferran/0000-0001-7364-733X; Alsina-Pagès, Rosa Ma/0000-0003-2261-5471; Pijoan, Joan Lluis/0000-0002-1796-8216</t>
  </si>
  <si>
    <t>Spanish Government [CTM2010-21312-C03, CTM2009-13843-C02, CGL2006-12437-C02, REN2003-08376-C02, 2014-URL-Trac-018, 2014-URL-Trac-039, 2015-URL-Proj-041]; Universitat Ramon Llull</t>
  </si>
  <si>
    <t>Spanish Government(Spanish Government); Universitat Ramon Llull</t>
  </si>
  <si>
    <t>This research has been supported by the Spanish Government Projects CTM2010-21312-C03, CTM2009-13843-C02, CGL2006-12437-C02 and REN2003-08376-C02, and by 2014-URL-Trac-018, 2014-URL-Trac-039 and 2015-URL-Proj-041, supported by Universitat Ramon Llull. In addition to the authors of this paper, the following people have been part of the research groups of these projects: Ahmed Ads, Luis Felipe Alberca, Emil Marcel Apostolov, Ricard Aquilue, Raul Bardaji, Cesidio Bianchi, Estefania Blanch, Josep Oriol Cardus, Oscar Cid, Juan Jose Curto, Angelo De Santis, Marc Deumal, Luis Ricardo Gaya-Pique, Simo Graells, Ismael Gutierrez, Miguel Ibanez, Joan Mauricio, David Miralles, Pere Quintana, Joan Ramon Regue, Xavier Rosell, Albert Miquel Sanchez, Ernest Sanclement, Jose German Sole, Arantza Ugalde, Carles Vilella, Marti Salvador and Jordi Calduch. Special thanks to the three Miquels: Miquel Bertran (dagger), Miquel Ribo and Miquel Ramirez, for their support in the channel analysis.</t>
  </si>
  <si>
    <t>MDPI AG</t>
  </si>
  <si>
    <t>10.3390/rs8050380</t>
  </si>
  <si>
    <t>gold, Green Submitted, Green Published</t>
  </si>
  <si>
    <t>WOS:000378406400024</t>
  </si>
  <si>
    <t>Witharana, C; Lynch, HJ</t>
  </si>
  <si>
    <t>Witharana, Chandi; Lynch, Heather J.</t>
  </si>
  <si>
    <t>An Object-Based Image Analysis Approach for Detecting Penguin Guano in very High Spatial Resolution Satellite Images</t>
  </si>
  <si>
    <t>Antarctica; penguins; guano; GEOBIA; VHSR imagery; census</t>
  </si>
  <si>
    <t>CLIMATE-CHANGE; LAND-COVER; SEA-ICE; INTEGRATED ASSESSMENT; POPULATION-CHANGES; MULTISCALE GEOBIA; MARINE ECOSYSTEM; SEGMENTATION; SCALE; MULTIRESOLUTION</t>
  </si>
  <si>
    <t>The logistical challenges of Antarctic field work and the increasing availability of very high resolution commercial imagery have driven an interest in more efficient search and classification of remotely sensed imagery. This exploratory study employed geographic object-based analysis (GEOBIA) methods to classify guano stains, indicative of chinstrap and Adelie penguin breeding areas, from very high spatial resolution (VHSR) satellite imagery and closely examined the transferability of knowledge-based GEOBIA rules across different study sites focusing on the same semantic class. We systematically gauged the segmentation quality, classification accuracy, and the reproducibility of fuzzy rules. A master ruleset was developed based on one study site and it was re-tasked without adaptation and with adaptation on candidate image scenes comprising guano stains. Our results suggest that object-based methods incorporating the spectral, textural, spatial, and contextual characteristics of guano are capable of successfully detecting guano stains. Reapplication of the master ruleset on candidate scenes without modifications produced inferior classification results, while adapted rules produced comparable or superior results compared to the reference image. This work provides a road map to an operational image-to-assessment pipeline that will enable Antarctic wildlife researchers to seamlessly integrate VHSR imagery into on-demand penguin population census.</t>
  </si>
  <si>
    <t>[Witharana, Chandi; Lynch, Heather J.] SUNY Stony Brook, Dept Ecol &amp; Evolut, Stony Brook, NY USA; [Witharana, Chandi] Univ Connecticut, Dept Nat Resources &amp; Environm, Storrs, CT 06269 USA</t>
  </si>
  <si>
    <t>State University of New York (SUNY) System; State University of New York (SUNY) Stony Brook; University of Connecticut</t>
  </si>
  <si>
    <t>Witharana, C (corresponding author), SUNY Stony Brook, Dept Ecol &amp; Evolut, Stony Brook, NY USA.;Witharana, C (corresponding author), Univ Connecticut, Dept Nat Resources &amp; Environm, Storrs, CT 06269 USA.</t>
  </si>
  <si>
    <t>chandi.witharana@stonybrook.edu; heather.lynch@stonybrook.edu</t>
  </si>
  <si>
    <t>witharana, chandi/C-9074-2015</t>
  </si>
  <si>
    <t>National Science foundation's Office of Polar Programs (PLR) division; National Science foundation's Geography and Spatial Sciences (GSS) division [1255058]; Office of Polar Programs (OPP); Directorate For Geosciences [1255058] Funding Source: National Science Foundation</t>
  </si>
  <si>
    <t>National Science foundation's Office of Polar Programs (PLR) division; National Science foundation's Geography and Spatial Sciences (GSS) division; Office of Polar Programs (OPP); Directorate For Geosciences(National Science Foundation (NSF)NSF - Directorate for Geosciences (GEO))</t>
  </si>
  <si>
    <t>C.W. and H.L. would like to acknowledge funding provided by the National Science foundation's Office of Polar Programs (PLR) and Geography and Spatial Sciences (GSS) divisions (Award No. 1255058). We would also like to thank the University of Minnesota's Polar Geospatial Center for imagery processing support.</t>
  </si>
  <si>
    <t>10.3390/rs8050375</t>
  </si>
  <si>
    <t>gold, Green Submitted</t>
  </si>
  <si>
    <t>WOS:000378406400019</t>
  </si>
  <si>
    <t>Wang, S; Li, K; Cui, H; Wang, JT; Zhao, XP; Miao, JK; Liu, XF; Zhao, XY; Leng, KL</t>
  </si>
  <si>
    <t>Wang Song; Li Ke; Cui He; Wang Jing-Tang; Zhao Xin-Peng; Miao Jun-Kui; Liu Xiao-Fang; Zhao Xian-Yong; Leng Kai-Liang</t>
  </si>
  <si>
    <t>Quantitative Analysis of Total and Different Species of Arsenic in Oil of Antarctic Krill (Euphausia Superba)</t>
  </si>
  <si>
    <t>CHINESE JOURNAL OF ANALYTICAL CHEMISTRY</t>
  </si>
  <si>
    <t>Chinese</t>
  </si>
  <si>
    <t>Antartic krill oil; Arsenic; Speciation analysis; High performance liquid chromatography-inductively coupled plasma mass spectrometry</t>
  </si>
  <si>
    <t>HPLC-ICP-MS; SPECIATION ANALYSIS; PERFORMANCE; METABOLITES; EXTRACTION; RATS</t>
  </si>
  <si>
    <t>Arsenic is a toxic metalloid that is abundant in many marine species, including Antartic krill. Krill oil is being developed for the health. food and dietary supplement because it possesses of omega. 3 fatty acids and phospholipid. derived fatty acids; however, it was limited due to its multiple arsenic species residues. Here, we presented a high performance liquid chromatography. inductively coupled plasma mass spectrometric (HPLC-ICP-MS) method for the simultaneous, sensitive, and rapid quantification of five arsenic metabolites including organic and inorganic forms, then the method was applied to the analysis of arsenic species in krill oil. The analytes were separated on a hydroxide-selective anion. exchange column with sodium carbonate (38 mmol/L) and sodium acetate (15 mmol/L) as mobile phase at a flow rate of 0.6 mL/min for 15 min. Arsenic analytes were monitored with a triple quadrupole ICP mass spectrometer. Validation revealed that the method had a linear range from 0.5 to 500 mu g/L with R &gt; 0. 9993. The LOD was 0.1-0.2 mu g/L and LOQ was 1.5-2.6 mu g/L with RSD&lt; 5%. The standard addition method displayed a recovery range from 88.9% to 106.3%. Application of the method to arsenic species analysis in krill oil indicated that krill oil was a safe food or diet supplement.</t>
  </si>
  <si>
    <t>[Wang Song; Zhao Xin-Peng; Miao Jun-Kui; Liu Xiao-Fang; Zhao Xian-Yong; Leng Kai-Liang] Chinese Acad Fishery Sci, Yellow Sea Fisheries Res Inst, Qingdao 266071, Peoples R China; [Li Ke] Michigan State Univ, Dept Fisheries &amp; Wildlife, E Lansing, MI 48824 USA; [Cui He; Wang Jing-Tang] Shandong Entry Exit Inspect &amp; Quarantine Bur, Qingdao 266002, Peoples R China</t>
  </si>
  <si>
    <t>Chinese Academy of Fishery Sciences; Yellow Sea Fisheries Research Institute, CAFS; Michigan State University</t>
  </si>
  <si>
    <t>Leng, KL (corresponding author), Chinese Acad Fishery Sci, Yellow Sea Fisheries Res Inst, Qingdao 266071, Peoples R China.</t>
  </si>
  <si>
    <t>lengkl@ysfri.ac.cn</t>
  </si>
  <si>
    <t>360 PARK AVE SOUTH, NEW YORK, NY 10010-1710 USA</t>
  </si>
  <si>
    <t>0253-3820</t>
  </si>
  <si>
    <t>1872-2040</t>
  </si>
  <si>
    <t>CHINESE J ANAL CHEM</t>
  </si>
  <si>
    <t>Chin. J. Anal. Chem.</t>
  </si>
  <si>
    <t>10.11895/j.issn.0253.3820.150942</t>
  </si>
  <si>
    <t>DP2WM</t>
  </si>
  <si>
    <t>WOS:000378354200010</t>
  </si>
  <si>
    <t>Chu, DZ; Lawson, GL; Wiebe, PH</t>
  </si>
  <si>
    <t>Chu, Dezhang; Lawson, Gareth L.; Wiebe, Peter H.</t>
  </si>
  <si>
    <t>Estimation of biological parameters of marine organisms using linear and nonlinear acoustic scattering model-based inversion methods</t>
  </si>
  <si>
    <t>JOURNAL OF THE ACOUSTICAL SOCIETY OF AMERICA</t>
  </si>
  <si>
    <t>WESTERN ANTARCTIC PENINSULA; TARGET-STRENGTH; SOUND-SCATTERING; EUPHAUSIID AGGREGATIONS; ZOOPLANKTON POPULATIONS; INDIVIDUAL FISH; KRILL; BIOMASS; CYLINDERS; ABUNDANCE</t>
  </si>
  <si>
    <t>The linear inversion commonly used in fisheries and zooplankton acoustics assumes a constant inversion kernel and ignores the uncertainties associated with the shape and behavior of the scattering targets, as well as other relevant animal parameters. Here, errors of the linear inversion due to uncertainty associated with the inversion kernel are quantified. A scattering model-based nonlinear inversion method is presented that takes into account the nonlinearity of the inverse problem and is able to estimate simultaneously animal abundance and the parameters associated with the scattering model inherent to the kernel. It uses sophisticated scattering models to estimate first, the abundance, and second, the relevant shape and behavioral parameters of the target organisms. Numerical simulations demonstrate that the abundance, size, and behavior (tilt angle) parameters of marine animals (fish or zooplankton) can be accurately inferred from the inversion by using multi-frequency acoustic data. The influence of the singularity and uncertainty in the inversion kernel on the inversion results can be mitigated by examining the singular values for linear inverse problems and employing a non-linear inversion involving a scattering model-based kernel.</t>
  </si>
  <si>
    <t>[Chu, Dezhang] NOAA, Natl Marine Fisheries Serv, NW Fisheries Sci Ctr, 2725 Montlake Blvd East, Seattle, WA 98112 USA; [Lawson, Gareth L.; Wiebe, Peter H.] US Geol Survey, Woods Hole, MA 02543 USA</t>
  </si>
  <si>
    <t>National Oceanic Atmospheric Admin (NOAA) - USA; United States Department of the Interior; United States Geological Survey</t>
  </si>
  <si>
    <t>Chu, DZ (corresponding author), NOAA, Natl Marine Fisheries Serv, NW Fisheries Sci Ctr, 2725 Montlake Blvd East, Seattle, WA 98112 USA.</t>
  </si>
  <si>
    <t>dezhang.chu@noaa.gov</t>
  </si>
  <si>
    <t>Chu, Dezhang/L-7004-2015</t>
  </si>
  <si>
    <t>Wiebe, Peter/0000-0002-6059-4651</t>
  </si>
  <si>
    <t>National Science Foundation [OCE-0928801]; NOAA National Marine Fisheries Service, Northwest Fisheries Science Center; NOAA Cooperative Agreement through the NOAA Fisheries Quantitative Ecology and Socioeconomics Training (QUEST) program [NA09OAR4320129, NA14OAR4320158]</t>
  </si>
  <si>
    <t>National Science Foundation(National Science Foundation (NSF)); NOAA National Marine Fisheries Service, Northwest Fisheries Science Center; NOAA Cooperative Agreement through the NOAA Fisheries Quantitative Ecology and Socioeconomics Training (QUEST) program</t>
  </si>
  <si>
    <t>This work was supported by the National Science Foundation under Grant No. OCE-0928801 and the NOAA National Marine Fisheries Service, Northwest Fisheries Science Center. G.L.L. was partially supported by NOAA Cooperative Agreement Nos. NA09OAR4320129 and NA14OAR4320158 through the NOAA Fisheries Quantitative Ecology and Socioeconomics Training (QUEST) program.</t>
  </si>
  <si>
    <t>ACOUSTICAL SOC AMER AMER INST PHYSICS</t>
  </si>
  <si>
    <t>MELVILLE</t>
  </si>
  <si>
    <t>STE 1 NO 1, 2 HUNTINGTON QUADRANGLE, MELVILLE, NY 11747-4502 USA</t>
  </si>
  <si>
    <t>0001-4966</t>
  </si>
  <si>
    <t>1520-8524</t>
  </si>
  <si>
    <t>J ACOUST SOC AM</t>
  </si>
  <si>
    <t>J. Acoust. Soc. Am.</t>
  </si>
  <si>
    <t>10.1121/1.4948759</t>
  </si>
  <si>
    <t>Acoustics; Audiology &amp; Speech-Language Pathology</t>
  </si>
  <si>
    <t>DO3XF</t>
  </si>
  <si>
    <t>WOS:000377715100069</t>
  </si>
  <si>
    <t>Swilo, M; Majewski, W; Totten, RL; Anderson, JB</t>
  </si>
  <si>
    <t>Swilo, Marlena; Majewski, Wojciech; Totten, Rebecca L.; Anderson, John B.</t>
  </si>
  <si>
    <t>Diatom assemblages from coastal settings of West Antarctica</t>
  </si>
  <si>
    <t>MARINE MICROPALEONTOLOGY</t>
  </si>
  <si>
    <t>Antarctica; Diatom; Primary productivity indicators; Fjord</t>
  </si>
  <si>
    <t>SOUTH SHETLAND ISLANDS; SEA-ICE EXTENT; WEDDELL SEA; SURFACE SEDIMENTS; CLIMATE-CHANGE; HOLOCENE CLIMATE; MARINE RECORD; AMUNDSEN SEA; PENINSULA; PHYTOPLANKTON</t>
  </si>
  <si>
    <t>Diatom assemblages from 33 core-tops, collected along a 2500 km transect of the northern Antarctic Peninsula and Pine Island Bay areas, were examined for their use as paleoenvironmental proxies. Environmental affinities of assemblages were interpreted within a broad geographical context and a wide range of ecological conditions. Four major assemblages were identified: three pelagic assemblages related to different sea-ice duration, SST, and other conditions affecting primary production, and one benthic and epiphytic-dominated assemblage typical of near-shore, shallow-water habitats. Chaetoceros resting spores are an important component of diatom assemblages. Their high concentrations may reflect increased primary production and are associated with low total assemblage diversities. The lowest diversities are observed at sites with increased resting spore percentages. Along the NW coast of the Antarctic Peninsula, sedimentation rates strongly influence total diatom concentrations. By contrast, relative abundances of Chaetoceros resting spores remain mostly unaffected by terrigenous flux and may serve as a reliable proxy for primary production. This broad sampling of Antarctic coastal environments fills a gap in our knowledge of phytoplankton communities in polar regions and helps establish the framework for reconstructing paleoenvironments from the paleorecord. (C) 2016 Elsevier B.V. All rights reserved.</t>
  </si>
  <si>
    <t>[Swilo, Marlena; Majewski, Wojciech] Polish Acad Sci, Inst Paleobiol, Twarda 51-55, PL-00818 Warsaw, Poland; [Swilo, Marlena] Natl Res Inst, Polish Geol Inst, Rakowiecka 4, PL-00975 Warsaw, Poland; [Totten, Rebecca L.] Shell Explorat &amp; Prod Co, 150 N Dairy Ashford, Houston, TX 77079 USA; [Anderson, John B.] Rice Univ, Dept Earth Sci, 6100 Main St,MS 126, Houston, TX 77005 USA</t>
  </si>
  <si>
    <t>Polish Academy of Sciences; Institute of Paleobiology of the Polish Academy of Sciences; Polish Geological Institute - National Research Institute; Royal Dutch Shell; Rice University</t>
  </si>
  <si>
    <t>Swilo, M (corresponding author), Polish Acad Sci, Inst Paleobiol, Twarda 51-55, PL-00818 Warsaw, Poland.;Swilo, M (corresponding author), Natl Res Inst, Polish Geol Inst, Rakowiecka 4, PL-00975 Warsaw, Poland.</t>
  </si>
  <si>
    <t>marlena.swilo@pgi.gov.pl</t>
  </si>
  <si>
    <t>Świło, Marlena/AAA-4353-2019; Majewski, Wojciech/D-9255-2017</t>
  </si>
  <si>
    <t>Swilo, Marlena/0000-0001-6646-8210; Majewski, Wojciech/0000-0002-5407-1782; Totten, Rebecca L./0000-0002-8227-2848</t>
  </si>
  <si>
    <t>Office of Polar Programs (OPP); Directorate For Geosciences [1246353] Funding Source: National Science Foundation</t>
  </si>
  <si>
    <t>Office of Polar Programs (OPP); Directorate For Geosciences(National Science Foundation (NSF)NSF - Directorate for Geosciences (GEO))</t>
  </si>
  <si>
    <t>0377-8398</t>
  </si>
  <si>
    <t>1872-6186</t>
  </si>
  <si>
    <t>MAR MICROPALEONTOL</t>
  </si>
  <si>
    <t>Mar. Micropaleontol.</t>
  </si>
  <si>
    <t>10.1016/j.marmicro.2016.04.001</t>
  </si>
  <si>
    <t>DO4EO</t>
  </si>
  <si>
    <t>WOS:000377734800007</t>
  </si>
  <si>
    <t>Friedlaender, AS; Johnston, DW; Tyson, RB; Kaltenberg, A; Goldbogen, JA; Stimpert, AK; Curtice, C; Hazen, EL; Halpin, PN; Read, AJ; Nowacek, DP</t>
  </si>
  <si>
    <t>Friedlaender, Ari S.; Johnston, David W.; Tyson, Reny B.; Kaltenberg, Amanda; Goldbogen, Jeremy A.; Stimpert, Alison K.; Curtice, Corrie; Hazen, Elliott L.; Halpin, Patrick N.; Read, Andrew J.; Nowacek, Douglas P.</t>
  </si>
  <si>
    <t>Multiple-stage decisions in a marine central-place forager</t>
  </si>
  <si>
    <t>ROYAL SOCIETY OPEN SCIENCE</t>
  </si>
  <si>
    <t>diving; foraging decisions; predator-prey interactions</t>
  </si>
  <si>
    <t>WESTERN ANTARCTIC PENINSULA; ACOUSTIC TECHNIQUES; DIVING BEHAVIOR; HUMPBACK WHALES; PREY; KRILL; STRATEGIES; ABUNDANCE; TAG; AGGREGATIONS</t>
  </si>
  <si>
    <t>Air-breathing marine animals face a complex set of physical challenges associated with diving that affect the decisions of how to optimize feeding. Baleen whales (Mysticeti) have evolved bulk-filter feeding mechanisms to efficiently feed on dense prey patches. Baleen whales are central place foragers where oxygen at the surface represents the central place and depth acts as the distance to prey. Although hypothesized that baleen whales will target the densest prey patches anywhere in the water column, how depth and density interact to influence foraging behaviour is poorly understood. We used multi-sensor archival tags and active acoustics to quantify Antarctic humpback whale foraging behaviour relative to prey. Our analyses reveal multi-stage foraging decisions driven by both krill depth and density. During daylight hours when whales did not feed, krill were found in deep high-density patches. As krill migrated vertically into larger and less dense patches near the surface, whales began to forage. During foraging bouts, we found that feeding rates (number of feeding lunges per hour) were greatest when prey was shallowest, and feeding rates decreased with increasing dive depth. This strategy is consistent with previous models of how air-breathing diving animals optimize foraging efficiency. Thus, humpback whales forage mainly when prey is more broadly distributed and shallower, presumably to minimize diving and searching costs and to increase feeding rates overall and thus foraging efficiency. Using direct measurements of feeding behaviour from animal-borne tags and prey availability from echosounders, our study demonstrates a multi-stage foraging process in a central place forager that we suggest acts to optimize overall efficiency by maximizing net energy gain over time. These data reveal a previously unrecognized level of complexity in predator-prey interactions and underscores the need to simultaneously measure prey distribution in marine central place forager studies.</t>
  </si>
  <si>
    <t>[Friedlaender, Ari S.] Oregon State Univ, Hatfield Marine Sci Ctr, Marine Mammal Inst, Dept Fisheries &amp; Wildlife, Newport, OR 97365 USA; [Johnston, David W.; Tyson, Reny B.; Curtice, Corrie; Halpin, Patrick N.; Read, Andrew J.; Nowacek, Douglas P.] Duke Univ, Marine Lab, Div Marine Sci &amp; Conservat, Beaufort, NC 28516 USA; [Kaltenberg, Amanda] Savannah State Univ, Savannah, GA USA; [Goldbogen, Jeremy A.] Stanford Univ, Hopkins Marine Stn, Dept Biol, Pacific Grove, CA 93950 USA; [Stimpert, Alison K.] Moss Landing Marine Lab, Moss Landing, CA USA; [Hazen, Elliott L.] NOAA, Div Environm Res, Monterey, CA USA</t>
  </si>
  <si>
    <t>Oregon State University; Duke University; University System of Georgia; Savannah State University; Stanford University; Moss Landing Marine Laboratories; National Oceanic Atmospheric Admin (NOAA) - USA</t>
  </si>
  <si>
    <t>Friedlaender, AS (corresponding author), Oregon State Univ, Hatfield Marine Sci Ctr, Marine Mammal Inst, Dept Fisheries &amp; Wildlife, Newport, OR 97365 USA.</t>
  </si>
  <si>
    <t>ari.friedlaender@oregonstate.edu</t>
  </si>
  <si>
    <t>Johnston, David/AAJ-5013-2020; Hazen, Elliott/G-4149-2014; Read, Andrew/AAE-8386-2019</t>
  </si>
  <si>
    <t>Hazen, Elliott/0000-0002-0412-7178; Johnston, David/0000-0003-2424-036X; Tyson Moore, Reny/0000-0001-5541-193X; Goldbogen, Jeremy/0000-0002-4170-7294; Stimpert, Alison/0000-0002-9400-0305</t>
  </si>
  <si>
    <t>NSF-OPP grant [ANT-07-39483]</t>
  </si>
  <si>
    <t>NSF-OPP grant</t>
  </si>
  <si>
    <t>This research was supported by NSF-OPP grant ANT-07-39483.</t>
  </si>
  <si>
    <t>ROYAL SOC</t>
  </si>
  <si>
    <t>6-9 CARLTON HOUSE TERRACE, LONDON SW1Y 5AG, ENGLAND</t>
  </si>
  <si>
    <t>2054-5703</t>
  </si>
  <si>
    <t>ROY SOC OPEN SCI</t>
  </si>
  <si>
    <t>R. Soc. Open Sci.</t>
  </si>
  <si>
    <t>10.1098/rsos.160043</t>
  </si>
  <si>
    <t>DO7NR</t>
  </si>
  <si>
    <t>WOS:000377969800009</t>
  </si>
  <si>
    <t>Agersted, MD; Nielsen, TG</t>
  </si>
  <si>
    <t>Agersted, Mette Dalgaard; Nielsen, Torkel Gissel</t>
  </si>
  <si>
    <t>Functional biology of sympatric krill species</t>
  </si>
  <si>
    <t>JOURNAL OF PLANKTON RESEARCH</t>
  </si>
  <si>
    <t>Meganyctiphanes norvegica; Thysanoessa inermis; grazing; predation; prey size spectra; functional response</t>
  </si>
  <si>
    <t>EUPHAUSIID THYSANOESSA-RASCHII; MEGANYCTIPHANES-NORVEGICA; FEEDING-BEHAVIOR; ANTARCTIC KRILL; NORTHERN KRILL; TROPHIC RELATIONSHIPS; PREY SELECTION; ENERGY BUDGETS; FOOD; MARINE</t>
  </si>
  <si>
    <t>Here we compare the functional biology of the sympatric krill species, Meganyctiphanes norvegica and Thysanoessa inermis. For M. norvegica, we investigated functional responses on diatoms and copepods, together with prey size spectra on plankton,400 mu m and copepods in the size range 500-3220 mu m. For T. inermis, only prey size spectrum on plankton,400 mu m were investigated. The prey size ranges of both species include organisms,400 mu m, and they consequently graze on several trophic levels. However, T. inermis feed on cells,10 mu m equivalent spherical diameter (ESD), whereas M. norvegica only feed on cells &gt;10 mu m. Meganyctiphanes norvegica show maximum predation on 8001600 mu m sized copepods, corresponding to a predator: prey size ratio of 17.0 +/- 2.2. Functional response experiments with M. norvegica follow a Holling type III functional response, both when feeding on diatoms and copepods, but with an order of magnitude higher ingestion rate on the copepod prey. The two functional groups, M. norvegica and Thysanoessa spp., overlap in prey size spectra. However, there are differences in their ability to exploit different prey classes. Here, we present clearance rates of both krill species on natural plankton illustrating the two species' wide particle range spectra.</t>
  </si>
  <si>
    <t>[Agersted, Mette Dalgaard; Nielsen, Torkel Gissel] Tech Univ Denmark, Natl Inst Aquat Resources, Sect Marine Ecol &amp; Oceanog, DK-2920 Charlottenlund, Denmark; [Nielsen, Torkel Gissel] Greenland Inst Nat Resources, Greenland Climate Res Ctr, BOX 570, Nuuk 3900, Greenland</t>
  </si>
  <si>
    <t>Technical University of Denmark; Greenland Institute of Natural Resources</t>
  </si>
  <si>
    <t>Agersted, MD (corresponding author), Tech Univ Denmark, Natl Inst Aquat Resources, Sect Marine Ecol &amp; Oceanog, DK-2920 Charlottenlund, Denmark.</t>
  </si>
  <si>
    <t>metteagersted@gmail.com</t>
  </si>
  <si>
    <t>Nielsen, Torkel Gissel/HLQ-4981-2023; Agersted, Mette Dalgaard/AFW-0709-2022</t>
  </si>
  <si>
    <t>Nielsen, Torkel Gissel/0000-0003-1057-158X</t>
  </si>
  <si>
    <t>European Union Seventh Framework Programme project EURO-BASIN [ENV.2010.2.2.1-1, 264933]; Greenland Climate Research Centre [6505]</t>
  </si>
  <si>
    <t>European Union Seventh Framework Programme project EURO-BASIN; Greenland Climate Research Centre</t>
  </si>
  <si>
    <t>The research leading to these results has received funding from the European Union Seventh Framework Programme project EURO-BASIN (ENV.2010.2.2.1-1) under grant agreement no. 264933 and the Greenland Climate Research Centre (project 6505).</t>
  </si>
  <si>
    <t>0142-7873</t>
  </si>
  <si>
    <t>1464-3774</t>
  </si>
  <si>
    <t>J PLANKTON RES</t>
  </si>
  <si>
    <t>J. Plankton Res.</t>
  </si>
  <si>
    <t>10.1093/plankt/fbw017</t>
  </si>
  <si>
    <t>Marine &amp; Freshwater Biology; Oceanography</t>
  </si>
  <si>
    <t>DN7ZP</t>
  </si>
  <si>
    <t>WOS:000377299000015</t>
  </si>
  <si>
    <t>Gleiber, MR; Steinberg, DK; Schofield, OME</t>
  </si>
  <si>
    <t>Gleiber, Miram R.; Steinberg, Deborah K.; Schofield, Oscar M. E.</t>
  </si>
  <si>
    <t>Copepod summer grazing and fecal pellet production along theWestern Antarctic Peninsula</t>
  </si>
  <si>
    <t>copepod; grazing; Antarctic Peninsula; egestion; fecal pellets; carbon; biogeochemistry</t>
  </si>
  <si>
    <t>RHINCALANUS-GIGAS COPEPODA; PARTICULATE ORGANIC-CARBON; NORTHERN BARENTS SEA; POLAR FRONTAL ZONE; MARGINAL ICE-ZONE; SOUTHERN-OCEAN; VERTICAL FLUX; CALANOIDES-ACUTUS; ATLANTIC SECTOR; AUSTRAL SUMMER</t>
  </si>
  <si>
    <t>Copepods are important grazers on phytoplankton and contributors to carbon export, but their role is poorly understood in theWestern Antarctic Peninsula (WAP), a region of high productivity and rapid climate warming. We conducted grazing and egestion experiments with large, dominant copepods each January from 2012 to 2014. We found higher gut evacuation rates (k), initial gut pigment and ingestion rates (I) for Calanus propinquus and Rhincalanus gigas compared with Calanoides acutus. Since k and I linearly increased with chlorophyll a for most species, ingestion rates were 4-70 times greater in more productive coastal regions than offshore, slope waters. Copepods have a low grazing impact on phytoplankton biomass (&lt;1%) and productivity (1%, up to 11%) compared with the dominant WAP macro-and microzooplankton. Egestion rates were high (0.8-37.3 mu gC ind.(-1) day(-1)); however, similar to 58% of fecal pellets are retained in the upper water column. Daily carbon rations of similar to 1% indicated feeding on other carbon sources (protozoans and metazoans) to meet metabolic demands. However, during a coastal phytoplankton bloom, daily C rations increased to up to 13%, indicating increased reliance on phytoplankton. Future changes in theWAP plankton community may affect food web carbon flow and export.</t>
  </si>
  <si>
    <t>[Gleiber, Miram R.; Steinberg, Deborah K.] Virginia Inst Marine Sci, Gloucester Pt, VA 23062 USA; [Gleiber, Miram R.] Oregon State Univ, Hatfield Marine Sci Ctr, Newport, OR 97365 USA; [Schofield, Oscar M. E.] Rutgers State Univ, Ctr Ocean Observing Leadership, Dept Marine &amp; Coastal Sci, New Brunswick, NJ 08901 USA</t>
  </si>
  <si>
    <t>William &amp; Mary; Virginia Institute of Marine Science; Oregon State University; Rutgers University System; Rutgers University New Brunswick</t>
  </si>
  <si>
    <t>Gleiber, MR (corresponding author), Virginia Inst Marine Sci, Gloucester Pt, VA 23062 USA.;Gleiber, MR (corresponding author), Oregon State Univ, Hatfield Marine Sci Ctr, Newport, OR 97365 USA.</t>
  </si>
  <si>
    <t>gleiberm@science.oregonstate.edu</t>
  </si>
  <si>
    <t>; Schofield, Oscar/H-4169-2018</t>
  </si>
  <si>
    <t>Steinberg, Deborah K./0000-0001-9884-4655; Schofield, Oscar/0000-0003-2359-4131; Gleiber, Miram/0000-0003-2580-5887</t>
  </si>
  <si>
    <t>National Science Foundation, Office of Polar Programs [OPP 08-23101, PLR-1440435]; 1st Advantage Federal Credit Union of Newport News, VA, USA; Directorate For Geosciences; Office of Polar Programs (OPP) [1440435] Funding Source: National Science Foundation</t>
  </si>
  <si>
    <t>National Science Foundation, Office of Polar Programs(National Science Foundation (NSF)); 1st Advantage Federal Credit Union of Newport News, VA, USA; Directorate For Geosciences; Office of Polar Programs (OPP)(National Science Foundation (NSF)NSF - Directorate for Geosciences (GEO))</t>
  </si>
  <si>
    <t>This research was supported by the National Science Foundation, Office of Polar Programs (OPP 08-23101, PLR-1440435). Additional funding to support M.G.'s participation on the Palmer LTER cruises was provided by A. G. Casey Duplantier Jr. and the 1st Advantage Federal Credit Union of Newport News, VA, USA.</t>
  </si>
  <si>
    <t>10.1093/plankt/fbv070</t>
  </si>
  <si>
    <t>WOS:000377299000031</t>
  </si>
  <si>
    <t>Yudakova, OI; Tyrnov, VS; Kunakh, VA; Kozeretskaya, IA; Parnikoza, IY</t>
  </si>
  <si>
    <t>Yudakova, O. I.; Tyrnov, V. S.; Kunakh, V. A.; Kozeretskaya, I. A.; Parnikoza, I. Yu.</t>
  </si>
  <si>
    <t>Adaptation of the seed reproduction system to conditions of Maritime Antarctic in Deschampsia antarctica E. Desv.</t>
  </si>
  <si>
    <t>RUSSIAN JOURNAL OF DEVELOPMENTAL BIOLOGY</t>
  </si>
  <si>
    <t>Deschampsia antarctica; Deschampsia beringensis; pollen; embryo sac; mode of reproduction; pollen-ovule-ratio; autogamy; allogamy</t>
  </si>
  <si>
    <t>TEMPERATURE STRESS; TOLERANCE; ISLANDS</t>
  </si>
  <si>
    <t>Deschampsia antarctica3 E. Desv. is one of the two flowering plants that, along with Colobanthus quitensis (Kunth) Bartl., was able to settle the ice-free areas of Antarctica. In order to identify the possible adaptations of the D. antarctica reproductive system to adverse environmental conditions, comparative cytoembryological analysis of plants of this species growing on the Antarctic Peninsula with plants of the closely related species D. beringensis Hult. from the Kamchatka Peninsula was conducted. It was found that both species are characterized by sexual mode of reproduction, equal size of pollen grains (25.5 +/- 2.2 and 26.2 +/- 1.9 mu m, respectively), same features of the embryo sac structure, and emryo- and endospermogenesis. Interspecies differences have been found in mature embryo sac size (326.8 +/- 12.8 and 161.7 +/- 10.4 mu m), pollen sterility percentage (86.1 +/- 8.9 and 35.3 +/- 9.2%), and quantity of pollen in the anthers (140 +/- 15.3 and 1578 +/- 88.6). Possible causes and significance of these differences are discussed. No unique adaptations of seed reproduction system that are inherent exclusively to D. antarctica were found. The D. antarctica reproduction strategy is based on the combination of autogamy (and its extreme form cleistogamy) with production of excess pollen quantity for its mode of pollination.</t>
  </si>
  <si>
    <t>[Yudakova, O. I.; Tyrnov, V. S.] Chernyshevsky Saratov State Univ, Ul Astrahanskaya 83, Saratov 410012, Russia; [Kunakh, V. A.; Parnikoza, I. Yu.] Natl Acad Sci Ukraine, Inst Mol Biol &amp; Genet, Ul Zabolotnoho 150, UA-03680 Kiev, Ukraine; [Kozeretskaya, I. A.] Taras Shevchenko Natl Univ Kiev, Ul Volodymirska 64, UA-01033 Kiev, Ukraine</t>
  </si>
  <si>
    <t>Saratov State University; National Academy of Sciences Ukraine; Institute of Molecular Biology &amp; Genetics of NASU; Ministry of Education &amp; Science of Ukraine; Taras Shevchenko National University of Kyiv</t>
  </si>
  <si>
    <t>Yudakova, OI (corresponding author), Chernyshevsky Saratov State Univ, Ul Astrahanskaya 83, Saratov 410012, Russia.</t>
  </si>
  <si>
    <t>yudakovaoi@info.sgu.ru</t>
  </si>
  <si>
    <t>Kunakh, Viktor A./HKV-4993-2023; Yudakova, Olga Ivanovna/E-1837-2013; Parnikoza, Ivan/I-2398-2016; Kozeretska, Iryna/F-1383-2010</t>
  </si>
  <si>
    <t>Yudakova, Olga Ivanovna/0000-0003-1391-6803; Kunakh, Viktor/0000-0002-9418-3172; Kozeretska, Iryna/0000-0002-6485-1408</t>
  </si>
  <si>
    <t>1062-3604</t>
  </si>
  <si>
    <t>1608-3326</t>
  </si>
  <si>
    <t>RUSS J DEV BIOL+</t>
  </si>
  <si>
    <t>Russ. J. Dev. Biol.</t>
  </si>
  <si>
    <t>10.1134/S1062360416030073</t>
  </si>
  <si>
    <t>Developmental Biology</t>
  </si>
  <si>
    <t>DO2FR</t>
  </si>
  <si>
    <t>WOS:000377595800004</t>
  </si>
  <si>
    <t>Ling, SD; Mahon, I; Marzloff, MP; Pizarro, O; Johnson, CR; Williams, SB</t>
  </si>
  <si>
    <t>Ling, S. D.; Mahon, I.; Marzloff, M. P.; Pizarro, O.; Johnson, C. R.; Williams, S. B.</t>
  </si>
  <si>
    <t>Stereo-imaging AUV detects trends in sea urchin abundance on deep overgrazed reefs</t>
  </si>
  <si>
    <t>LIMNOLOGY AND OCEANOGRAPHY-METHODS</t>
  </si>
  <si>
    <t>KELP BEDS; BARRENS; DIVERSITY; SOUTH</t>
  </si>
  <si>
    <t>Remote underwater vehicles are cutting-edge tools for mapping benthic habitats, yet their reliability for detecting patterns in abundance of benthic species remains largely unexplored. Here, we use a stereo-imaging AUV to investigate changes in abundance of the overgrazing sea urchin, Centrostephanus rodgersii, which has undergone climate driven range-extension to Tasmania. As part of ongoing bi-yearly monitoring of urchin impacts (June 2009-2013), the benthic stereo-imaging AUV (Sirius) surveyed fixed geo-referenced 25 x 25 m plots (625 m 2) on deep urchin barrens (25-30 m depth) and shallow barren/kelp transition zones (8-16 m) at two sites at St. Helens, northeast Tasmania (-41.25; 148.34). Coincident with initial AUV deployments, urchin abundance was also estimated in the same reef plots using conventional SCUBA diver belt-transects; with comparison of AUV and diver sampling showing AUV-derived estimates to be similar to 40% lower; while additional AUV sampling at night (high risk for divers in deep water) detected abundances only similar to 16% lower than that measured by daytime divers, demonstrating strong nocturnal emergence of C. rodgersii. Importantly, patterns in C. rodgersii abundance across reefs and depths were similar between methods; and long-term population trends were concordant between diver and AUV methods. At finer-scales, AUV detections were compromised where remnant kelp canopies obscured urchins, indicating divers to be superior for detecting early-warning of population increases within intact kelp beds. Comparison of C. rodgersii with two other macro-invertebrates (sea cucumber Australostichopus mollis and sea urchin Heliocidaris erythrogramma) revealed that while stereo-imaging AUVs can detect space/time variability in macro-invertebrate abundance, detectability is highly dependent on local ecologies and species-specific behaviours.</t>
  </si>
  <si>
    <t>[Ling, S. D.; Marzloff, M. P.; Johnson, C. R.] Univ Tasmania, Inst Marine &amp; Antarctic Studies, Hobart, Tas, Australia; [Mahon, I.; Pizarro, O.; Williams, S. B.] Univ Sydney, Australian Ctr Field Robot, Sydney, NSW 2006, Australia</t>
  </si>
  <si>
    <t>University of Tasmania; University of Sydney</t>
  </si>
  <si>
    <t>Ling, SD (corresponding author), Univ Tasmania, Inst Marine &amp; Antarctic Studies, Hobart, Tas, Australia.</t>
  </si>
  <si>
    <t>Scott.Ling@utas.edu.au</t>
  </si>
  <si>
    <t>Williams, Stefan/AAE-4376-2020; Johnson, Craig R/E-1788-2013; Marzloff, Martin/AAY-3833-2020; Ling, Scott/J-7161-2014</t>
  </si>
  <si>
    <t>Williams, Stefan/0000-0001-9416-5639; Marzloff, Martin/0000-0002-8152-4273; Pizarro, Oscar/0000-0001-6612-2738; Ling, Scott/0000-0002-5544-8174</t>
  </si>
  <si>
    <t>Australian Research Council (ARC); New South Wales State Government; Integrated Marine Observing System (IMOS); Fisheries Research and Development Corporation project [2007-045]</t>
  </si>
  <si>
    <t>Australian Research Council (ARC)(Australian Research Council); New South Wales State Government; Integrated Marine Observing System (IMOS); Fisheries Research and Development Corporation project(Fisheries R&amp;D Corp)</t>
  </si>
  <si>
    <t>The Australian Centre for Field Robotics is part of the ARC Centre of Excellence program, funded by the Australian Research Council (ARC) and the New South Wales State Government. Operational funds were contributed by the Integrated Marine Observing System (IMOS) and the Fisheries Research and Development Corporation project number 2007-045. The Tasmanian Aquaculture and Fisheries Institute provided ship time. Justin Hulls and the crew of the R/V Challenger were instrumental in facilitating successful deployment and recovery of the AUV. Duncan Mercer, George Powell, Matthew Johnson-Roberson, Stephen Barkby, Ritesh Lal, Paul Rigby, Jeremy Randle, Bruce Crundwell and the late Alan Trinder contributed to the development and operation of the AUV. Simon Talbot coordinated diving using the re-breathers.</t>
  </si>
  <si>
    <t>1541-5856</t>
  </si>
  <si>
    <t>LIMNOL OCEANOGR-METH</t>
  </si>
  <si>
    <t>Limnol. Oceanogr. Meth.</t>
  </si>
  <si>
    <t>10.1002/lom3.10089</t>
  </si>
  <si>
    <t>Limnology; Oceanography</t>
  </si>
  <si>
    <t>DM9IE</t>
  </si>
  <si>
    <t>WOS:000376678000001</t>
  </si>
  <si>
    <t>Wang, Y; Lan, J; Li, L</t>
  </si>
  <si>
    <t>Wang Yan; Lan Jian; Li Li</t>
  </si>
  <si>
    <t>The relation between the Mindanao Current and Mindanao Undercurrent on seasonal scale</t>
  </si>
  <si>
    <t>ACTA OCEANOLOGICA SINICA</t>
  </si>
  <si>
    <t>Mindanao Current; Mindanao Undercurrent; potential density; transport; seasonal variability</t>
  </si>
  <si>
    <t>WESTERN EQUATORIAL PACIFIC; WATER MASS-DISTRIBUTION; INTERMEDIATE WATER; TROPICAL PACIFIC; VARIABILITY; CIRCULATION; BOUNDARY; OCEAN; CLIMATOLOGY; DOME</t>
  </si>
  <si>
    <t>The ocean general circulation model for the earth simulator (OFES) products is applied to estimate the transports of the Mindanao Current (MC) and the Mindanao undercurrent (MUC) and explore the relation between them on seasonal scale. In general, the MUC is composed of the lower part of the Southern Pacific Tropical Water (SPTW) and Antarctic Intermediate Water (AAIW). While the deep northward core below 1 500 m is regarded as a portion of MUC. Both salinity and potential density restrictions become more reasonable to estimate the transports of MC/MUC as the properties of water mass having been taken into consideration. The climatological annual mean transport of MC is (37.4 +/- 5.81)x10(6) m(3)/s while that of MUC is (23.92 +/- 6.47)x10(6) m(3)/s integrated between 26.5 sigma(theta) and 27.7 sigma(theta), and (17.53 +/- 5.45)x10(6) m(3)/s integrated between 26.5 sigma(theta) and 27.5 sigma(theta) in the OFES. The variations of MC and MUC have good positive correlation with each other on the seasonal scale: The MC is stronger in spring and weaker in fall, which corresponds well with the MUC, and the correlation coefficient of them is 0.67 in the OFES. The same variations are also appeared in hybrid coordinate ocean model (HYCOM) results. Two sensitive experiments based on HYCOM are conducted to explore the relation between MC and MUC. The MUC (26.5&lt;27.7) is strengthening as the MC increases with the enhancement of zonal wind field. It is shown, however, that the main part of the increasement is the deeper northward high potential density water (HPDW), while the AAIW almost remains stable, SPTW decreases, and vice versa.</t>
  </si>
  <si>
    <t>[Wang Yan; Lan Jian; Li Li] Ocean Univ China, Coll Ocean &amp; Atmospher Sci, Qingdao 266100, Peoples R China; [Lan Jian] Ocean Univ China, Phys Oceanog Lab, Qingdao 266100, Peoples R China</t>
  </si>
  <si>
    <t>Ocean University of China; Ocean University of China</t>
  </si>
  <si>
    <t>Lan, J (corresponding author), Ocean Univ China, Coll Ocean &amp; Atmospher Sci, Qingdao 266100, Peoples R China.;Lan, J (corresponding author), Ocean Univ China, Phys Oceanog Lab, Qingdao 266100, Peoples R China.</t>
  </si>
  <si>
    <t>lanjian@ouc.edu.cn</t>
  </si>
  <si>
    <t>program of Global Change and Air-Sea Interaction [GASI-03-01-01-05]; National Basic Research Program of China [2012CB417404]; Chinese Ministry of Education [113041A]; National Natural Science Foundation of China [41276011, 41521091, U1406401]</t>
  </si>
  <si>
    <t>program of Global Change and Air-Sea Interaction; National Basic Research Program of China(National Basic Research Program of China); Chinese Ministry of Education(Ministry of Education, China); National Natural Science Foundation of China(National Natural Science Foundation of China (NSFC))</t>
  </si>
  <si>
    <t>The program of Global Change and Air-Sea Interaction under contract No. GASI-03-01-01-05; the National Basic Research Program of China under contract No. 2012CB417404; the Research Project of Chinese Ministry of Education under contract No. 113041A; the National Natural Science Foundation of China under contract Nos 41276011, 41521091 and U1406401.</t>
  </si>
  <si>
    <t>0253-505X</t>
  </si>
  <si>
    <t>1869-1099</t>
  </si>
  <si>
    <t>ACTA OCEANOL SIN</t>
  </si>
  <si>
    <t>Acta Oceanol. Sin.</t>
  </si>
  <si>
    <t>10.1007/s13131-016-0858-1</t>
  </si>
  <si>
    <t>DM0PZ</t>
  </si>
  <si>
    <t>WOS:000376049600001</t>
  </si>
  <si>
    <t>Zhang, X; Zhang, J; Liu, MJ; Meng, JM</t>
  </si>
  <si>
    <t>Zhang Xi; Zhang Jie; Liu Meijie; Meng Junmin</t>
  </si>
  <si>
    <t>Assessment of C-band compact polarimetry SAR for sea ice classification</t>
  </si>
  <si>
    <t>sea ice; SAR; compact polarimetry; sea ice classification; assessment and analysis</t>
  </si>
  <si>
    <t>DECOMPOSITION; BOHAI</t>
  </si>
  <si>
    <t>The C-band synthetic aperture radar (SAR) data from the Bohai Sea of China, the Labrador Sea in the Arctic and the Weddell Sea in the Antarctic are used to analyze and discuss the sea ice full polarimetric information reconstruction ability under compact polarimetric modes. The type of compact polarimetric mode which has the highest reconstructed accuracy is analyzed, along with the performance impact of the reconstructed pseudo quad-pol SAR data on the sea ice detection and sea ice classification. According to the assessment and analysis, it is recommended to adopt the CTLR mode for reconstructing the polarimetric parameters sigma(0)(HH), sigma(0)(VV), H and alpha, while for reconstructing the polarimetric parameters sigma(HV) rho(H-V), lambda(1) and lambda(2), it is recommended to use the pi/4 mode. Moreover, it is recommended to use the pi/4 mode in studying the action effects between the electromagnetic waves and sea ice, but it is recommended to use the CTLR mode for studying the sea ice classification.</t>
  </si>
  <si>
    <t>[Zhang Xi; Zhang Jie; Liu Meijie; Meng Junmin] State Ocean Adm, Inst Oceanog 1, Qingdao 266061, Peoples R China; [Liu Meijie] Qingdao Univ, Coll Phys, Qingdao 266071, Peoples R China</t>
  </si>
  <si>
    <t>First Institute of Oceanography, Ministry of Natural Resources; Qingdao University</t>
  </si>
  <si>
    <t>Liu, MJ (corresponding author), State Ocean Adm, Inst Oceanog 1, Qingdao 266061, Peoples R China.;Liu, MJ (corresponding author), Qingdao Univ, Coll Phys, Qingdao 266071, Peoples R China.</t>
  </si>
  <si>
    <t>liu_meijie@163.com</t>
  </si>
  <si>
    <t>MENG, Junmin/0000-0003-3358-8245</t>
  </si>
  <si>
    <t>National Science Foundation for Young Scientists of China [41306193]; National Special Research Fund for Non-profit Marine Sector [201305025-2]; Ministry of Science and Technology of the P.R. China [10501]; European Space Agency</t>
  </si>
  <si>
    <t>National Science Foundation for Young Scientists of China; National Special Research Fund for Non-profit Marine Sector; Ministry of Science and Technology of the P.R. China(Ministry of Science and Technology, China); European Space Agency(European Space Agency)</t>
  </si>
  <si>
    <t>The National Science Foundation for Young Scientists of China under contract No. 41306193; the National Special Research Fund for Non-profit Marine Sector under contract No. 201305025-2; the Dragon 3 Cooperation Programme under contract No. 10501 by the Ministry of Science and Technology of the P.R. China and the European Space Agency.</t>
  </si>
  <si>
    <t>ONE NEW YORK PLAZA, SUITE 4600, NEW YORK, NY, UNITED STATES</t>
  </si>
  <si>
    <t>10.1007/s13131-016-0856-3</t>
  </si>
  <si>
    <t>WOS:000376049600010</t>
  </si>
  <si>
    <t>Horton, JM; Wiles, GC; Lawson, DE; Appleton, SN; Wilch, J; Wiesenberg, N</t>
  </si>
  <si>
    <t>Horton, Jennifer M.; Wiles, Gregory C.; Lawson, Daniel E.; Appleton, Sarah N.; Wilch, Joseph; Wiesenberg, Nicholas</t>
  </si>
  <si>
    <t>Tree ring-dated glacial history for the first millennium CE, Casement Glacier and Adams Inlet, Glacier Bay, Alaska, USA</t>
  </si>
  <si>
    <t>ARCTIC ANTARCTIC AND ALPINE RESEARCH</t>
  </si>
  <si>
    <t>SOUTHEAST ALASKA; TEMPERATURE VARIABILITY; NATIONAL-PARK; MUIR INLET; ADVANCE; FLUCTUATIONS; PRESERVE; UPLIFT; SCALE; GULF</t>
  </si>
  <si>
    <t>Calendar dating of tree-ring series from 16 logs sampled near the margin of Casement Glacier combined with tree-ring dates on 36 detrital logs from Adams Inlet, Glacier Bay National Park and Preserve, Alaska, show killing of trees by ice and lake sediments from the mid-sixth through mid-seventh centuries C.E. The dates from the land-terminating Casement Glacier show ice advance into a forest between 560 and 570 C.E. within a few kilometers of the 2011 retreating margin.Advance of the tidewater glacier in Muir Inlet blocked offAdams Inlet forming Lake Adams between 540 and 640 C.E. This glacier and lake history for Glacier Bay is consistent with other land-terminating ice expansions across the Gulf of Alaska that similarly show advance centered on 600 C.E., as well as other proxy records from lakes all suggesting cooling during this interval. The cooling closely follows a series of eruptions in the mid to late sixth century, which may have contributed to the cooling. Radiocarbon ages in Adams Inlet suggest that Lake Adams persisted through 880 cal. yr C.E. and drained by 1170 cal. yr C.E. Ice retreat and this lake drainage are broadly coincident with Medieval warming recognized along the Gulf of Alaska in dendroclimatic reconstructions. Shortly after this retreat, Little Ice Age readvance occurred with Casement Glacier coalescing with glaciers in Adams Inlet and the West Arm, subsequently filling all of Glacier Bay to its Holocene maximum by 1750 C.E.</t>
  </si>
  <si>
    <t>[Horton, Jennifer M.; Wiles, Gregory C.; Appleton, Sarah N.; Wilch, Joseph; Wiesenberg, Nicholas] Coll Wooster, Dept Geol, 1189 Beall Ave, Wooster, OH 44691 USA; [Lawson, Daniel E.] CRREL, 72 Lyme Rd, Hanover, NH 03755 USA; [Lawson, Daniel E.] Dartmouth Coll, 72 Lyme Rd, Hanover, NH 03755 USA</t>
  </si>
  <si>
    <t>University System of Ohio; College of Wooster; United States Department of Defense; United States Army; U.S. Army Corps of Engineers; U.S. Army Engineer Research &amp; Development Center (ERDC); Cold Regions Research &amp; Engineering Laboratory (CRREL); Dartmouth College; United States Department of Defense; United States Army; U.S. Army Corps of Engineers; U.S. Army Engineer Research &amp; Development Center (ERDC); Cold Regions Research &amp; Engineering Laboratory (CRREL)</t>
  </si>
  <si>
    <t>Wiles, GC (corresponding author), Coll Wooster, Dept Geol, 1189 Beall Ave, Wooster, OH 44691 USA.</t>
  </si>
  <si>
    <t>gwiles@wooster.edu</t>
  </si>
  <si>
    <t>National Science Foundation [ATM-0902799, AGS-1502186]; Directorate For Geosciences; Div Atmospheric &amp; Geospace Sciences [1202218] Funding Source: National Science Foundation; Div Atmospheric &amp; Geospace Sciences; Directorate For Geosciences [1502186] Funding Source: National Science Foundation</t>
  </si>
  <si>
    <t>National Science Foundation(National Science Foundation (NSF)); Directorate For Geosciences; Div Atmospheric &amp; Geospace Sciences(National Science Foundation (NSF)NSF - Directorate for Geosciences (GEO)); Div Atmospheric &amp; Geospace Sciences; Directorate For Geosciences(National Science Foundation (NSF)NSF - Directorate for Geosciences (GEO))</t>
  </si>
  <si>
    <t>This work was supported by the National Science Foundation under grants ATM-0902799, ATM-0902799, and AGS-1502186. We appreciate the logistical support provided by the National Park Service at Glacier Bay National Park and Preserve and its ongoing collaboration in curating the Glacier Bay collection of interstadial wood. We would also like to thank three anonymous reviewers for their careful critique and advice.</t>
  </si>
  <si>
    <t>1523-0430</t>
  </si>
  <si>
    <t>1938-4246</t>
  </si>
  <si>
    <t>ARCT ANTARCT ALP RES</t>
  </si>
  <si>
    <t>Arct. Antarct. Alp. Res.</t>
  </si>
  <si>
    <t>10.1657/AAAR0015-038</t>
  </si>
  <si>
    <t>Environmental Sciences; Geography, Physical</t>
  </si>
  <si>
    <t>DM3DJ</t>
  </si>
  <si>
    <t>WOS:000376226700003</t>
  </si>
  <si>
    <t>Medrzycka, D; Benn, DI; Box, JE; Copland, L; Balog, J</t>
  </si>
  <si>
    <t>Medrzycka, Dorota; Benn, Douglas I.; Box, Jason E.; Copland, Luke; Balog, James</t>
  </si>
  <si>
    <t>Calving behavior at Rink Isbrae,West Greenland, from time-lapse photos</t>
  </si>
  <si>
    <t>SUBMARINE MELT RATE; OUTLET GLACIERS; WEST GREENLAND; TIDEWATER GLACIERS; HELHEIM GLACIER; EAST GREENLAND; SEASONAL VARIABILITY; LECONTE GLACIER; RAPID RETREAT; ICE-SHEET</t>
  </si>
  <si>
    <t>This study presents detailed observations of calving behavior variability from daily oblique photographs acquired over a five-year period (2007-2011) covering the terminus of Rink Isbrae, a major West Greenland outlet glacier. The evidence suggests that calving at Rink is characterized by two styles with distinct temporal and spatial footprints. The first style is characterized by frequent small magnitude events, which show clear seasonal variability with a marked increase in frequency immediately following ice melange breakup and a peak in July. The second style is characterized by the sporadic detachment of kilometer-sized tabular icebergs with no clear seasonal signal. We suggest that two sets of mechanisms control calving variability at this location, namely (1) melt-driven processes enhancing submarine undercutting and (2) mechanically driven buoyant flexure. The presence of sea ice and/or ice melange in the fjord presents an additional factor limiting calving in the winter.</t>
  </si>
  <si>
    <t>[Medrzycka, Dorota; Copland, Luke] Univ Ottawa, Dept Geog Environm &amp; Geomat, Ottawa, ON K1N 6N5, Canada; [Benn, Douglas I.] Univ St Andrews, Sch Geog &amp; Geosci, St Andrews KY16 9AL, Fife, Scotland; [Benn, Douglas I.] Univ Ctr Svalbard, Dept Arctic Geol, N-9171 Longyearbyen, Norway; [Box, Jason E.] Geol Survey Denmark &amp; Greenland, Dept Marine Geol &amp; Glaciol, DK-1350 Copenhagen, Denmark; [Balog, James] Earth Vis Inst, 2334 Broadway, Boulder, CO 80304 USA</t>
  </si>
  <si>
    <t>University of Ottawa; University of St Andrews; University Centre Svalbard (UNIS); Geological Survey Of Denmark &amp; Greenland</t>
  </si>
  <si>
    <t>Medrzycka, D (corresponding author), Univ Ottawa, Dept Geog Environm &amp; Geomat, Ottawa, ON K1N 6N5, Canada.</t>
  </si>
  <si>
    <t>dorota.medrzycka@uottawa.ca</t>
  </si>
  <si>
    <t>Box, Jason/H-5770-2013; Box, Jason E/AAE-1654-2019</t>
  </si>
  <si>
    <t>Box, Jason/0000-0003-0052-8705; Box, Jason E/0000-0003-0052-8705; Medrzycka, Dorota/0000-0002-5391-3239</t>
  </si>
  <si>
    <t>Conoco-Phillips Lundin Northern Areas Research Program; Natural Sciences and Engineering Research Council of Canada</t>
  </si>
  <si>
    <t>Conoco-Phillips Lundin Northern Areas Research Program; Natural Sciences and Engineering Research Council of Canada(Natural Sciences and Engineering Research Council of Canada (NSERC)CGIAR)</t>
  </si>
  <si>
    <t>This project was part of CRIOS (Calving Rates and Impact on Sea Level), funded by the Conoco-Phillips Lundin Northern Areas Research Program. Thanks are due to Nina Kirchner for support for Medrzycka at the University of Stockholm, and the Natural Sciences and Engineering Research Council of Canada for funding.</t>
  </si>
  <si>
    <t>INST ARCTIC ALPINE RES</t>
  </si>
  <si>
    <t>UNIV COLORADO, BOULDER, CO 80309 USA</t>
  </si>
  <si>
    <t>10.1657/AAAR0015-059</t>
  </si>
  <si>
    <t>WOS:000376226700004</t>
  </si>
  <si>
    <t>Gelderman, MS; Macdonald, SE; Gould, AJ</t>
  </si>
  <si>
    <t>Gelderman, Matthew S.; Macdonald, S. Ellen; Gould, A. Joyce</t>
  </si>
  <si>
    <t>Regeneration niche of whitebark pine in the Canadian Rocky Mountains: the basis to restoring an endangered species</t>
  </si>
  <si>
    <t>BLISTER RUST; SEEDLING ESTABLISHMENT; ALBICAULIS; FORESTS; RANGE; PRODUCTIVITY; MORTALITY; RICHNESS; DYNAMICS; PATTERNS</t>
  </si>
  <si>
    <t>Knowledge of regeneration processes of the endangered whitebark pine (Pinus albicaulis Engelm.) is critical for developing approaches for recovery and restoration of the species. We investigated biophysical associates of whitebark pine seedling occurrence and density in different mesohabitats (defined by community type and elevation) within the northern Rocky Mountains of Alberta. We developed candidate linear models to examine factors influencing occurrence and abundance. Occurrence was positively related to bare mineral soil and species richness in forest mesohabitats, while in both open and alpine-treeline environments it was positively related to prostrate shrub cover. Negative associates included tree cover, rocky substrates, and seedling cover of other conifers. Model validation showed a strong correlation between observed and predicted occurrence (correlations of 0.60, 0.56, and 0.56 for forest, open, and alpine-treeline mesohabitats, respectively). Climate models best predicted seedling density; abundance was highest on south-facing slopes in all mesohabitats. Correlations between observed and predicted density were 0.83, 0.92, and 0.72 for forest, open, and alpine-treeline mesohabitats, respectively. Our study identifies biophysical parameters to consider when planting blister rust-resistant seedlings and suggests that open mesohabitats along south-facing slopes may be best for regeneration of whitebark pine, particularly near the northern limits of its range.</t>
  </si>
  <si>
    <t>[Gelderman, Matthew S.] Box 36, Brownfield, AB T0C 0R0, Canada; [Macdonald, S. Ellen] Univ Alberta, Dept Renewable Resources, Gen Serv Bldg 751, Edmonton, AB T6G 2H1, Canada; [Gould, A. Joyce] Alberta Pk, 9820 106 St,2nd Floor, Edmonton, AB T5K 2J6, Canada</t>
  </si>
  <si>
    <t>University of Alberta</t>
  </si>
  <si>
    <t>Gelderman, MS (corresponding author), Box 36, Brownfield, AB T0C 0R0, Canada.</t>
  </si>
  <si>
    <t>mgelderm@ualberta.ca</t>
  </si>
  <si>
    <t>Alberta Parks; Alberta Conservation Association; Canadian Circumpolar Institute; Land Reclamation International Graduate School; Natural Sciences and Engineering Research Council of Canada CREATE program</t>
  </si>
  <si>
    <t>Alberta Parks; Alberta Conservation Association; Canadian Circumpolar Institute; Land Reclamation International Graduate School; Natural Sciences and Engineering Research Council of Canada CREATE program(Natural Sciences and Engineering Research Council of Canada (NSERC))</t>
  </si>
  <si>
    <t>Support for this investigation was provided by research grants from Alberta Parks, Alberta Conservation Association, and Canadian Circumpolar Institute, as well as student funding from the Land Reclamation International Graduate School and the Natural Sciences and Engineering Research Council of Canada CREATE program. We are incredibly grateful to Parks Canada and Alberta Parks for facilitating access into Jasper National Park and Willmore Wilderness Park, respectively. Scott Nielsen provided valuable insight into our approach for the statistical analysis of this investigation. Comments from Diana Tomback, Lynn Resler, and two anonymous reviewers helped improve this manuscript. Assistance in the field was provided by Denyse Dawe, Karen Anderson, Marge Meijer, Alana Clason, Duke Hunter, Matthew Wheatley, John Stadt, Richard Caners, Benoit Gendreau-Berthiaume, and Beth Gelderman.</t>
  </si>
  <si>
    <t>10.1657/AAAR0015-057</t>
  </si>
  <si>
    <t>WOS:000376226700005</t>
  </si>
  <si>
    <t>Bhiry, N; Marguerie, D; Lofthouse, S</t>
  </si>
  <si>
    <t>Bhiry, Najat; Marguerie, Dominique; Lofthouse, Susan</t>
  </si>
  <si>
    <t>Paleoenvironmental reconstruction and timeline of a Dorset-Thule settlement at Quaqtaq (Nunavik, Canada)</t>
  </si>
  <si>
    <t>EASTERN HUDSON-BAY; ENVIRONMENTAL-CHANGE; UNGAVA PENINSULA; LABRADOR; VARIABILITY; INUIT; GEOARCHAEOLOGY; EMERGENCE; GREENLAND; DYNAMICS</t>
  </si>
  <si>
    <t>A geoarchaeological and paleobotanical study of a Paleoeskimo and Neoeskimo site was undertaken in order to reconstruct site-formation processes. The study site JfEl-10 is located on Igloo Island, in Diana Bay, on the southern shore of Hudson Strait. It contains a peat-mineral deposit situated between two successive beach crests, close to a small marsh. Samples from the edge of the site, which consists of a remarkable section of stratigraphy 60 cm thick that contains alternating brown organic beds and light-colored sand beds, were examined in the laboratory. Macrofossil data and pollen data were used to reconstruct the local and regional vegetation and to determine climatic changes over the past 1200 years. The geoarchaeological study includes the stratigraphy and the sedimentology of archaeological sediments. The evolution of the site followed three successive environmental phases, and the site was home to two distinct cultures. The first phase (from ca. 1200 to ca. 950 cal. yr B.P.) was characterized by cold and mesic conditions and the Dorset occupation. In the second phase, conditions became more humid beginning ca. 950 cal. yr B.P. and lasted for approximately 450 years. This period is marked by the arrival of Thule Inuit, who hunted marine mammals in the vicinity. Zooarchaeological information indicated a fall/winter occupation during the Thule Inuit period. The third phase corresponds with the onset of the Little Ice Age (A.D. 1500-1850) and associated cooling. During this time, the Thule Inuit abandoned the site. If the increased cooling caused an earlier freeze-up of Diana Bay, this may have preveted the movement of walrus to their haul-out island during fall. Additionally, the faster accumulation of thick ice would have limited the hunting of seals through their breathing holes.</t>
  </si>
  <si>
    <t>[Bhiry, Najat] Univ Laval, Ctr Etud Nord, Quebec City, PQ G1V 0A6, Canada; [Bhiry, Najat] Univ Laval, Dept Geog, Quebec City, PQ G1V 0A6, Canada; [Marguerie, Dominique] Univ Rennes 1, CNRS, ECOBIO UMR6553, F-35042 Rennes, France; [Lofthouse, Susan] Avataq Cultural Inst, 360-4150 Ste Catherine O, Westmount, PQ H3Z 2Y5, Canada</t>
  </si>
  <si>
    <t>Laval University; Laval University; Centre National de la Recherche Scientifique (CNRS); CNRS - Institute of Ecology &amp; Environment (INEE); Universite de Rennes</t>
  </si>
  <si>
    <t>Bhiry, N (corresponding author), Univ Laval, Ctr Etud Nord, Quebec City, PQ G1V 0A6, Canada.;Bhiry, N (corresponding author), Univ Laval, Dept Geog, Quebec City, PQ G1V 0A6, Canada.</t>
  </si>
  <si>
    <t>najat.bhiry@cen.ulaval.ca</t>
  </si>
  <si>
    <t>Natural Sciences and Engineering Research Council of Canada (NSERC); Social Sciences and Humanities Research Council of Canada (SSHRC); IPEV (the French Polar Institute)</t>
  </si>
  <si>
    <t>Natural Sciences and Engineering Research Council of Canada (NSERC)(Natural Sciences and Engineering Research Council of Canada (NSERC)); Social Sciences and Humanities Research Council of Canada (SSHRC)(Social Sciences and Humanities Research Council of Canada (SSHRC)CGIAR); IPEV (the French Polar Institute)</t>
  </si>
  <si>
    <t>This project was supported by grants from the Natural Sciences and Engineering Research Council of Canada (NSERC), from the Social Sciences and Humanities Research Council of Canada (SSHRC), which supported the From Tuniit to Inuit project of the 2002-2003 CURA program), and from the IPEV (the French Polar Institute). Many thanks to the community of Quaqtaq and all of the participants in the 2002 fieldwork. Thanks are extended to Simon Laliberte for field assistance, E. Robert, N. Roy and D. Aoustin for laboratory help, G. Labrecque for radiocarbon dating, L. Marcoux and M. Bourgon Desroches for assistance in making the figures and tables, and L. Burns for his insightful comments on this manuscript. We would like to thank Claude Pinard for his collaboration during the fieldwork in the summer of 2002 and James Savelle for supervision of the zooarchaeological research.</t>
  </si>
  <si>
    <t>10.1657/AAAR0015-045</t>
  </si>
  <si>
    <t>WOS:000376226700006</t>
  </si>
  <si>
    <t>Steelandt, S; Pierson-Wickmann, AC; Bhiry, N; Marguerie, D; Bouhnik-Le Coz, M</t>
  </si>
  <si>
    <t>Steelandt, Stephanie; Pierson-Wickmann, Anne-Catherine; Bhiry, Najat; Marguerie, Dominique; Bouhnik-Le Coz, Martine</t>
  </si>
  <si>
    <t>Chemical differentiation between immersed and dry wood samples in Nunavik (northern Quebec, Canada) : preliminary results</t>
  </si>
  <si>
    <t>EASTERN HUDSON-BAY; WATER-QUALITY; STATISTICAL TECHNIQUES; ARCTIC ARCHIPELAGO; SPRUCE WOOD; DRIFTWOOD; STORAGE; WASHINGTON; STREAMS; DEBRIS</t>
  </si>
  <si>
    <t>The primary aim of this study was to differentiate immersed wood samples from dry wood samples based on chemical analysis. The method has been developed to be applied to wood found in archaeological sites to distinguish between driftwood and wood that was cut in the forest tundra and then transported to the sites. The results of our research show that Na concentrations in the immersed samples were much higher than in the dry samples for coniferous and deciduous wood samples. Principal components analysis (PCA) based on the element concentrations normalized to the total cation concentrations show that the data from the immersed wood samples and the dry wood samples clustered into two separate groups.</t>
  </si>
  <si>
    <t>[Steelandt, Stephanie; Bhiry, Najat] Univ Laval, Dept Geog, Pavillon Abitibi Price,2405 Rue Terrasse, Quebec City, PQ G1V 0A9, Canada; [Steelandt, Stephanie; Bhiry, Najat] Univ Laval, Ctr Etud Nord, Pavillon Abitibi Price,2405 Rue Terrasse, Quebec City, PQ G1V 0A9, Canada; [Pierson-Wickmann, Anne-Catherine; Bouhnik-Le Coz, Martine] Univ Rennes 1, CNRS, Observ Sci Univers Rennes, Geosci Rennes,UMR 6118, Campus Beaulieu, F-35042 Rennes, France; [Marguerie, Dominique] Univ Rennes 1, CNRS, Observ Sci Univers Rennes, Lab Archeosci,UMR CReAAH 6566, Campus Beaulieu, F-35042 Rennes, France</t>
  </si>
  <si>
    <t>Laval University; Laval University; Universite de Rennes; Centre National de la Recherche Scientifique (CNRS); CNRS - National Institute for Earth Sciences &amp; Astronomy (INSU); Universite de Rennes; Centre National de la Recherche Scientifique (CNRS); CNRS - Institute of Ecology &amp; Environment (INEE)</t>
  </si>
  <si>
    <t>Steelandt, S (corresponding author), Univ Laval, Dept Geog, Pavillon Abitibi Price,2405 Rue Terrasse, Quebec City, PQ G1V 0A9, Canada.;Steelandt, S (corresponding author), Univ Laval, Ctr Etud Nord, Pavillon Abitibi Price,2405 Rue Terrasse, Quebec City, PQ G1V 0A9, Canada.</t>
  </si>
  <si>
    <t>steelandt.steph@gmail.com</t>
  </si>
  <si>
    <t>Pierson-Wickmann, AC/IWE-0634-2023</t>
  </si>
  <si>
    <t>Pierson-Wickmann, AC/0000-0002-7715-3772</t>
  </si>
  <si>
    <t>Archaeosciences Laboratory and Observatory of Universe Sciences of the University of Rennes 1; Social Sciences and Humanities Research Council of Canada (SSHRC); Natural Sciences and Engineering Research Council of Canada (NSERC); Avataq Cultural Institute; Centre d'etudes nordiques (Laval University)</t>
  </si>
  <si>
    <t>Archaeosciences Laboratory and Observatory of Universe Sciences of the University of Rennes 1; Social Sciences and Humanities Research Council of Canada (SSHRC)(Social Sciences and Humanities Research Council of Canada (SSHRC)CGIAR); Natural Sciences and Engineering Research Council of Canada (NSERC)(Natural Sciences and Engineering Research Council of Canada (NSERC)); Avataq Cultural Institute; Centre d'etudes nordiques (Laval University)</t>
  </si>
  <si>
    <t>This project was supported by grants from the Archaeosciences Laboratory and Observatory of Universe Sciences of the University of Rennes 1, the Social Sciences and Humanities Research Council of Canada (SSHRC), the Natural Sciences and Engineering Research Council of Canada (NSERC to Bhiry), the Avataq Cultural Institute, and the Centre d'etudes nordiques (Laval University). We thank A. Delwaide for assistance in collecting the coniferous samples, and we are indebted to the anonymous reviewers for their helpful comments on this manuscript.</t>
  </si>
  <si>
    <t>10.1657/AAAR0014-082</t>
  </si>
  <si>
    <t>WOS:000376226700007</t>
  </si>
  <si>
    <t>Ruiz-Fernández, J; Oliva, M</t>
  </si>
  <si>
    <t>Ruiz-Fernandez, Jesus; Oliva, Marc</t>
  </si>
  <si>
    <t>Relative paleoenvironmental adjustments following deglaciation of the Byers Peninsula (Livingston Island, Antarctica)</t>
  </si>
  <si>
    <t>SOUTH SHETLAND ISLANDS; PRINCE GUSTAV CHANNEL; LAST GLACIAL MAXIMUM; JAMES-ROSS-ISLAND; ICE-SHEET; LATE-HOLOCENE; CLIMATE HISTORY; LIMNOPOLAR LAKE; VICTORIA LAND; ACTIVE-LAYER</t>
  </si>
  <si>
    <t>In the present context of fast warming in the Antarctic Peninsula (AP), understanding past and recent environmental dynamics is crucial to better assess future environmental responses in this region. Very detailed geomorphological maps can help to interpret the interaction between glacial, periglacial, and paraglacial systems. The Holocene environmental sequence on Byers Peninsula, an ice-free area in the westernmost part of Livingston Island (Maritime Antarctica), is still poorly understood. This paper focuses on the geomorphology of the Cerro Negro, a volcanic plug located on the southeast fringe of this peninsula. The distribution of landforms and deposits generated by different geomorphological processes provides insights into the Holocene environmental dynamics on Byers Peninsula. During the fieldwork campaign in January 2014, an accurate geomorphological map of Cerro Negro and its surroundings was generated. Four geomorphological environments were identified: hill, north slope, southern escarpment, and marine terraces and present-day beach. Periglacial landforms are abundant, especially patterned ground features (blockstreams, sorted stone circles, stone stripes). All these cryoturbation landforms, except blockstreams, are active under present-day climate conditions. In addition to a sequence of Holocene marine terraces and slope deposits, such as talus cones and rockfalls, there is a glacial moraine adjoining the northern slope of the hill. From the morphostratigraphic correlation between the active and inactive land forms, we infer three main phases describing the paleoenvironmental evolution in this area: (1) maximum glacial expansion; (2) Holocene glacial retreat, lake formation, and intense periglacial dynamics; and (3) deglaciation of the Byers Peninsula and widespread periglacial processes. The Cerro Negro has been a nunatak for most of the Holocene; the lake located near the summit of this hill appeared when most of the Byers Peninsula was still covered by glacial ice. This study constitutes an example of how an accurate geomorphological characterization of a small area can complement other approaches to generate a better understanding of the paleoenvironmental evolution in the region.</t>
  </si>
  <si>
    <t>[Ruiz-Fernandez, Jesus] Univ Oviedo, Dept Geog, Teniente Alfonso Martinez S-N, Oviedo 33011, Spain; [Oliva, Marc] Univ Lisbon, Ctr Geog Studies, Inst Geog &amp; Spatial Planning, Alameda Univ, P-1600214 Lisbon, Portugal</t>
  </si>
  <si>
    <t>University of Oviedo; Universidade de Lisboa</t>
  </si>
  <si>
    <t>Ruiz-Fernández, J (corresponding author), Univ Oviedo, Dept Geog, Teniente Alfonso Martinez S-N, Oviedo 33011, Spain.</t>
  </si>
  <si>
    <t>ruizjesus@uniovi.es</t>
  </si>
  <si>
    <t>Oliva, Marc/K-5423-2014</t>
  </si>
  <si>
    <t>Oliva, Marc/0000-0001-6521-6388</t>
  </si>
  <si>
    <t>10.1657/AAAR0015-014</t>
  </si>
  <si>
    <t>WOS:000376226700009</t>
  </si>
  <si>
    <t>Chen, J; Zhao, L; Sheng, Y; Li, J; Wu, XD; Du, EJ; Liu, GY; Pang, QQ</t>
  </si>
  <si>
    <t>Chen, Ji; Zhao, Lin; Sheng, Yu; Li, Jing; Wu, Xiao-dong; Du, Er-ji; Liu, Guang-yue; Pang, Qiang-qiang</t>
  </si>
  <si>
    <t>Some characteristics of permafrost and its distribution in the Gaize area on the Qinghai-Tibet Plateau, China</t>
  </si>
  <si>
    <t>ACTIVE-LAYER THICKNESS; THERMAL STATE; DEGRADATION; ALASKA</t>
  </si>
  <si>
    <t>An investigation of permafrost in the Gaize area in the west Qinghai-Tibet Plateau in China was conducted in October and November of 2010 and 2011. It was found that mean annual ground temperature was &gt;-1 degrees C with a permafrost thickness of &lt;60 m in the widespread alpine steppe below an altitude of 5400 m a.s.l. The active layer thickness was usually deeper than 3 m with a maximum of about 5.7 m. Overall, the ice/water content of the top 15 m of frozen soil was usually &lt;10%. The altitudinal limit of permafrost in the alpine steppe was about 5100, 5000, and 4950 m a.s.l. on south-, eastwest-, and north-facing slopes, respectively. A permafrost map was constructed using the ARCGIS platform and topographic information from the TOPO 30 digital elevation model. Statistical analysis of the map revealed that permafrost is primarily distributed in the hilly/mountainous areas of Gaize, covering 51% of the study area. The area of permafrost in this map is considerably less than in the Permafrost Map of the Qinghai Tibet Plateau drawn in 1996. Further analysis revealed that the large difference between the two maps could be attributed to both errors in the earlier mapping method and permafrost degradation.</t>
  </si>
  <si>
    <t>[Chen, Ji; Zhao, Lin; Sheng, Yu; Li, Jing; Wu, Xiao-dong; Du, Er-ji; Liu, Guang-yue; Pang, Qiang-qiang] Chinese Acad Sci, Cold &amp; Arid Reg Environm &amp; Engn Res Inst, Lanzhou 730000, Peoples R China; [Chen, Ji; Sheng, Yu; Li, Jing] State Key Lab Frozen Soil Engn, Lanzhou 730000, Peoples R China; [Chen, Ji] Beiluhe Observat &amp; Res Stn Frozen Soil Engn &amp; Env, Lanzhou 730000, Peoples R China; [Zhao, Lin; Wu, Xiao-dong; Du, Er-ji; Liu, Guang-yue; Pang, Qiang-qiang] Chinese Acad Sci, Cryosphere Res Stn Qinghai Tibetan Plateau, Lanzhou 730000, Peoples R China</t>
  </si>
  <si>
    <t>Chinese Academy of Sciences; Cold &amp; Arid Regions Environmental &amp; Engineering Research Institute, CAS; Chinese Academy of Sciences; Chinese Academy of Sciences</t>
  </si>
  <si>
    <t>Chen, J (corresponding author), Chinese Acad Sci, Cold &amp; Arid Reg Environm &amp; Engn Res Inst, Lanzhou 730000, Peoples R China.;Chen, J (corresponding author), State Key Lab Frozen Soil Engn, Lanzhou 730000, Peoples R China.;Chen, J (corresponding author), Beiluhe Observat &amp; Res Stn Frozen Soil Engn &amp; Env, Lanzhou 730000, Peoples R China.</t>
  </si>
  <si>
    <t>chenji@lzb.ac.cn</t>
  </si>
  <si>
    <t>SHENG, Yu/GXZ-8269-2022; Zhao, Lin/M-9536-2018</t>
  </si>
  <si>
    <t>Zhao, Lin/0000-0003-0245-8413</t>
  </si>
  <si>
    <t>National Basic Research Program of China [2013CBA01803]; National Natural Science Foundation of China [41101065]; CAS Equipment Development Project for Scientific Research [YZ201523]</t>
  </si>
  <si>
    <t>National Basic Research Program of China(National Basic Research Program of China); National Natural Science Foundation of China(National Natural Science Foundation of China (NSFC)); CAS Equipment Development Project for Scientific Research</t>
  </si>
  <si>
    <t>This work was financially supported by the National Basic Research Program of China (Grant No. 2013CBA01803), the National Natural Science Foundation of China (Grant No. 41101065), and CAS Equipment Development Project for Scientific Research (Grant No. YZ201523). Thanks to the Environmental and Ecological Science Data Center for West China (http://westdc.westgis.ac.cn/), who provided the 90 m DEM data of the study area, and Editage (http://online.editage.cn/dashboard) for English language editing. We also thank Tingjun Zhang and other two anonymous reviewers for their good advice and every member attending the 2010 permafrost survey in the western Qinghai-Tibet Plateau.</t>
  </si>
  <si>
    <t>10.1657/AAAR0014-023</t>
  </si>
  <si>
    <t>WOS:000376226700012</t>
  </si>
  <si>
    <t>Sen, A; Ahammed, YN; Banerjee, T; Chatterjee, A; Choudhuri, AK; Das, T; Deb, NC; Dhir, A; Goel, S; Khan, AH; Mandal, TK; Murari, V; Pal, S; Rao, PS; Saxena, M; Sharma, SK; Sharma, A; Vachaspati, CV</t>
  </si>
  <si>
    <t>Sen, Avirup; Ahammed, Yadiki Nazeer; Banerjee, Tirthankar; Chatterjee, Abhijit; Choudhuri, Anil Kumar; Das, Trupti; Deb, Narayan Chandara; Dhir, Amit; Goel, Sangita; Khan, Altaf Hussain; Mandal, Tuhin Kumar; Murari, Vishnu; Pal, Shrimanta; Rao, Padma Shrinivas; Saxena, Mohit; Sharma, Sudhir Kumar; Sharma, Ashima; Vachaspati, Chaturvedula Viswanatha</t>
  </si>
  <si>
    <t>Spatial variability in ambient atmospheric fine and coarse mode aerosols over Indo-Gangetic plains, India and adjoining oceans during the onset of summer monsoons, 2014</t>
  </si>
  <si>
    <t>ATMOSPHERIC POLLUTION RESEARCH</t>
  </si>
  <si>
    <t>PM2.5; PM10; Cluster analysis; PSCF; CWT</t>
  </si>
  <si>
    <t>PM1 AEROSOLS; ARABIAN SEA; BENGAL; BAY; ICARB; GASES; PM2.5; AIR</t>
  </si>
  <si>
    <t>Enhanced transport of dust with the prevailing mid to upper tropospheric westerly winds from arid regions in South-west Asia and North-west India into the Indo-Gangetic Plain (IGP) and the influx of marine aerosol from the Arabian Sea (AS), Tropical Indian Ocean (TIO) and Southern Bay of Bengal (SBoB) into India along with the low level south-west wind flow during the onset of the South-west (SW) monsoon, 2014 was observed in campaign mode. Ambient airborne particulates (PM2.5 and PM10) were collected at 9 sites in and around IGP, India, viz. Patiala, Delhi, Lucknow, Varanasi, Giridih, Kolkata, Darjeeling, Bhubaneswar and Nagpur; over AS, TIO and SBoB providing a glimpse into the aerosol loading and its transport mechanisms. The highest average PM2.5 (61.8 +/- 18.6 mg m(-3)) and PM10 (182.2 +/- 58.0 mg m(-3)) mass concentrations were recorded at Delhi (upper IGP) and Lucknow (middle IGP) respectively. Average PM2.5 (18.1 +/- 10.1 mg m(-3)) and PM10 (39.6 +/- 15.8 mg m(-3)) levels recorded over the open oceanic regions in AS, TIO and SBoB were much lower than those observed over the land stations and the average PM2.5 recorded over coastal AS and SBoB (49.1 +/- 28.7 mg m(-3)). Cluster analysis, Potential Source Contribution Function (PSCF) and Concentration Weighted Trajectory (CWT) analysis portray that PM2.5 and PM10 levels at the land stations were influenced by weak to moderate contributions from AS, BoB, the arid South-west Asia and North-west India, peninsular India and from the polluted IGP region. Copyright (C) 2016 Turkish National Committee for Air Pollution Research and Control. Production and hosting by Elsevier B.V. All rights reserved.</t>
  </si>
  <si>
    <t>[Sen, Avirup; Mandal, Tuhin Kumar; Saxena, Mohit; Sharma, Sudhir Kumar; Sharma, Ashima] CSIR Natl Phys Lab, Dr KS Krishnan Rd, New Delhi 110012, India; [Ahammed, Yadiki Nazeer; Vachaspati, Chaturvedula Viswanatha] Yogi Vemana Univ, Dept Phys, Kadapa 516216, Andhra Pradesh, India; [Banerjee, Tirthankar; Murari, Vishnu] Banaras Hindu Univ, Inst Environm &amp; Sustainable Dev, Varanasi 221005, Uttar Pradesh, India; [Chatterjee, Abhijit] Bose Inst, Ctr Astroparticle Phys &amp; Space Sci, Kolkata 700091, W Bengal, India; [Choudhuri, Anil Kumar] Indian Stat Inst, Giridih 815301, Jharkhand, India; [Das, Trupti] CSIR Inst Minerals &amp; Mat Technol, Bhubaneswar 751013, Odisha, India; [Deb, Narayan Chandara; Pal, Shrimanta] Indian Stat Inst, BT Rd, Kolkata 700108, W Bengal, India; [Dhir, Amit] Thapar Univ, Sch Energy &amp; Environm, Patiala 147004, Punjab, India; [Goel, Sangita; Rao, Padma Shrinivas] CSIR Natl Environm Engn Res Inst, Nehru Marg, Nagpur 440020, Maharashtra, India; [Khan, Altaf Hussain] CSIR Indian Inst Toxicol Res, Lucknow 226001, Uttar Pradesh, India</t>
  </si>
  <si>
    <t>Council of Scientific &amp; Industrial Research (CSIR) - India; CSIR - National Physical Laboratory (NPL); Yogi Vemana University; Banaras Hindu University (BHU); Department of Science &amp; Technology (India); Bose Institute; Indian Statistical Institute; Council of Scientific &amp; Industrial Research (CSIR) - India; CSIR - Institute of Minerals &amp; Materials Technology (IMMT); Indian Statistical Institute; Indian Statistical Institute Kolkata; Thapar Institute of Engineering &amp; Technology; Council of Scientific &amp; Industrial Research (CSIR) - India; CSIR - National Environmental Engineering Research Institute (NEERI); Council of Scientific &amp; Industrial Research (CSIR) - India; CSIR - Indian Institute of Toxicology Research (IITR)</t>
  </si>
  <si>
    <t>Mandal, TK (corresponding author), CSIR Natl Phys Lab, Radio &amp; Atmospher Sci Div, Dr KS Krishnan Rd, New Delhi 110012, India.</t>
  </si>
  <si>
    <t>tuhin@nplindia.org</t>
  </si>
  <si>
    <t>Goel, Sangita Ghatge/AAG-9006-2020; Mandal, Tuhin Kumar/AGP-4618-2022; Ahammed, Yadiki Nazeer/AAM-1604-2021; Sharma, Sudhir Kumar/AAI-5961-2020; Banerjee/A-6197-2010; Sharma, Sudhir Kumar/V-9833-2019; Murari, Vishnu/E-4299-2013; Sharma, Sudhir/ITT-7007-2023</t>
  </si>
  <si>
    <t>Murari, Vishnu/0000-0002-8712-764X; Sharma, Sudhir/0000-0001-6932-9160; Mandal, Tuhin Kumar/0000-0003-0142-1512</t>
  </si>
  <si>
    <t>CSIR, New Delhi; University Grants Commission, New Delhi</t>
  </si>
  <si>
    <t>CSIR, New Delhi(Council of Scientific &amp; Industrial Research (CSIR) - India); University Grants Commission, New Delhi(University Grants Commission, India)</t>
  </si>
  <si>
    <t>The authors are grateful to the Director, CSIR-NPL, India and Head RASD, CSIR-NPL, India for their encouragement and support during the course of the work. Avirup Sen is indebted to CSIR, New Delhi for providing SPMF-SRF fellowship to carry out this research. Two of the authors, S. Goel and Padma S. Rao, would like to thank Director, CSIR-NEERI for his continuous support and guidance. We acknowledge the Indian Meteorological Department for allowing the usage of the meteorological data at respective sites. Authors duly acknowledge the financial support provided by University Grants Commission, New Delhi for sampling at BHU, Varanasi. The authors are grateful to Director, IITR, Lucknow for his encouragement and support and permission to participate in this study. Authors are thankful to ISRO - GBP for their financial assistance in the form of Research project under ARFI Network stations for sampling at Kadapa. Authors acknowledge Prof Sibaji Raha for all support for carrying out the observation at Kolkata and Darjeeling. Authors acknowledge the technical support of Mr Sabyasachi Majee, Darjeeling and Mr Bhaskar Ray and Miss Debolina Seal, Kolkata. The authors are thankful to Director, Indian Statistical Institute and Head, Human Resources Development Group, CSIR, Extramural Research division, New Delhi for their encouragement and support for this study at Giridih. Authors are thankful to The National Centre for Antarctic and Ocean Research (NCAOR) for providing the wetopportunity in ORV Sagar Nidhi (SN-85) for participating in South West Tropical Indian Ocean (SWTIO) and ORV Sagar Kanya (SK-313) for carrying out scientific work. Authors are grateful to National Oceanic and Atmospheric Administration's (NOAA) for allowing the trajectory calculation using Hybrid Single Particle Lagrangian Integrated Trajectory (HYSPLIT) model.</t>
  </si>
  <si>
    <t>TURKISH NATL COMMITTEE AIR POLLUTION RES &amp; CONTROL-TUNCAP</t>
  </si>
  <si>
    <t>BUCA</t>
  </si>
  <si>
    <t>DOKUZ EYLUL UNIV, DEPT ENVIRONMENTAL ENGINEERING, TINAZTEPE CAMPUS, BUCA, IZMIR 35160, TURKEY</t>
  </si>
  <si>
    <t>1309-1042</t>
  </si>
  <si>
    <t>ATMOS POLLUT RES</t>
  </si>
  <si>
    <t>Atmos. Pollut. Res.</t>
  </si>
  <si>
    <t>10.1016/j.apr.2016.01.001</t>
  </si>
  <si>
    <t>DM2LE</t>
  </si>
  <si>
    <t>WOS:000376177400017</t>
  </si>
  <si>
    <t>Krafft, BA; Kvalsund, M; Sovik, G; Farestveit, E; Agnalt, AL</t>
  </si>
  <si>
    <t>Krafft, Bjorn A.; Kvalsund, Merete; Sovik, Guldborg; Farestveit, Eva; Agnalt, Ann-Lisbeth</t>
  </si>
  <si>
    <t>DETECTION OF GROWTH ZONES IN THE EYESTALK OF THE ANTARCTIC KRILL EUPHAUSIA SUPERBA (DANA, 1852) (EUPHAUSIACEA)</t>
  </si>
  <si>
    <t>JOURNAL OF CRUSTACEAN BIOLOGY</t>
  </si>
  <si>
    <t>age determination; Antarctica; fishery management; Southern Ocean</t>
  </si>
  <si>
    <t>SOUTHEAST ATLANTIC SECTOR; AGE-DETERMINATION; GASTRIC MILL; BODY LENGTH; BAND COUNTS; LIPOFUSCIN; TETRACYCLINE; VALIDATION; SHRINKAGE; LOBSTER</t>
  </si>
  <si>
    <t>No reliable measures of age currently exist in the Antarctic krill, Euphausia superba (Dana, 1852). The eyestalks from 51 individuals were dissected, cut in longitudinal sections and studied for identifying growth zones. The krill was collected at the South Orkney Islands during January and February 2015, and varied between 30 and 53 mm in total body length. Up to six growth zones were identified, each zone consisting of one light and one dark section. The width of the longitudinal sections increased with increasing body length, although there were differences between sexes. Females tended to have narrower growth zones from the third zone and onwards compared with males. Data show that male subadult stages (MIIA1, MIIA2 and MIIA3) had 2.2 +/- 0.8 (average +/- SD) zones and adult male stages had 3.8 +/- 0.8 zones. The female juvenile stage (FHB) had 1.7 +/- 0.5 zones and adult females (FIIIA-E) had 3.7 +/- 1.0 zones. There were positive relationships between the number of zones and the maturity stage, and between the number of zones and body length. Further knowledge about molting process in the Antarctic krill and a verification of the ageing procedure from krill with a known age is needed before the number of growth zones can be definitely established as an indicator of age. The detection of growth zones in the Antarctic krill will be an important contribution to the understanding of the biology of the species if the zones actually represent annual growth.</t>
  </si>
  <si>
    <t>[Krafft, Bjorn A.; Kvalsund, Merete; Sovik, Guldborg; Farestveit, Eva; Agnalt, Ann-Lisbeth] Inst Marine Res, POB 1870 Nordnes, N-5817 Bergen, Norway</t>
  </si>
  <si>
    <t>Institute of Marine Research - Norway</t>
  </si>
  <si>
    <t>Krafft, BA (corresponding author), Inst Marine Res, POB 1870 Nordnes, N-5817 Bergen, Norway.</t>
  </si>
  <si>
    <t>bjorn.krafft@imr.no</t>
  </si>
  <si>
    <t>Institute of Marine Research (IMR), Norway; Norwegian Research Council</t>
  </si>
  <si>
    <t>Institute of Marine Research (IMR), Norway; Norwegian Research Council(Research Council of Norway)</t>
  </si>
  <si>
    <t>We thank Dr. Raouf Kilada (University of New Brunswick, Canada) course instructor and the participants of an age determination workshop on crustaceans at the Marine Research Institute in Iceland, February 2015 for inspiring us to continue work on the Antarctic krill. Financial support was provided by The Institute of Marine Research (IMR), Norway and The Norwegian Research Council. Thanks to Olympic ASA for providing their vessel and crew free of charge allowing us to collect the material used in this study. We also thank Jane A. Godiksen and Ase Husebo at IMR's otolith laboratory and Julie Skadal and Prof. Audrey Geffen (University of Bergen, Norway) for support and use of their laboratory facilitaties. We thank three anonymous reviewers for their valuable comments to our manuscript.</t>
  </si>
  <si>
    <t>0278-0372</t>
  </si>
  <si>
    <t>1937-240X</t>
  </si>
  <si>
    <t>J CRUSTACEAN BIOL</t>
  </si>
  <si>
    <t>J. Crustac. Biol.</t>
  </si>
  <si>
    <t>10.1163/1937240X-00002428</t>
  </si>
  <si>
    <t>Marine &amp; Freshwater Biology; Zoology</t>
  </si>
  <si>
    <t>DM0SK</t>
  </si>
  <si>
    <t>WOS:000376055900001</t>
  </si>
  <si>
    <t>Egginton, S; Campbell, HA</t>
  </si>
  <si>
    <t>Egginton, Stuart; Campbell, Hamish A.</t>
  </si>
  <si>
    <t>Cardiorespiratory responses in an Antarctic fish suggest limited capacity for thermal acclimation</t>
  </si>
  <si>
    <t>JOURNAL OF EXPERIMENTAL BIOLOGY</t>
  </si>
  <si>
    <t>Heart rate variability; Oxygen consumption; Vagal tone</t>
  </si>
  <si>
    <t>PAGOTHENIA-BORCHGREVINKI; NOTOTHENIOID FISH; TEMPERATURES; COLD</t>
  </si>
  <si>
    <t>Polar fishes are at high risk from increasing seawater temperatures. Characterising the physiological responses to such changes may both clarify mechanisms that permit life under extreme conditions and identify limitations in the response to continued global warming. We hypothesised that Notothenia coriiceps would show physiological compensation after an acute exposure to 5 degrees C, and following 6 weeks warm acclimation, compared with ambient temperature (0 degrees C). However, initial tachycardia (22.4 +/- 2.8 versus 12.8 +/- 1.1 min(-1); P&lt;0.01) was not reversed by acclimation (21.0 +/- 1.9 min(-1)). Hyperventilation (45.5 +/- 3.1 versus 21.4 +/- 2.4 breaths min(-1); P&lt;0.001) showed a modest reduction following acclimation (38.0 +/- 2.9 min(-1); P&lt;0.05), while resting oxygen consumption (0.52 +/- 0.08 mmol kg(-1) h(-1)) was acutely increased at 5 +/- C (1.07 +/- 0.10 mmol kg(-1) h(-1); P&lt;0.001) but unchanged with acclimation. Autonomic blockade showed initial responses were mainly of vagal origin, with little subsequent withdrawal or recovery in long-term heart rate variability after 6 weeks. Given the limited cardiorespiratory capacity to withstand sustained warming, effective physiological compensation probably requires a more prolonged acclimation period.</t>
  </si>
  <si>
    <t>[Egginton, Stuart] Univ Leeds, Sch Biomed Sci, Multidisciplinary Cardiovasc Res Ctr, Garstang 5-64,Clarendon Way, Leeds LS2 9JT, W Yorkshire, England; [Campbell, Hamish A.] Charles Darwin Univ, Sch Environm, Darwin, NT 0909, Australia</t>
  </si>
  <si>
    <t>University of Leeds; Charles Darwin University</t>
  </si>
  <si>
    <t>Egginton, S (corresponding author), Univ Leeds, Sch Biomed Sci, Multidisciplinary Cardiovasc Res Ctr, Garstang 5-64,Clarendon Way, Leeds LS2 9JT, W Yorkshire, England.</t>
  </si>
  <si>
    <t>s.egginton@leeds.ac.uk</t>
  </si>
  <si>
    <t>Egginton, Stuart/0000-0002-3084-9692; Campbell, Hamish/0000-0003-1428-1686</t>
  </si>
  <si>
    <t>Natural Environment Research Council [GR3/AFI12/43]</t>
  </si>
  <si>
    <t>Natural Environment Research Council(UK Research &amp; Innovation (UKRI)Natural Environment Research Council (NERC))</t>
  </si>
  <si>
    <t>This research was funded by the Natural Environment Research Council (GR3/AFI12/43).</t>
  </si>
  <si>
    <t>COMPANY OF BIOLOGISTS LTD</t>
  </si>
  <si>
    <t>BIDDER BUILDING CAMBRIDGE COMMERCIAL PARK COWLEY RD, CAMBRIDGE CB4 4DL, CAMBS, ENGLAND</t>
  </si>
  <si>
    <t>0022-0949</t>
  </si>
  <si>
    <t>1477-9145</t>
  </si>
  <si>
    <t>J EXP BIOL</t>
  </si>
  <si>
    <t>J. Exp. Biol.</t>
  </si>
  <si>
    <t>MAY 1</t>
  </si>
  <si>
    <t>10.1242/jeb.130963</t>
  </si>
  <si>
    <t>Biology</t>
  </si>
  <si>
    <t>Life Sciences &amp; Biomedicine - Other Topics</t>
  </si>
  <si>
    <t>DM1PK</t>
  </si>
  <si>
    <t>WOS:000376118300010</t>
  </si>
  <si>
    <t>Wiff, R; Quiroz, JC; Neira, S; Gacitúa, S; Barrientos, MA</t>
  </si>
  <si>
    <t>Wiff, Rodrigo; Quiroz, J. C.; Neira, Sergio; Gacitua, Santiago; Barrientos, Mauricio A.</t>
  </si>
  <si>
    <t>Chilean fishing law, maximum sustainable yield and the stock-recruitment relationship</t>
  </si>
  <si>
    <t>LATIN AMERICAN JOURNAL OF AQUATIC RESEARCH</t>
  </si>
  <si>
    <t>MSY; steepness; stock-recruitment function; fisheries management; demersal fish stocks; Chilean fisheries</t>
  </si>
  <si>
    <t>STEEPNESS; METAANALYSIS</t>
  </si>
  <si>
    <t>During 2013, the Chilean fishing law was amended to incorporate, among other changes, the maximum sustainable yield (MSY) as target reference point for managing fishery resources. This mandate triggered the estimation of MSY-based reference points (RPs) in each fishery subject to catch limits in Chile. Recent investigations indicate that production models provide MSY-based RPs, which are predicted only by using the steepness of the stock-recruitment relationship (h). In this paper, we compare predicted MSY-based RPs using production models with estimates from an age-structured per-recruit model for eleven demersal stocks harvested in Chile. The MSY-based RPs assessed were: 1) The ratio between the biomass leading to MSY to the unfished biomass (B-msy/B-0); 2) the ratio between the fishing mortality that gives the MSY and natural mortality (F-msy/M); 3) the ratio of spawning biomass per recruit (SR) when the population is fished at F-msy to the spawning biomass per recruit of an unfished population (SR(F-msy)/SR0 = SPRmsy). The production model provides B-msy/B-0 and SPRmsy that well predicted estimates from the age-structured models in most of the species analyzed. However, F-msy/M was overestimated by the production model in most of the stocks. We discuss the dependence of h with the MSY-based RPs in light of the Chilean fishing law. This paper reveals the complexity of implementing the Chilean Fishing Law into real situations and the uncertainty surrounding the estimation of h and, by extension, MSY and MSY-based RPs.</t>
  </si>
  <si>
    <t>[Wiff, Rodrigo; Gacitua, Santiago] Pontificia Univ Catolica Chile, Ctr Appl Ecol &amp; Sustainabil CAPES, Alameda 340, Santiago, Chile; [Quiroz, J. C.] Univ Tasmania, Inst Marine &amp; Antarctic Studies, Hobart, Tas, Australia; [Quiroz, J. C.] Inst Fomento Pesquero IFOP, Div Invest Pesquera, Valparaiso, Chile; [Neira, Sergio] Univ Concepcion, Dept Oceanog, Copas Sur Austral, Concepcion, Chile; [Barrientos, Mauricio A.] Pontificia Univ Catolica Valparaiso, Inst Matemat, Valparaiso, Chile</t>
  </si>
  <si>
    <t>Pontificia Universidad Catolica de Chile; University of Tasmania; Instituto de Fomento Pesquero (Valparaiso); Universidad de Concepcion; Pontificia Universidad Catolica de Valparaiso</t>
  </si>
  <si>
    <t>Wiff, R (corresponding author), Pontificia Univ Catolica Chile, Ctr Appl Ecol &amp; Sustainabil CAPES, Alameda 340, Santiago, Chile.</t>
  </si>
  <si>
    <t>rodrigo.wiff@gmail.com</t>
  </si>
  <si>
    <t>Quiroz, JC/A-9938-2010; Neira, Sergio/JJE-3519-2023; Quiroz, Juan-Carlos/N-7937-2015</t>
  </si>
  <si>
    <t>Quiroz, Juan-Carlos/0000-0002-2831-7689</t>
  </si>
  <si>
    <t>CONICYT/FONDECYT Post-doctoral project [3130425]; CONICYT project CAPES [FB 0002]; CONICYT BECAS-CHILE scholarship from the Chilean Government; Top-Up University of Tasmania Flagship Postgraduate Scholarship</t>
  </si>
  <si>
    <t>CONICYT/FONDECYT Post-doctoral project(Comision Nacional de Investigacion Cientifica y Tecnologica (CONICYT)CONICYT FONDECYT); CONICYT project CAPES; CONICYT BECAS-CHILE scholarship from the Chilean Government; Top-Up University of Tasmania Flagship Postgraduate Scholarship</t>
  </si>
  <si>
    <t>We are grateful to two anonymous reviewers for their valuable comments and suggestions. This manuscript was funded by CONICYT/FONDECYT Post-doctoral project number 3130425 and CONICYT project CAPES FB 0002. J.C. Quiroz was awarded with the CONICYT BECAS-CHILE scholarship from the Chilean Government and the Top-Up University of Tasmania Flagship Postgraduate Scholarship.</t>
  </si>
  <si>
    <t>UNIV CATOLICA DE VALPARAISO</t>
  </si>
  <si>
    <t>VALPARAISO</t>
  </si>
  <si>
    <t>AV BRASIL 2950, PO BOX 4059, VALPARAISO, CHILE</t>
  </si>
  <si>
    <t>0718-560X</t>
  </si>
  <si>
    <t>0717-7178</t>
  </si>
  <si>
    <t>LAT AM J AQUAT RES</t>
  </si>
  <si>
    <t>Lat. Am. J. Aquat. Res.</t>
  </si>
  <si>
    <t>10.3856/vol44-issue2-fulltext-19</t>
  </si>
  <si>
    <t>Fisheries; Marine &amp; Freshwater Biology</t>
  </si>
  <si>
    <t>DM2DG</t>
  </si>
  <si>
    <t>Green Accepted, Green Submitted, Green Published, gold</t>
  </si>
  <si>
    <t>WOS:000376155900019</t>
  </si>
  <si>
    <t>Gómez, I; Español, S; Véliz, K; Huovinen, P</t>
  </si>
  <si>
    <t>Gomez, Ivan; Espanol, Sonia; Veliz, Karina; Huovinen, Pirjo</t>
  </si>
  <si>
    <t>Spatial distribution of phlorotannins and its relationship with photosynthetic UV tolerance and allocation of storage carbohydrates in blades of the kelp Lessonia spicata</t>
  </si>
  <si>
    <t>BROWN ALGAL PHLOROTANNINS; MAJOR ORGANIC-COMPOUNDS; SOUTH-PACIFIC KELPS; ULTRAVIOLET-RADIATION; MORPHOFUNCTIONAL PATTERNS; NIGRESCENS LAMINARIALES; SIMULATED HERBIVORY; ASCOPHYLLUM-NODOSUM; FUCUS-VESICULOSUS; MARINE MACROALGAE</t>
  </si>
  <si>
    <t>The action of an intercalary meristem in the fronds determines the growth patterns of the sub-Antarctic kelp Lessonia spicata, which result in gradients in physiological activity and tissue composition. In this study, the allocation of phenolic compounds (phlorotannins) was examined in relation with the longitudinal patterns of photosynthesis (as C-14 fixation and chlorophyll fluorescence) and storage of carbohydrates (mannitol and laminaran) in the blades. Moreover, exposures to UV radiation were carried out in order to test the photoprotective role of phlorotannins along different blade regions. The content of soluble phlorotannins was higher in the basal regions than in the middle and apical parts, which was correlated with the longitudinal allocation of mannitol and light-independent C-14 fixation, two indicators of growth activity. In contrast, photosynthetic C-14 fixation and allocation of laminaran were inversely related to the levels of phlorotannins along the blade. The photosynthetic characteristics measured using Imaging-PAM fluorescence did not show clear intra-blade patterns. UV exposures resulted in a decline in chlorophyll fluorescence (F-v/F-m) after 24 and 48 h (10 and 20 % respectively); however, no differential effects in different regions of the fronds were observed. The content of soluble phlorotannins in response to UV radiation was mostly determined by the time of exposure and less by the blade region: After a 6-h exposure phlorotannins decreased around 40 %, while after 48 h UV radiation stimulated the synthesis of phlorotannins by 22-99 %. Overall, after a 12-h UV exposure an increasing tendency of phlorotannins allocated in the basal regions of the blade was demonstrated. This study reinforces the idea that phlorotannins are important not only as secondary metabolites, but also their allocation in the thallus of kelps is integrated within the morpho-functional characteristics related to photosynthesis and biomass formation.</t>
  </si>
  <si>
    <t>[Gomez, Ivan; Espanol, Sonia; Veliz, Karina; Huovinen, Pirjo] Univ Austral Chile, Inst Ciencias Marinas &amp; Limnol, Valdivia, Chile; [Gomez, Ivan; Huovinen, Pirjo] Ctr Fondap Invest Dinam Ecosistemas Altas Latitud, Valdivia, Chile; [Espanol, Sonia] Univ Austral Chile, Programa Doctorado Biol Marina, Valdivia, Chile; [Veliz, Karina] Univ Catolica Norte, Programa Doctorado Biol &amp; Ecol Aplicada BEA, Coquimbo, Chile; [Veliz, Karina] Univ Catolica Norte, Fac Ciencias Mar, Dept Biol Marina, Coquimbo, Chile</t>
  </si>
  <si>
    <t>Universidad Austral de Chile; Universidad Austral de Chile; Universidad Catolica del Norte; Universidad Catolica del Norte</t>
  </si>
  <si>
    <t>Gómez, I (corresponding author), Univ Austral Chile, Inst Ciencias Marinas &amp; Limnol, Valdivia, Chile.;Gómez, I (corresponding author), Ctr Fondap Invest Dinam Ecosistemas Altas Latitud, Valdivia, Chile.</t>
  </si>
  <si>
    <t>igomezo@uach.cl</t>
  </si>
  <si>
    <t>CONICYT-Chile [FONDECYT 1130582, FONDECYT 1030343]</t>
  </si>
  <si>
    <t>CONICYT-Chile(Comision Nacional de Investigacion Cientifica y Tecnologica (CONICYT))</t>
  </si>
  <si>
    <t>This study was supported by CONICYT-Chile (FONDECYT 1130582 to PH and FONDECYT 1030343 to IG). The authors thank Instituto de Histologia, Universidad Austral de Chile, for providing facilities for scintillation counting. We thank V. Flores (Pontificia Universidad Catolica de Chile) for TEM ultrastructural analysis. The helpful technical assistance of M. Orostegui, C. Rosas, T. Perez and A. Gonzalez is gratefully acknowledged.</t>
  </si>
  <si>
    <t>10.1007/s00227-016-2891-1</t>
  </si>
  <si>
    <t>DL0NU</t>
  </si>
  <si>
    <t>WOS:000375330500017</t>
  </si>
  <si>
    <t>Schram, JB; Amsler, MO; Amsler, CD; Schoenrock, KM; McClintock, JB; Angus, RA</t>
  </si>
  <si>
    <t>Schram, Julie B.; Amsler, Margaret O.; Amsler, Charles D.; Schoenrock, Kathryn M.; McClintock, James B.; Angus, Robert A.</t>
  </si>
  <si>
    <t>Antarctic crustacean grazer assemblages exhibit resistance following exposure to decreased pH</t>
  </si>
  <si>
    <t>ELEVATED SEAWATER TEMPERATURE; OCEAN ACIDIFICATION; CLIMATE-CHANGE; STERECHINUS-NEUMAYERI; ECOSYSTEM; BIODIVERSITY; RESILIENCE; CO2; MACROALGAE; IMPACT</t>
  </si>
  <si>
    <t>Anthropogenic atmospheric CO2 concentrations are increasing rapidly, resulting in declining seawater pH (ocean acidification). The majority of ocean acidification research to date has focused on the effects of decreased pH in single-species experiments. To assess how decreased pH may influence natural macroalgal-grazer assemblages, we conducted a mesocosm experiment with the common, chemically defended Antarctic brown macroalga Desmarestia menziesii and natural densities of its associated grazer assemblage, predominantly amphipods. Grazer assemblages were collected from the immediate vicinity of Palmer Station (64 degrees 46'S, 64 degrees 03'W) in March 2013. Assemblages were exposed for 30 days to three levels of pH representing present-day mean summer ambient conditions (pH 8.0), predicted near-future conditions (2100, pH 7.7), and distant-future conditions (pH 7.3). A significant difference was observed in the composition of mesograzer assemblages in the lowest pH treatment (pH 7.3). The differences between assemblages exposed to pH 7.3 and those maintained in the other two treatments were driven primarily by decreases in the abundance of the amphipod Metaleptamphopus pectinatus with decreasing pH, reduced copepod abundance at pH 7.7, and elevated ostracod abundance at pH 7.7. Generally, the assemblages maintained at pH 7.7 were not significantly different from those at ambient pH, demonstrating resistance to short-term decreased pH. The relatively high prevalence of generalist amphipods may have contributed to a net stabilizing effect on the assemblages exposed to decreased pH. Overall, our results suggest that crustacean grazer assemblages associated with D. menziesii, the dominant brown macroalgal species of the western Antarctic Peninsula, may be resistant to short-term near-future decreases in seawater pH.</t>
  </si>
  <si>
    <t>[Schram, Julie B.; Amsler, Margaret O.; Amsler, Charles D.; Schoenrock, Kathryn M.; McClintock, James B.; Angus, Robert A.] Univ Alabama Birmingham, Dept Biol, Birmingham, AL 35294 USA; [Schram, Julie B.] Univ Oregon, Oregon Inst Marine Biol, 63466 Boat Basin Rd, Charleston, OR 97420 USA</t>
  </si>
  <si>
    <t>University of Alabama System; University of Alabama Birmingham; University of Oregon</t>
  </si>
  <si>
    <t>Schram, JB (corresponding author), Univ Alabama Birmingham, Dept Biol, Birmingham, AL 35294 USA.;Schram, JB (corresponding author), Univ Oregon, Oregon Inst Marine Biol, 63466 Boat Basin Rd, Charleston, OR 97420 USA.</t>
  </si>
  <si>
    <t>jschram@uoregon.edu</t>
  </si>
  <si>
    <t>Schoenrock, Kathryn/B-9082-2018</t>
  </si>
  <si>
    <t>Schoenrock, Kathryn/0000-0002-0407-3173; Schram, Julie/0000-0002-1556-6483; Amsler, Charles/0000-0002-4843-3759</t>
  </si>
  <si>
    <t>United States Antarctic Program (USAP); NSF from the Antarctic Organisms and Ecosystems program [ANT-1041022]; UAB Department of Biology; Endowed Professorship in Polar and Marine Biology</t>
  </si>
  <si>
    <t>United States Antarctic Program (USAP); NSF from the Antarctic Organisms and Ecosystems program(National Science Foundation (NSF)NSF - Directorate for Geosciences (GEO)); UAB Department of Biology; Endowed Professorship in Polar and Marine Biology</t>
  </si>
  <si>
    <t>The authors gratefully acknowledge the outstanding science and logistical support staff of Antarctic Support Contract (ASC) for their invaluable help and support of the United States Antarctic Program (USAP). Kevin Scriber of the Department of Biology provided valuable field assistance. We also would like to acknowledge the constructive comments provided by two anonymous reviewers that helped improve this manuscript. The present study was supported by NSF award ANT-1041022 (JBM, CDA, RAA) from the Antarctic Organisms and Ecosystems program. The UAB Department of Biology and an Endowed Professorship in Polar and Marine Biology provided additional support to JBM.</t>
  </si>
  <si>
    <t>10.1007/s00227-016-2894-y</t>
  </si>
  <si>
    <t>WOS:000375330500013</t>
  </si>
  <si>
    <t>Thiebot, JB; Ito, K; Raclot, T; Poupart, T; Kato, A; Ropert-Coudert, Y; Takahashi, A</t>
  </si>
  <si>
    <t>Thiebot, Jean-Baptiste; Ito, Kentaro; Raclot, Thierry; Poupart, Timothee; Kato, Akiko; Ropert-Coudert, Yan; Takahashi, Akinori</t>
  </si>
  <si>
    <t>On the significance of Antarctic jellyfish as food for Adelie penguins, as revealed by video loggers</t>
  </si>
  <si>
    <t>FORAGING STRATEGIES; CLIMATE-CHANGE; COMMUNITY; SEA; PARAMETERS; PREDATORS; SALPS; LAND; FISH</t>
  </si>
  <si>
    <t>Concern of pelagic gelatinous organisms taking over perturbed marine ecosystems has led to a recent increase in research into this group. However, the significance of this group as prey remains challenging to assess, and hence, gelatinous consumers are often depicted incorrectly as dead ends of pelagic food webs. In the Southern Ocean, where a shift in trophic webs may favour gelatinous animals, we video-monitored prey intake of a key predator. Twenty-eight chick-rearing Adelie penguins Pygoscelis adeliae from Dumont d'Urville station (66 degrees 40'S, 140 degrees 01'E) were instrumented with miniaturized video loggers in 2014-2015. Among other items (krill, fish), 101 gelatinous organisms (n = 79 jellyfish, 6 salps and 16 unidentified) were observed on 13 of 21 exploitable video footages (total: 59 h). Importantly, 65.3 % of gelatinous organisms were attacked, but among them salps were not attacked. Attacks on jellyfish were significantly associated with the visible presence of the jellyfish's gonad. Jellyfish were encountered at an average depth of 26.2 +/- 10.4 m, significantly shallower than krill. Attacks occurred mostly during bottom, but also descent or ascent dive phases. Concomitant GPS location for four birds revealed that attacks on jellyfish occurred above the shelf, 35 km north from the colony, where sea ice concentration reached 88 %. These results indicate that Adelie penguins occasionally feed on jellyfish, even though other prey types are also available. Refining our perception of scyphozoans' niche may thus help anticipate the functional response of the food webs to the extensive changes witnessed in the Antarctic environment.</t>
  </si>
  <si>
    <t>[Thiebot, Jean-Baptiste; Takahashi, Akinori] Natl Inst Polar Res, 10-3 Midori Cho, Tachikawa, Tokyo 1908518, Japan; [Ito, Kentaro; Takahashi, Akinori] Grad Univ Adv Studies, SOKENDAI, Dept Polar Sci, Tokyo, Japan; [Raclot, Thierry; Poupart, Timothee; Kato, Akiko] Univ Strasbourg, CNRS, Inst Pluridisciplinaire Hubert Curien, Dept Ecol Physiol &amp; Ethol,UMR7178, 23 Rue Becquerel, F-67087 Strasbourg, France; [Kato, Akiko; Ropert-Coudert, Yan] CNRS, Ctr Etud Biol Chize, UMR 7372, Stn Ecol Chize La Rochelle, F-79360 Villiers En Bois, France</t>
  </si>
  <si>
    <t>Research Organization of Information &amp; Systems (ROIS); National Institute of Polar Research (NIPR) - Japan; Graduate University for Advanced Studies - Japan; Centre National de la Recherche Scientifique (CNRS); CNRS - National Institute of Nuclear and Particle Physics (IN2P3); Universites de Strasbourg Etablissements Associes; Universite de Strasbourg; Centre National de la Recherche Scientifique (CNRS); CNRS - Institute of Ecology &amp; Environment (INEE)</t>
  </si>
  <si>
    <t>Thiebot, JB (corresponding author), Natl Inst Polar Res, 10-3 Midori Cho, Tachikawa, Tokyo 1908518, Japan.</t>
  </si>
  <si>
    <t>jbthiebot@gmail.com</t>
  </si>
  <si>
    <t>Kato, Akiko/W-2447-2019</t>
  </si>
  <si>
    <t>Kato, Akiko/0000-0002-8947-3634; Ito, Kentaro/0000-0001-9254-0968; Takahashi, Akinori/0000-0002-9868-0408</t>
  </si>
  <si>
    <t>Institut Paul-Emile Victor [1091]; Zone Atelier Antarctique (CNRS); WWF-UK; Open Partnership Joint Project of the Japan Society for the Promotion of Science (JSPS) Bilateral Joint Research Project; JSPS KAKENHI [26840153]; Grants-in-Aid for Scientific Research [26840153] Funding Source: KAKEN</t>
  </si>
  <si>
    <t>Institut Paul-Emile Victor; Zone Atelier Antarctique (CNRS); WWF-UK; Open Partnership Joint Project of the Japan Society for the Promotion of Science (JSPS) Bilateral Joint Research Project; JSPS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</si>
  <si>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The Institut Paul-Emile Victor (program #1091), the Zone Atelier Antarctique (CNRS), the WWF-UK and the Open Partnership Joint Project of the Japan Society for the Promotion of Science (JSPS) Bilateral Joint Research Project provided logistic and financial support. JB Thiebot benefited from financial support by JSPS KAKENHI Grant-in-Aid #26840153. The authors warmly thank C Peron (Australian Antarctic Division) for providing assistance with sea ice data, N Sato (SOKENDAI) for advices on analyses, DJ Lindsay (Japan Agency for Marine-Earth Science and Technology) for identification and knowledge of gelatinous organisms, and two reviewers for their constructive comments on the manuscript.</t>
  </si>
  <si>
    <t>10.1007/s00227-016-2890-2</t>
  </si>
  <si>
    <t>WOS:000375330500015</t>
  </si>
  <si>
    <t>Miyamoto, H; Niihara, T; Kuritani, T; Hong, PK; Dohm, JM; Sugita, S</t>
  </si>
  <si>
    <t>Miyamoto, Hideaki; Niihara, Takafumi; Kuritani, Takeshi; Hong, Peng K.; Dohm, James M.; Sugita, Seiji</t>
  </si>
  <si>
    <t>Cluster analysis on the bulk elemental compositions of Antarctic stony meteorites</t>
  </si>
  <si>
    <t>CHEMICAL-ANALYSES; MINERALOGY; ASTEROIDS; SURFACE; ACHONDRITES; MIGRATION; PETROLOGY; REGOLITH; ITOKAWA; LODRAN</t>
  </si>
  <si>
    <t>Remote sensing observations by recent successful missions to small bodies have revealed the difficulty in classifying the materials which cover their surfaces into a conventional classification of meteorites. Although reflectance spectroscopy is a powerful tool for this purpose, it is influenced by many factors, such as space weathering, lighting conditions, and surface physical conditions (e.g., particle size and style of mixing). Thus, complementary information, such as elemental compositions, which can be obtained by X-ray fluorescence (XRF) and gamma-ray spectrometers (GRS), have been considered very important. However, classifying planetary materials solely based on elemental compositions has not been investigated extensively. In this study, we perform principal component and cluster analyses on 12 major and minor elements of the bulk compositions of 500 meteorites reported in the National Institute of Polar Research (NIPR), Japan database. Our unique approach, which includes using hierarchical cluster analysis, indicates that meteorites can be classified into about 10 groups purely by their bulk elemental compositions. We suggest that Si, Fe, Mg, Ca, and Na are the optimal set of elements, as this set has been used successfully to classify meteorites of the NIPR database with more than 94% accuracy. Principal components analysis indicates that elemental compositions of meteorites form eight clusters in the three-dimensional space of the components. The three major principal components (PC1, PC2, and PC3) are interpreted as (1) degree of differentiations of the source body (i.e., primitive versus differentiated), (2) degree of thermal effects, and (3) degree of chemical fractionation, respectively.</t>
  </si>
  <si>
    <t>[Miyamoto, Hideaki; Niihara, Takafumi; Hong, Peng K.; Dohm, James M.] Univ Tokyo, Univ Museum, Bunkyo Ku, 7-3-1 Hongo, Tokyo 1130033, Japan; [Miyamoto, Hideaki; Sugita, Seiji] Univ Tokyo, Dept Earth &amp; Planetary Sci, Bunkyo Ku, 7-3-1 Hongo, Tokyo 1130033, Japan; [Miyamoto, Hideaki] Planetary Sci Inst, 1700 East Ft Lowell,Suite 106, Tucson, AZ 85719 USA; [Niihara, Takafumi] Univ Space Res Assoc, Lunar &amp; Planetary Inst, 3600 Bay Area Blvd, Houston, TX 77058 USA; [Kuritani, Takeshi] Hokkaido Univ, Dept Nat Hist Sci, N10W8 Kita Ku, Sapporo, Hokkaido 0600810, Japan</t>
  </si>
  <si>
    <t>University of Tokyo; University of Tokyo; Universities Space Research Association (USRA); Hokkaido University</t>
  </si>
  <si>
    <t>Miyamoto, H (corresponding author), Univ Tokyo, Univ Museum, Bunkyo Ku, 7-3-1 Hongo, Tokyo 1130033, Japan.;Miyamoto, H (corresponding author), Univ Tokyo, Dept Earth &amp; Planetary Sci, Bunkyo Ku, 7-3-1 Hongo, Tokyo 1130033, Japan.;Miyamoto, H (corresponding author), Planetary Sci Inst, 1700 East Ft Lowell,Suite 106, Tucson, AZ 85719 USA.</t>
  </si>
  <si>
    <t>hm@um.u-tokyo.ac.jp</t>
  </si>
  <si>
    <t>Sugita, Seiji/GQI-1142-2022; Miyamoto, Hideaki/B-9666-2008; Dohm, James M/A-3831-2014</t>
  </si>
  <si>
    <t>Sugita, Seiji/0000-0001-6076-3614; Miyamoto, Hideaki/0000-0001-8013-6124; Niihara, Takafumi/0000-0001-9535-6728</t>
  </si>
  <si>
    <t>JSPS [25120006]; TeNQ/Tokyo-dome; Grants-in-Aid for Scientific Research [26247092, 26106002] Funding Source: KAKEN</t>
  </si>
  <si>
    <t>JSPS(Ministry of Education, Culture, Sports, Science and Technology, Japan (MEXT)Japan Society for the Promotion of Science); TeNQ/Tokyo-dome; Grants-in-Aid for Scientific Research(Ministry of Education, Culture, Sports, Science and Technology, Japan (MEXT)Japan Society for the Promotion of ScienceGrants-in-Aid for Scientific Research (KAKENHI))</t>
  </si>
  <si>
    <t>We are grateful to Dr. Zolensky (associate editor) for editorial handling. Constructive comments from Dr. Fairen and M. Ramy El-Maarry improve the manuscript. This work is supported in part by JSPS grant-in-aid 25120006 and TeNQ/Tokyo-dome.</t>
  </si>
  <si>
    <t>10.1111/maps.12634</t>
  </si>
  <si>
    <t>DL9DB</t>
  </si>
  <si>
    <t>WOS:000375940600005</t>
  </si>
  <si>
    <t>Rodriguez-Morales, F; Gogineni, S; Ahmed, F; Carabajal, C; Paden, A; Leuschen, C; Paden, J; Li, J; Fields, W; Vaughan, J</t>
  </si>
  <si>
    <t>Rodriguez-Morales, F.; Gogineni, S.; Ahmed, F.; Carabajal, C.; Paden, A.; Leuschen, C.; Paden, J.; Li, J.; Fields, W.; Vaughan, J.</t>
  </si>
  <si>
    <t>T/R Switches and Modules for Ice Sounding/Imaging Radar</t>
  </si>
  <si>
    <t>MICROWAVE JOURNAL</t>
  </si>
  <si>
    <t>GREENLAND; GLACIER; DESIGN</t>
  </si>
  <si>
    <t>High-power transmit/receive (T/R) switches for use in multi-channel ice penetrating imaging radars are capable of sustaining peak power levels exceeding 1000 W. They are based on a balanced topology and built using quadrature hybrids and actively biased PIN diodes. Insertion loss is lower than 1.3 dB from 100 to 350 MHz and lower than 1.6 dB from 150 to 600 MHz. Isolation in transmit mode is higher than 85 dB across both bands with turn-on and turn-off times shorter than 1300 ns and 200 ns, respectively. Both designs were successfully used in multi-channel radars for measurements in the Arctic and Antarctic.</t>
  </si>
  <si>
    <t>[Rodriguez-Morales, F.; Gogineni, S.; Ahmed, F.; Carabajal, C.; Paden, A.; Leuschen, C.; Paden, J.; Li, J.] Univ Kansas, Lawrence, KS 66045 USA; [Fields, W.] Cobham Aeroflex Metel, Sunnyvale, CA USA; [Vaughan, J.] Los Alamos Natl Lab, Albuquerque, NM USA</t>
  </si>
  <si>
    <t>University of Kansas; United States Department of Energy (DOE); Los Alamos National Laboratory</t>
  </si>
  <si>
    <t>Rodriguez-Morales, F (corresponding author), Univ Kansas, Lawrence, KS 66045 USA.</t>
  </si>
  <si>
    <t>Rodriguez-Morales, Fernando/0000-0001-8004-6145</t>
  </si>
  <si>
    <t>NSF [ANT- 0424589, 1229716]; NASA [NNX-10AT68G]; Office of Polar Programs (OPP); Directorate For Geosciences [1229716] Funding Source: National Science Foundation</t>
  </si>
  <si>
    <t>NSF(National Science Foundation (NSF)); NASA(National Aeronautics &amp; Space Administration (NASA)); Office of Polar Programs (OPP); Directorate For Geosciences(National Science Foundation (NSF)NSF - Directorate for Geosciences (GEO))</t>
  </si>
  <si>
    <t>This work was supported by the NSF (grants ANT- 0424589 and 1229716) and NASA (grant NNX-10AT68G). The authors would like to thank R. Hale, P. Place, B. Townley, D-Gomez-Garcia, A. Awasthi, S. Yan, A. Mahmood, A.R. Harish, E. Arnold, Z. Wang, B. Camps-Raga, J. Lyle, J. Citrolo, R. Crowe and M. Lowe for their contribution and support.</t>
  </si>
  <si>
    <t>HORIZON HOUSE PUBLICATIONS INC</t>
  </si>
  <si>
    <t>NORWOOD</t>
  </si>
  <si>
    <t>685 CANTON ST, NORWOOD, MA 02062 USA</t>
  </si>
  <si>
    <t>0192-6225</t>
  </si>
  <si>
    <t>MICROWAVE J</t>
  </si>
  <si>
    <t>Microw. J.</t>
  </si>
  <si>
    <t>S</t>
  </si>
  <si>
    <t>Engineering, Electrical &amp; Electronic; Telecommunications</t>
  </si>
  <si>
    <t>Engineering; Telecommunications</t>
  </si>
  <si>
    <t>DM3EH</t>
  </si>
  <si>
    <t>WOS:000376229100001</t>
  </si>
  <si>
    <t>Cisewski, B; Strass, VH</t>
  </si>
  <si>
    <t>Cisewski, Boris; Strass, Volker H.</t>
  </si>
  <si>
    <t>Acoustic insights into the zooplankton dynamics of the eastern Weddell Sea</t>
  </si>
  <si>
    <t>PROGRESS IN OCEANOGRAPHY</t>
  </si>
  <si>
    <t>DIEL VERTICAL MIGRATION; DOPPLER CURRENT PROFILER; KRILL EUPHAUSIA-SUPERBA; ANTARCTIC POLAR FRONT; MID-ATLANTIC BIGHT; SOUTHERN-OCEAN; MAUD-RISE; SEASONAL-VARIATION; SCOTIA SEA; OVERWINTERING STRATEGIES</t>
  </si>
  <si>
    <t>The success of any efforts to determine the effects of climate change on marine ecosystems depends on understanding in the first instance the natural variations, which contemporarily occur on the interannual and shorter time scales. Here we present results on the environmental controls of zooplankton distribution patterns and behaviour in the eastern Weddell Sea, Southern Ocean. Zooplankton abundance and vertical migration are derived from the mean volume backscattering strength (MVBS) and the vertical velocity measured by moored acoustic Doppler current profilers (ADCPs), which were deployed simultaneously at 64 degrees S, 66.5 degrees S and 69 degrees S along the Greenwich Meridian from February, 2005, until March, 2008. While these time series span a period of full three years they resolve hourly changes. A highly persistent behavioural pattern found at all three mooring locations is the synchronous diel vertical migration (DVM) of two distinct groups of zooplankton that migrate between a deep residence depth during daytime and a shallow depth during nighttime. The DVM was closely coupled to the astronomical daylight cycles. However, while the DVM was symmetric around local noon, the annual modulation of the DVM was clearly asymmetric around winter solstice or summer solstice, respectively, at all three mooring sites. DVM at our observation sites persisted throughout winter, even at the highest latitude exposed to the polar night. Since the magnitude as well as the relative rate of change of illumination is minimal at this time, we propose that the ultimate causes of DVM separated from the light mediated proximal cue that coordinates it. In all three years, a marked change in the migration behaviour occurred in late spring (late October/early November), when DVM ceased. The complete suspension of DVM after early November is possibly caused by the combination of two factors: (1) increased availability of food in the surface mixed layer provided by the phytoplankton spring bloom, and (2) vanishing diurnal enhancement of the threat from visually oriented predators when the illumination is quasi-continuous during the polar and subpolar summer. Zooplankton abundance in the water column, estimated as the mean MVBS in the depth range 50-300 m, was highest end of summer and lowest mid to end winter on the average annual cycle. However, zooplankton abundance varied several-fold between years and between locations. Based on satellite and in situ data of chlorophyll and sea ice as well as on hydrographic measurements, the inter annual and spatial variations of zooplankton mean abundance can be explained by differences in the magnitude of the phytoplankton spring bloom, which develops during the seasonal sea ice retreat. Whereas the vernal ice melt appears necessary to stimulate the blooming of phytoplankton, it is not the determinator of the blooms magnitude, its areal extent and duration. A possible explanation for the limitation of the phytoplankton bloom in some years is top-down control. We hypothesise that the phytoplankton spring development can be curbed by grazing when the zooplankton had attained high abundance by growth during the preceding summer. (C) 2016 Elsevier Ltd. All rights reserved.</t>
  </si>
  <si>
    <t>[Cisewski, Boris] Thunen Inst Seefischerei, Palmaille 9, D-22767 Hamburg, Germany; [Cisewski, Boris; Strass, Volker H.] Helmholtz Zentrum Polar &amp; Meeresforsch, Alfred Wegener Inst, Handelshafen 12, D-27570 Bremerhaven, Germany</t>
  </si>
  <si>
    <t>Johann Heinrich von Thunen Institute; Helmholtz Association; Alfred Wegener Institute, Helmholtz Centre for Polar &amp; Marine Research</t>
  </si>
  <si>
    <t>Cisewski, B (corresponding author), Thunen Inst Seefischerei, Palmaille 9, D-22767 Hamburg, Germany.</t>
  </si>
  <si>
    <t>boris.cisewski@thuenen.de</t>
  </si>
  <si>
    <t>Cisewski, Boris/GWV-4320-2022</t>
  </si>
  <si>
    <t>Cisewski, Boris/0000-0002-1130-6107; Strass, Volker/0000-0002-7539-1400</t>
  </si>
  <si>
    <t>German Federal Ministry of Education and Research (Bundesministerium fur Bildung and Forschung, BMBF) through joint project LAKRIS (Lazarev Sea Krill Study); crew of the R/V Polarstern</t>
  </si>
  <si>
    <t>This work was co-funded by the German Federal Ministry of Education and Research (Bundesministerium fur Bildung and Forschung, BMBF) through the joint project LAKRIS (Lazarev Sea Krill Study), which provided the salary of B.C. for three years and investment money for two ADCPs. We gratefully acknowledge the support provided by the captain, officers, and crew of the R/V Polarstern. Harry Leach, Harald Rohr and Timo Witte contributed substantially to the collection of the hydrographic data set. Axel Behrendt, Wolfgang Dierking and Hannelore Witte provided the upward looking sonar (ULS) data. The comments of an anonymous reviewer and of Hauke Flores in particular helped to perfect the paper.</t>
  </si>
  <si>
    <t>0079-6611</t>
  </si>
  <si>
    <t>PROG OCEANOGR</t>
  </si>
  <si>
    <t>Prog. Oceanogr.</t>
  </si>
  <si>
    <t>10.1016/j.pocean.2016.03.005</t>
  </si>
  <si>
    <t>DM2YO</t>
  </si>
  <si>
    <t>WOS:000376214200005</t>
  </si>
  <si>
    <t>Lee, JE; Chown, SL</t>
  </si>
  <si>
    <t>Lee, Jennifer E.; Chown, Steven L.</t>
  </si>
  <si>
    <t>Range expansion and increasing impact of the introduced wasp Aphidius matricariae Haliday on sub-Antarctic Marion Island</t>
  </si>
  <si>
    <t>BIOLOGICAL INVASIONS</t>
  </si>
  <si>
    <t>Dispersal; Hemiptera; Hymenoptera; Impact; Physiological tolerance; Spread</t>
  </si>
  <si>
    <t>PARASITOID GONATOCERUS-ASHMEADI; BIOLOGICAL-CONTROL; HOMALODISCA-VITRIPENNIS; ABUNDANCE STRUCTURE; CLIMATE-CHANGE; LIFE-HISTORY; HYMENOPTERA; DISPERSAL; TEMPERATURE; INVASION</t>
  </si>
  <si>
    <t>Despite the significance of biological invasions in the Antarctic region, understanding of the rates of spread and impact of introduced species is limited. Such information is necessary to develop and to justify management actions. Here we quantify rates of spread and changes in impact of the introduced wasp Aphidius matricariae Haliday, which parasitizes the invasive aphid Rhopalosiphum padi (L.), on sub-Antarctic Marion Island, to which the wasp was introduced in ca. 2001. Between 2006 and 2011, the wasp had colonised all coastal sites, with an estimated rate of spread of 3-5 km year(-1). Adult abundance doubled over the period, while impact, measured as mean percentage parasitism of R. padi, had increased from 6.9 to 30.1 %. Adult wasps have thermal tolerances (LT50s) of between -18 and 33.8 A degrees C, with a crystallization temperature of -22.9 A degrees C, and little tolerance (ca. 37 h) of low humidity at 10 A degrees C. Desiccation intolerance is probably limiting for the adult wasps, while distribution of their aphid host likely sets ultimate distributional limits, especially towards higher elevations where R. padi is absent, despite the presence of its host grass on the island, Poa cookii (Hook. f.). Rising temperatures are benefitting P. cookii, and will probably do the same for both R. padi and A. matricariae. Our study shows that once established, spread of introduced species on the island may be rapid, emphasizing the importance of initial quarantine.</t>
  </si>
  <si>
    <t>[Lee, Jennifer E.] Univ Stellenbosch, Dept Bot &amp; Zool, Ctr Invas Biol, Private Bag X1, ZA-7602 Matieland, South Africa; [Chown, Steven L.] Monash Univ, Sch Biol Sci, Clayton, Vic 3800, Australia</t>
  </si>
  <si>
    <t>Stellenbosch University; Monash University</t>
  </si>
  <si>
    <t>Chown, SL (corresponding author), Monash Univ, Sch Biol Sci, Clayton, Vic 3800, Australia.</t>
  </si>
  <si>
    <t>steven.chown@monash.edu</t>
  </si>
  <si>
    <t>Chown, Steven/ABD-7646-2021; Chown, Steven/H-3347-2011</t>
  </si>
  <si>
    <t>Chown, Steven/0000-0001-6069-5105</t>
  </si>
  <si>
    <t>National Research Foundation of South Africa [SNA14071475789]; Australian Research Council [DP140101240]</t>
  </si>
  <si>
    <t>National Research Foundation of South Africa(National Research Foundation - South Africa); Australian Research Council(Australian Research Council)</t>
  </si>
  <si>
    <t>We thank Aleks Terauds, Alan Tshautshau, and Charlene Janion-Scheepers for assistance in the field, and two anonymous referees for helpful comments on an earlier version of the ms. This work was supported by National Research Foundation of South Africa Grant SNA14071475789 and Australian Research Council Grant DP140101240.</t>
  </si>
  <si>
    <t>1387-3547</t>
  </si>
  <si>
    <t>1573-1464</t>
  </si>
  <si>
    <t>BIOL INVASIONS</t>
  </si>
  <si>
    <t>Biol. Invasions</t>
  </si>
  <si>
    <t>10.1007/s10530-015-0967-3</t>
  </si>
  <si>
    <t>DJ7SF</t>
  </si>
  <si>
    <t>WOS:000374411200002</t>
  </si>
  <si>
    <t>Wesche, C; Dierking, W</t>
  </si>
  <si>
    <t>Wesche, Christine; Dierking, Wolfgang</t>
  </si>
  <si>
    <t>Estimating iceberg paths using a wind-driven drift model</t>
  </si>
  <si>
    <t>COLD REGIONS SCIENCE AND TECHNOLOGY</t>
  </si>
  <si>
    <t>Icebergs; Drift modeling; Tracking; Southern Ocean</t>
  </si>
  <si>
    <t>OCEAN MIXED-LAYER; WEDDELL SEA; ANTARCTIC ICEBERGS; SOUTHERN-OCEAN; SAR IMAGES; ICE; TRACKING</t>
  </si>
  <si>
    <t>Icebergs are hazards to ship traffic and offshore operations. Their monitoring using satellite data is hence important for marine safety and for protection of the marine environment. The repeated search for smaller icebergs in a temporal sequence of satellite images, however, can be time-consuming if the expected,drift path of the berg is not known. Computer simulations of iceberg drift can be applied to determine the approximate new iceberg position to narrow the search radius for icebergs. Best suited for this purpose are relatively simple, fast-running models. For three different regions of the Weddell Sea, Antarctica, we used an iceberg drift model driven by wind forecasts and analyzed predicted iceberg positions in comparison to positions retrieved from GPS buoys placed on the icebergs. As an enbr measure, we took the difference between the modeled and observed iceberg positions and drift angles. As the model was developed for open water regions, we added a sea-ice component. The application of the model was tested on two ENVISAT Wide Swath SAR scenes from the Weddell Sea, simulating and tracking iceberg positions for a period of five days. Although simulation results differ from direct observations of iceberg drift, they are still useful for narrowing the search area for icebergs in satellite images. We attribute the deviations between simulations and observations to the inherent large uncertainties in the input data for the model. (c) 2016 Elsevier B.V. All rights reserved.</t>
  </si>
  <si>
    <t>[Wesche, Christine; Dierking, Wolfgang] Helmholtz Zentrum Polar &amp; Meeresforsch, Alfred Wegener Inst, POB 120161, D-27515 Bremerhaven, Germany</t>
  </si>
  <si>
    <t>Helmholtz Association; Alfred Wegener Institute, Helmholtz Centre for Polar &amp; Marine Research</t>
  </si>
  <si>
    <t>Wesche, C (corresponding author), Helmholtz Zentrum Polar &amp; Meeresforsch, Alfred Wegener Inst, POB 120161, D-27515 Bremerhaven, Germany.</t>
  </si>
  <si>
    <t>christine.wesche@awi.de</t>
  </si>
  <si>
    <t>Wesche, Christine/0000-0002-9786-4010</t>
  </si>
  <si>
    <t>German Research Foundation (DFG) [WE 4772/1]; ESA [C1P.5024]</t>
  </si>
  <si>
    <t>German Research Foundation (DFG)(German Research Foundation (DFG)); ESA(European Space Agency)</t>
  </si>
  <si>
    <t>C. Wesche was funded by the German Research Foundation (DFG) Priority Programme 1158 Antarctic research with comparative investigations in Arctic ice areas (WE 4772/1). The ENVISAT WSM images were provided by ESA for the Cat-1 project C1P.5024. The authors thank two anonymous reviewers for constructive and helpful comments.</t>
  </si>
  <si>
    <t>0165-232X</t>
  </si>
  <si>
    <t>1872-7441</t>
  </si>
  <si>
    <t>COLD REG SCI TECHNOL</t>
  </si>
  <si>
    <t>Cold Reg. Sci. Tech.</t>
  </si>
  <si>
    <t>10.1016/j.coldregions.2016.01.008</t>
  </si>
  <si>
    <t>Engineering, Environmental; Engineering, Civil; Geosciences, Multidisciplinary</t>
  </si>
  <si>
    <t>Engineering; Geology</t>
  </si>
  <si>
    <t>DK1YC</t>
  </si>
  <si>
    <t>WOS:000374710400004</t>
  </si>
  <si>
    <t>Descamps, S; Tarroux, A; Lorentsen, SH; Love, OP; Varpe, O; Yoccoz, NG</t>
  </si>
  <si>
    <t>Descamps, Sebastien; Tarroux, Arnaud; Lorentsen, Svein-Hakon; Love, Oliver P.; Varpe, Oystein; Yoccoz, Nigel G.</t>
  </si>
  <si>
    <t>Large-scale oceanographic fluctuations drive Antarctic petrel survival and reproduction</t>
  </si>
  <si>
    <t>ECOGRAPHY</t>
  </si>
  <si>
    <t>SOUTHERN ANNULAR MODE; KRILL EUPHAUSIA-SUPERBA; SEA-ICE; CLIMATE-CHANGE; INTERANNUAL VARIABILITY; THALASSOICA-ANTARCTICA; OSCILLATION; OCEAN; LINKS; DIET</t>
  </si>
  <si>
    <t>Polar Regions are experiencing environmental changes at unprecedented rates. These changes can spread throughout entire food webs from lower trophic levels to apex predators. As many top predators forage over large areas, these indirect effects may be associated with large-scale patterns of climate variability. Using global climate indices that are known to impact the Southern Ocean ecosystem (the El Nino Southern Oscillation and Antarctic Oscillation Indices) we assessed their efficacy to predict variation in the demographic parameters of Antarctic seabirds. First, we used a long-term dataset on adult survival (estimated from capture-mark-recapture data) and reproduction of Antarctic petrel Thalassoica antarctica, from the largest known breeding colony (Svarthamaren, Dronning Maud Land) and examined whether large-scale oceanographic fluctuations impact survival and reproduction. Second, we conducted an exhaustive literature review to determine whether the effects of large-scale environmental variability on Antarctic seabirds have a coherent fingerprint across the Antarctic continent and nearby islands. We found that most of the variation in both reproductive success, timing of hatching, and survival of Antarctic petrels can be accurately modeled using the two modes of large-scale climate variability in Antarctica. The literature review, combined with the results from our field study, suggests that while the anticipated trends in the global patterns of climatic variability will generally have detrimental effects on populations of top predators in the Southwest Atlantic, these conclusions cannot be extrapolated to all seabird populations in Antarctica without additional data.</t>
  </si>
  <si>
    <t>[Descamps, Sebastien; Tarroux, Arnaud] Norwegian Polar Res Inst, Fram Ctr, NO-9296 Tromso, Norway; [Lorentsen, Svein-Hakon] Norwegian Inst Nat Res, NO-7485 Trondheim, Norway; [Love, Oliver P.] Univ Windsor, Dept Biol Sci, 401 Sunset Ave, Windsor, ON N9B 3P4, Canada; [Love, Oliver P.] Univ Windsor, Great Lakes Inst Environm Res, 401 Sunset Ave, Windsor, ON N9B 3P4, Canada; [Varpe, Oystein] Univ Ctr Svalbard, POB 156, NO-9171 Longyearbyen, Norway; [Varpe, Oystein] Akvaplan Niva, Fram Ctr, NO-9296 Tromso, Norway; [Yoccoz, Nigel G.] UiT Arctic Univ Norway, Dept Arctic &amp; Marine Biol, NO-9037 Tromso, Norway</t>
  </si>
  <si>
    <t>Norwegian Polar Institute; Norwegian Institute Nature Research; University of Windsor; University of Windsor; University Centre Svalbard (UNIS); Akvaplan-niva; UiT The Arctic University of Tromso</t>
  </si>
  <si>
    <t>Descamps, S (corresponding author), Norwegian Polar Res Inst, Fram Ctr, NO-9296 Tromso, Norway.</t>
  </si>
  <si>
    <t>sebastien.descamps@npolar.no</t>
  </si>
  <si>
    <t>Yoccoz, Nigel/C-8561-2014; Tarroux, Arnaud/AAE-5173-2021; Varpe, Øystein/B-9693-2008</t>
  </si>
  <si>
    <t>Yoccoz, Nigel/0000-0003-2192-1039; Tarroux, Arnaud/0000-0001-8306-6694; Varpe, Øystein/0000-0002-5895-6983</t>
  </si>
  <si>
    <t>Norwegian Research Council (Norwegian Antarctic Research Expedition program)</t>
  </si>
  <si>
    <t>This study was funded by the Norwegian Research Council (Norwegian Antarctic Research Expedition program). We are very grateful to all field assistants who have participated in the study at Svarthamaren, to all the personal from the logistic department at the Norwegian Polar Inst. and the Troll summer and overwintering teams. Thanks to Yan Ropert-Coudert, Akiko Kato and Ana Sanz Aguilar for very useful comments on a first draft.</t>
  </si>
  <si>
    <t>0906-7590</t>
  </si>
  <si>
    <t>1600-0587</t>
  </si>
  <si>
    <t>Ecography</t>
  </si>
  <si>
    <t>10.1111/ecog.01659</t>
  </si>
  <si>
    <t>DL4JU</t>
  </si>
  <si>
    <t>WOS:000375601700010</t>
  </si>
  <si>
    <t>Abrashev, R; Feller, G; Kostadinova, N; Krumova, E; Alexieva, Z; Gerginova, M; Spasova, B; Miteva-Staleva, J; Vassilev, S; Angelova, M</t>
  </si>
  <si>
    <t>Abrashev, Radoslav; Feller, Georges; Kostadinova, Nedelina; Krumova, Ekaterina; Alexieva, Zlatka; Gerginova, Maria; Spasova, Boryana; Miteva-Staleva, Jeni; Vassilev, Spassen; Angelova, Maria</t>
  </si>
  <si>
    <t>Production, purification, and characterization of a novel cold-active superoxide dismutase from the Antarctic strain Aspergillus glaucus 363</t>
  </si>
  <si>
    <t>FUNGAL BIOLOGY</t>
  </si>
  <si>
    <t>Antarctic fungi; Biosynthesis; Cold-active SOD; Cu/Zn-SOD gene sequence; Enzyme characterization</t>
  </si>
  <si>
    <t>OXIDATIVE STRESS; BIOCHEMICAL-CHARACTERIZATION; EXPRESSION; IDENTIFICATION; LIPASE; FUNGI; GENE; TEMPERATURE; ENZYMES; CANDIDA</t>
  </si>
  <si>
    <t>The Antarctic fungal strain Aspergillus glaucus 363 produces cold-active (CA) Cu/Zn-superoxide dismutase (SOD). The strain contains at least one gene encoding Cu/Zn-SOD that exhibited high homology with the corresponding gene of other Aspergillus species. To our knowledge, this is the first nucleotide sequence of a CA Cu/Zn-SOD gene in fungi. An effective laboratory technology for A. glaucus SOD production in 3 L bioreactors was developed on the basis of transient cold-shock treatment. The temperature downshift to 10 degrees C caused 1.4-fold increase of specific SOD activity compared to unstressed culture. Maximum enzyme productivity was 64 x 10(3) U kg(-1) h(-1). Two SOD isoenzymes (Cu/Zn-SODI and Cu/Zn-SODII) were purified to electrophoretic homogeneity. The specific activity of the major isoenzyme, Cu/Zn-SODII, after Q-Sepharose chromatography was 4000 U mg(-1). The molecular mass of SODI (38 159 Da) and of SODII (15 835 Da) was determined by electrospray quadropole time-of-flight (ESI-Q-TOF) mass spectrometry and dynamic light scattering (DLS). The presence of Cu and Zn were confirmed by inductively coupled plasma mass spectrometry (ICP-MS). The N-terminal amino acid sequence of Cu/Zn-SODII revealed a high degree of structural homology with Cu/Zn-SOD from other fungi, including Aspergillus species. (C) 2016 The British Mycological Society. Published by Elsevier Ltd. All rights reserved.</t>
  </si>
  <si>
    <t>[Abrashev, Radoslav; Kostadinova, Nedelina; Krumova, Ekaterina; Alexieva, Zlatka; Gerginova, Maria; Spasova, Boryana; Miteva-Staleva, Jeni; Vassilev, Spassen; Angelova, Maria] Bulgarian Acad Sci, Stephan Angeloff Inst Microbiol, Academician G Bonchev 26, BU-1113 Sofia, Bulgaria; [Feller, Georges] Univ Liege, Ctr Prot Engn, Biochem Lab, B-4000 Liege, Belgium</t>
  </si>
  <si>
    <t>Bulgarian Academy of Sciences; Stephan Angeloff Institute of Microbiology, Bulgarian Academy of Sciences; University of Liege</t>
  </si>
  <si>
    <t>Angelova, M (corresponding author), Bulgarian Acad Sci, Stephan Angeloff Inst Microbiol, Academician G Bonchev 26, BU-1113 Sofia, Bulgaria.</t>
  </si>
  <si>
    <t>mariange@microbio.bas.bg</t>
  </si>
  <si>
    <t>Gerginova, Maria Gerginova/K-7815-2016; Kostadinova, Nedelina/AAW-4852-2021; Alexieva, Zlatka/K-7822-2016</t>
  </si>
  <si>
    <t>Alexieva, Zlatka/0000-0002-2727-5667</t>
  </si>
  <si>
    <t>National Scientific Fund of the Ministry of Education and Science, Bulgaria [DO02-172/08]; Fonds de la Recherche Fondamentale et Collective; Belgian Program of Interuniversity Attraction Poles [iPros P7/44]</t>
  </si>
  <si>
    <t>National Scientific Fund of the Ministry of Education and Science, Bulgaria; Fonds de la Recherche Fondamentale et Collective(Fonds de la Recherche Scientifique - FNRS); Belgian Program of Interuniversity Attraction Poles</t>
  </si>
  <si>
    <t>This work was supported by the National Scientific Fund of the Ministry of Education and Science, Bulgaria (DO02-172/08), which is greatly acknowledged. Georges Feller was supported by the Fonds de la Recherche Fondamentale et Collective and by the Belgian Program of Interuniversity Attraction Poles (iPros P7/44).</t>
  </si>
  <si>
    <t>1878-6146</t>
  </si>
  <si>
    <t>1878-6162</t>
  </si>
  <si>
    <t>FUNGAL BIOL-UK</t>
  </si>
  <si>
    <t>Fungal Biol.</t>
  </si>
  <si>
    <t>10.1016/j.funbio.2016.03.002</t>
  </si>
  <si>
    <t>Mycology</t>
  </si>
  <si>
    <t>DL7HV</t>
  </si>
  <si>
    <t>WOS:000375812700003</t>
  </si>
  <si>
    <t>Flores-Molina, MR; Rautenberger, R; Muñoz, P; Huovinen, P; Gómez, I</t>
  </si>
  <si>
    <t>Rosa Flores-Molina, Maria; Rautenberger, Ralf; Munoz, Pamela; Huovinen, Pirjo; Gomez, Ivan</t>
  </si>
  <si>
    <t>Stress Tolerance of the Endemic Antarctic Brown Alga Desmarestia anceps to UV Radiation and Temperature is Mediated by High Concentrations of Phlorotannins</t>
  </si>
  <si>
    <t>PHOTOCHEMISTRY AND PHOTOBIOLOGY</t>
  </si>
  <si>
    <t>KING-GEORGE ISLAND; ULTRAVIOLET-RADIATION; CHLOROPHYLL FLUORESCENCE; ANTIOXIDANT RESPONSES; THERMAL-ACCLIMATION; OXIDATIVE STRESS; PHOTOSYSTEM-II; PHOTOSYNTHESIS; LIGHT; MACROALGAE</t>
  </si>
  <si>
    <t>The endemic Antarctic brown macroalga Desmarestia anceps is strongly shade-adapted, but shows also a high capacity to cope with different environmental stressors, e.g. UV radiation and temperature. Therefore, this species colonizes wide depth gradients, which are characterized by changing environmental conditions. In this study, we examine whether the different physiological abilities allowing D. anceps to grow across a wide depth range is determined by high levels of phlorotannins. Photosynthesis, measured by PAM-fluorometry, the contents of soluble phlorotannins, antioxidant capacities of field grown were analyzed in response to different conditions of radiation (PAR and PAR + UV) and temperature (2, 7 and 12 degrees C). The results show that maximal quantum of fluorescence (F-v/F-m) decreased with increasing doses of UV radiation, but remained unaffected by temperature. High levels of soluble phlorotannins were detected and confirmed by microscopic observation revealing the abundance of large physodes. Exposure to UV radiation and elevated temperature showed that phlorotannins were not inducible by UV but increased at 12 degrees C. ROS scavenging capacity was positively correlated with the contents of phlorotannins. In general, highest contents of phlorotannins were correlated with the lowest inhibition of F-v/F-m in all experimental treatments, highlighting the UV-protective role of these compounds in D. anceps.</t>
  </si>
  <si>
    <t>[Rosa Flores-Molina, Maria] Univ Austral Chile, Fac Ciencias, Doctorado Biol Marina, Valdivia, Chile; [Rosa Flores-Molina, Maria; Rautenberger, Ralf; Munoz, Pamela; Huovinen, Pirjo; Gomez, Ivan] Univ Austral Chile, Fac Ciencias, Inst Ciencias Marinas &amp; Limnol, Valdivia, Chile; [Huovinen, Pirjo; Gomez, Ivan] Ctr Fondap Invest Altas Latitudes IDEAL, Valdivia, Chile</t>
  </si>
  <si>
    <t>Universidad Austral de Chile; Universidad Austral de Chile</t>
  </si>
  <si>
    <t>Flores-Molina, MR (corresponding author), Univ Austral Chile, Fac Ciencias, Doctorado Biol Marina, Valdivia, Chile.;Flores-Molina, MR (corresponding author), Univ Austral Chile, Fac Ciencias, Inst Ciencias Marinas &amp; Limnol, Valdivia, Chile.</t>
  </si>
  <si>
    <t>mrflores@postgrado.uach.cl</t>
  </si>
  <si>
    <t>Rautenberger, Ralf/AAD-2659-2020</t>
  </si>
  <si>
    <t>Huovinen, Pirjo/0000-0002-7754-4933; Gomez, Ivan/0000-0001-8381-3792; Rautenberger, Ralf/0000-0002-1339-2838</t>
  </si>
  <si>
    <t>Comision Nacional de Investigacion Cientifica y Tecnologica - Programa de Investigacion Asociativa (CONICYT-PIA) [ART1101]; CONICYT [21120306]; Fondecyt [1130794]</t>
  </si>
  <si>
    <t>Comision Nacional de Investigacion Cientifica y Tecnologica - Programa de Investigacion Asociativa (CONICYT-PIA); CONICYT(Comision Nacional de Investigacion Cientifica y Tecnologica (CONICYT)); Fondecyt(Comision Nacional de Investigacion Cientifica y Tecnologica (CONICYT)CONICYT FONDECYT)</t>
  </si>
  <si>
    <t>This study was supported by the Project Anillo ART1101 from Comision Nacional de Investigacion Cientifica y Tecnologica - Programa de Investigacion Asociativa (CONICYT-PIA). We are grateful to CONICYT for the doctoral scholarship No. 21120306 to MRFM and Fondecyt 1130794 to IG and PH. We acknowledge the logistical support of the Instituto Antartico Chileno (INACh) at the scientific station Base Profesor Julio Escudero. We also thank the scientific diving team of Maria Jose Diaz, Ignacio Garrido and Jorge Holtheuer for Scuba Diving, to Veronica Flores for technical support in TEM and to Veronica Garrido in epifluorescence microscopy. This is publication # 006 of the project ART1101.</t>
  </si>
  <si>
    <t>0031-8655</t>
  </si>
  <si>
    <t>1751-1097</t>
  </si>
  <si>
    <t>PHOTOCHEM PHOTOBIOL</t>
  </si>
  <si>
    <t>Photochem. Photobiol.</t>
  </si>
  <si>
    <t>10.1111/php.12580</t>
  </si>
  <si>
    <t>Biochemistry &amp; Molecular Biology; Biophysics</t>
  </si>
  <si>
    <t>DL7ZO</t>
  </si>
  <si>
    <t>WOS:000375859200011</t>
  </si>
  <si>
    <t>Verheye, ML; Martin, P; Backeljau, T; D'Acoz, CD</t>
  </si>
  <si>
    <t>Verheye, Marie L.; Martin, Patrick; Backeljau, Thierry; D'Acoz, Cedric D'Udekem</t>
  </si>
  <si>
    <t>DNA analyses reveal abundant homoplasy in taxonomically important morphological characters of Eusiroidea (Crustacea, Amphipoda)</t>
  </si>
  <si>
    <t>ZOOLOGICA SCRIPTA</t>
  </si>
  <si>
    <t>LONG-BRANCH ATTRACTION; RIBOSOMAL-RNA; PHYLOGENY; MITOCHONDRIAL; DIVERSITY; GENUS; INFERENCE; MODELS</t>
  </si>
  <si>
    <t>Eusiroidea is one of the 20 amphipod superfamilies that were erected to subdivide the very large and controversial suborder Gammaridea. Yet, the definition of the superfamily is not based on synapomorphies, but on a combination of diagnostic phenetic similarities that hold more or less consistently across families. Moreover, many of the characters used to define eusiroid families are suspected to show convergent evolution. The current classification of the Eusiroidea may therefore not reflect evolutionary relationships accurately. Here, we present a molecular phylogenetic re-analysis of the Eusiroidea based on a comparison of 18S and 28S rDNA sequences of 73 species, representing 47 genera and 16 families that potentially belong to the superfamily. The results suggest that at least species belonging to 14 of these traditional families would be part of a eusiroid clade, increasing by more than twofold the species and generic richness of the group. However, most of the eusiroid families surveyed do not appear monophyletic. Finally, the analyses show that several important morphological characteristics, traditionally used in eusiroid taxonomy, are homoplastic.</t>
  </si>
  <si>
    <t>[Verheye, Marie L.; Martin, Patrick; Backeljau, Thierry; D'Acoz, Cedric D'Udekem] Royal Belgian Inst Nat Sci, OD Taxon &amp; Phylogeny, Rue Vautier 29, B-1000 Brussels, Belgium</t>
  </si>
  <si>
    <t>Royal Belgian Institute of Natural Sciences</t>
  </si>
  <si>
    <t>Verheye, ML (corresponding author), Royal Belgian Inst Nat Sci, OD Taxon &amp; Phylogeny, Rue Vautier 29, B-1000 Brussels, Belgium.;Verheye, ML (corresponding author), Catholic Univ Louvain la Neuve, Dept Biol, Marine Biol Lab, 3 Bte L7-06-04, B-1348 Croix Du Sud, Louvain La Neuv, Belgium.</t>
  </si>
  <si>
    <t>mverheye@naturalsciences.be; pmartin@naturalsciences.be; tbackeljau@naturalsciences.be; cdudekem@naturalsciences.be</t>
  </si>
  <si>
    <t>Martin, Patrick/V-9708-2019</t>
  </si>
  <si>
    <t>Martin, Patrick/0000-0002-6033-8412; Verheye, Marie/0000-0001-8702-9292</t>
  </si>
  <si>
    <t>F.R.I.A. (F.N.R.S., Belgium); 'Action 1' research project [MO/36/022]; BELSPO</t>
  </si>
  <si>
    <t>F.R.I.A. (F.N.R.S., Belgium)(Fonds de la Recherche Scientifique - FNRS); 'Action 1' research project; BELSPO(Belgian Federal Science Policy Office)</t>
  </si>
  <si>
    <t>The first author has a PhD fellowship from F.R.I.A. (F.N.R.S., Belgium). The last author was supported by an 'Action 1' research project (contract number MO/36/022) and two successive complementary 'Additional Scientist' contracts, funded by BELSPO. We thank the Alfred Wegener Institute for Polar and Marine Research, Bremerhaven, for the invitation to participate in the expeditions ANT-XXI/2, ANT-XXIV/2 and ANT-XXVII/3 and the crew of the R/V Polarstern for their professional help during the cruises. We are indebted to Anne-Nina Lorz (National Institute for Water and Atmospheric Research, New Zealand) for providing specimens collected during the IPY-CAML expedition in 2008 undertaken by the National Institute for Water and Atmospheric Research. We thank Laure Corbari from the Museum National d'Histoire Naturelle, Paris, for providing specimens collected during the REVOLTA 3 (2012) expedition in Terre Adelie and Bathus 3 (1993) in New Caledonia. Thanks also to David Barnes from the British Antarctic Survey (BAS) for providing specimens from the BIOPEARL I expedition of 2006 and to Dirk Schories (Meeresforschung, MGS, Forschungszentrum, Julich GmbH) for providing shallow-water species from King George Island. We are grateful to Zohra Elouaazizi, Karin Breugelmans, Gontran Sonet and Zoltan Nagy (all RBINS) for helpful advices.</t>
  </si>
  <si>
    <t>0300-3256</t>
  </si>
  <si>
    <t>1463-6409</t>
  </si>
  <si>
    <t>ZOOL SCR</t>
  </si>
  <si>
    <t>Zool. Scr.</t>
  </si>
  <si>
    <t>10.1111/zsc.12153</t>
  </si>
  <si>
    <t>Evolutionary Biology; Zoology</t>
  </si>
  <si>
    <t>DK1WI</t>
  </si>
  <si>
    <t>WOS:000374705300007</t>
  </si>
  <si>
    <t>Saccardo, P; Corchero, JL; Ferrer-Miralles, N</t>
  </si>
  <si>
    <t>Saccardo, Paolo; Luis Corchero, Jose; Ferrer-Miralles, Neus</t>
  </si>
  <si>
    <t>Tools to cope with difficult-to-express proteins</t>
  </si>
  <si>
    <t>APPLIED MICROBIOLOGY AND BIOTECHNOLOGY</t>
  </si>
  <si>
    <t>Recombinant protein production; Difficult-to-express protein; Expression system; Escherichia coli; Protein solubility; Protein aggregation; Biopharmaceuticals</t>
  </si>
  <si>
    <t>LACTIC-ACID BACTERIA; RECOMBINANT PROTEIN; LACTOCOCCUS-LACTIS; BACILLUS-SUBTILIS; ESCHERICHIA-COLI; CORYNEBACTERIUM-GLUTAMICUM; ANTARCTIC BACTERIUM; ALPHA-AMYLASE; GROWTH-FACTOR; SYSTEM NICE</t>
  </si>
  <si>
    <t>The identification of DNA coding sequences contained in the genome of many organisms coupled to the use of high throughput approaches has fueled the field of recombinant protein production. Apart from basic research interests, the growing relevance of this field is highlighted by the global sales of the top ten biopharmaceuticals on the market, which exceeds the trillion USD in a steady increasing tendency. Therefore, the demand of biological compounds seems to have a long run on the market. One of the most popular expression systems is based on Escherichia coli cells which apart from being cost-effective counts with a large selection of resources. However, a significant percentage of the genes of interest are not efficiently expressed in this system, or the expressed proteins are accumulated within aggregates, degraded or lacking the desired biological activity, being finally discarded. In some instances, expressing the gene in a homologous expression system might alleviate those drawbacks but then the process usually increases in complexity and is not as cost-effective as the prokaryotic systems. An increasing toolbox is available to approach the production and purification of those difficult-to-express proteins, including different expression systems, promoters with different strengths, cultivation media and conditions, solubilization tags and chaperone coexpression, among others. However, in most cases, the process follows a non-integrative trial and error strategy with discrete success. This review is focused on the design of the whole process by using an integrative approach, taken into account the accumulated knowledge of the pivotal factors that affect any of the key processes, in an attempt to rationalize the efforts made in this appealing field.</t>
  </si>
  <si>
    <t>[Saccardo, Paolo; Luis Corchero, Jose; Ferrer-Miralles, Neus] Univ Autonoma Barcelona, Inst Biotecnol &amp; Biomed, E-08193 Barcelona, Spain; [Saccardo, Paolo; Luis Corchero, Jose; Ferrer-Miralles, Neus] CIBER Bioingn Biomat &amp; Nanomed, Barcelona 08193, Spain; [Luis Corchero, Jose; Ferrer-Miralles, Neus] Univ Autonoma Barcelona, Dept Genet &amp; Microbiol, E-08193 Barcelona, Spain</t>
  </si>
  <si>
    <t>Autonomous University of Barcelona; CIBER - Centro de Investigacion Biomedica en Red; CIBERBBN; Autonomous University of Barcelona</t>
  </si>
  <si>
    <t>Ferrer-Miralles, N (corresponding author), Univ Autonoma Barcelona, Inst Biotecnol &amp; Biomed, E-08193 Barcelona, Spain.;Ferrer-Miralles, N (corresponding author), CIBER Bioingn Biomat &amp; Nanomed, Barcelona 08193, Spain.;Ferrer-Miralles, N (corresponding author), Univ Autonoma Barcelona, Dept Genet &amp; Microbiol, E-08193 Barcelona, Spain.</t>
  </si>
  <si>
    <t>neus.ferrer@uab.cat</t>
  </si>
  <si>
    <t>Corchero, José L/G-8413-2016; Ferrer-Miralles, Neus/G-7934-2016; Saccardo, Paolo/C-2503-2017</t>
  </si>
  <si>
    <t>Ferrer-Miralles, Neus/0000-0003-2981-3913; Saccardo, Paolo/0000-0002-3092-1404</t>
  </si>
  <si>
    <t>Agencia de Gestio d'Ajuts Universitaris i de Recerca (AGAUR) [2014SGR-132]; FIS [PS09-00165, PI12/00327]; Fundacio La Marato de TV3 [TV32009-101235, TV32013-132031, TV32013-133930]; INIA [RTA2012-00028-C02-02]; MINECO [BFU2010-17450, ACI2009-0919, IT2009-0021, BIO2013-41019-P, LIPOCELL TT02, TERARMET RTC-2014-2207-1]; Centro de Investigacion Biomedica en Red (CIBER); VI National R&amp;D&amp;i Plan, Iniciativa Ingenio, Consolider Program, CIBER Actions; Instituto de Salud Carlos III; European Regional Development Fund</t>
  </si>
  <si>
    <t>Agencia de Gestio d'Ajuts Universitaris i de Recerca (AGAUR)(Agencia de Gestio D'Ajuts Universitaris de Recerca Agaur (AGAUR)); FIS(Instituto de Salud Carlos III); Fundacio La Marato de TV3; INIA(Instituto de Investigacion Agropecuaria (INIA)Spanish Government); MINECO(Spanish Government); Centro de Investigacion Biomedica en Red (CIBER); VI National R&amp;D&amp;i Plan, Iniciativa Ingenio, Consolider Program, CIBER Actions(Spanish Government); Instituto de Salud Carlos III(Instituto de Salud Carlos IIISpanish Government); European Regional Development Fund(European Union (EU))</t>
  </si>
  <si>
    <t>The authors acknowledge the financial support received for funding our research on protein-based nanotherapeutics and biomaterials from Agencia de Gestio d'Ajuts Universitaris i de Recerca (AGAUR, 2014SGR-132), FIS (PS09-00165 and PI12/00327), Fundacio La Marato de TV3 (TV32009-101235, TV32013-132031, and TV32013-133930), INIA (RTA2012-00028-C02-02), MINECO (BFU2010-17450, ACI2009-0919, IT2009-0021, BIO2013-41019-P, LIPOCELL TT02, and TERARMET RTC-2014-2207-1), and from the Centro de Investigacion Biomedica en Red (CIBER) de Bioingenieria, Biomateriales y Nanomedicina (NANOLYSO, NANOPROTHER, and PENTRI projects). CIBER de Bioingenieria, Biomateriales y Nanomedicina (CIBER-BBN) is an initiative funded by the VI National R&amp;D&amp;i Plan 2008-2011, Iniciativa Ingenio 2010, Consolider Program, CIBER Actions, and financed by the Instituto de Salud Carlos III with assistance from the European Regional Development Fund.</t>
  </si>
  <si>
    <t>0175-7598</t>
  </si>
  <si>
    <t>1432-0614</t>
  </si>
  <si>
    <t>APPL MICROBIOL BIOT</t>
  </si>
  <si>
    <t>Appl. Microbiol. Biotechnol.</t>
  </si>
  <si>
    <t>10.1007/s00253-016-7514-8</t>
  </si>
  <si>
    <t>DK6TH</t>
  </si>
  <si>
    <t>WOS:000375057700008</t>
  </si>
  <si>
    <t>Neave, DA; Black, M; Riley, TR; Gibson, SA; Ferrier, G; Wall, F; Broom-Fendley, S</t>
  </si>
  <si>
    <t>Neave, David A.; Black, Martin; Riley, Teal R.; Gibson, Sally A.; Ferrier, Graham; Wall, Frances; Broom-Fendley, Sam</t>
  </si>
  <si>
    <t>On the Feasibility of Imaging Carbonatite-Hosted Rare Earth Element Deposits Using Remote Sensing</t>
  </si>
  <si>
    <t>ECONOMIC GEOLOGY</t>
  </si>
  <si>
    <t>SPACEBORNE THERMAL EMISSION; INNER-MONGOLIA; REFLECTANCE SPECTROSCOPY; LIQUID IMMISCIBILITY; MOUNTAIN PASS; QUANTITATIVE-DETERMINATION; SPECTROMETER AVIRIS; MINERAL-DEPOSITS; MOTZFELDT-CENTER; IGNEOUS ROCKS</t>
  </si>
  <si>
    <t>Rare earth elements (REEs) generate characteristic absorption features in visible to shortwave infrared (VNIR-SWIR) reflectance spectra. Neodymium (Nd) has among the most prominent absorption features of the REEs and thus represents a key pathfinder element for the REEs as a whole. Given that the world's largest REE deposits are associated with carbonatites, we present spectral, petrographic, and geochemical data from a predominantly carhonatitic suite of rocks that we use to assess the feasibility of imaging REE deposits using remote sensing. Samples were selected to cover a wide range of extents and styles of REE mineralization, and encompass calcio-, ferro- and magnesio-carbonatites. REE ores from the Bayan Obo (China) and Mountain Pass (United States) mines, as well as REE-rich alkaline rocks from the Motzfeldt and Ilimaussaq intrusions in Greenland, were also included in the sample suite. The depth and area of Nd absorption features in spectra collected under laboratory conditions correlate positively with the Nd content of whole-rock samples. The wavelength of Nd absorption features is predominantly independent of sample lithology and mineralogy. Correlations are most reliable for the two absorption features centered at similar to 744 and similar to 802 nm that can be observed in samples containing as little as similar to 1,000 ppm Nd. By convolving laboratory spectra to the spectral response functions of a variety of remote sensing instruments we demonstrate that hyperspectral instruments with capabilities equivalent to the operational Airborne Visible-Infrared Imaging Spectrometer (AVIRIS) and planned Environmental Mapping and Analysis Program (EnMAP) systems have the spectral resolutions necessary to detect Nd absorption features, especially in high-grade samples with economically relevant REE accumulations (Nd &gt; 30,000 ppm). Adding synthetic noise to convolved spectra indicates that correlations between Nd absorption area and whole-rock Nd content only remain robust when spectra have signal-to-noise ratios in excess of similar to 250:1. Although atmospheric interferences are modest across the wavelength intervals relevant for Nd detection, most REE-rich outcrops are too small to be detectable using satellite-based platforms with &gt;30-m spatial resolutions. However, our results indicate that Nd absorption features should he identifiable in high-quality, airborne, hyperspectral datasets collected at meter-scale spatial resolutions. Future deployment of hyperspectral instruments on unmanned aerial vehicles could enable REE grade to be mapped at the centimeter scale across whole deposits.</t>
  </si>
  <si>
    <t>[Neave, David A.; Gibson, Sally A.] Univ Cambridge, Dept Earth Sci, Downing St, Cambridge CB2 3EQ, England; [Black, Martin; Riley, Teal R.] British Antarctic Survey, Madingley Rd, Cambridge CB3 0ET, England; [Black, Martin; Ferrier, Graham] Univ Hull, Dept Geog Environm &amp; Earth Sci, Kingston Upon Hull HU6 7RX, N Humberside, England; [Wall, Frances; Broom-Fendley, Sam] Univ Exeter, Coll Engn Math &amp; Phys Sci, Camborne Sch Mines, Penryn Campus, Exeter TR10 9FE, Cornwall, England; [Neave, David A.] Leibniz Univ Hannover, Inst Mineral, Callinstr 3, D-30167 Hannover, Germany</t>
  </si>
  <si>
    <t>University of Cambridge; UK Research &amp; Innovation (UKRI); Natural Environment Research Council (NERC); NERC British Antarctic Survey; University of Hull; University of Exeter; Leibniz University Hannover</t>
  </si>
  <si>
    <t>Neave, DA (corresponding author), Univ Cambridge, Dept Earth Sci, Downing St, Cambridge CB2 3EQ, England.;Neave, DA (corresponding author), Leibniz Univ Hannover, Inst Mineral, Callinstr 3, D-30167 Hannover, Germany.</t>
  </si>
  <si>
    <t>d.neave@mineralogie.uni-hannover.de</t>
  </si>
  <si>
    <t>Neave, David/ABF-9820-2021</t>
  </si>
  <si>
    <t>Riley, Teal/0000-0002-3333-5021; Neave, David/0000-0001-6343-2482</t>
  </si>
  <si>
    <t>University of Cambridge Higher Education Innovation Funding (HEIF); Natural Environment Research Council (NERC) [NE/K50094X/1]; Innovation Centre for the Environment located at the British Antarctic Survey (BAS); Natural Environment Research Council [fsf010001, 1101603, bas0100029] Funding Source: researchfish; NERC [bas0100029, NE/K50094X/1] Funding Source: UKRI</t>
  </si>
  <si>
    <t>University of Cambridge Higher Education Innovation Funding (HEIF); Natural Environment Research Council (NERC)(UK Research &amp; Innovation (UKRI)Natural Environment Research Council (NERC)); Innovation Centre for the Environment located at the British Antarctic Survey (BAS); Natural Environment Research Council(UK Research &amp; Innovation (UKRI)Natural Environment Research Council (NERC)); NERC(UK Research &amp; Innovation (UKRI)Natural Environment Research Council (NERC))</t>
  </si>
  <si>
    <t>DAN and the project as a whole were supported by funds from the University of Cambridge Higher Education Innovation Funding (HEIF) allocation, as part of the effort to establish a new Innovation Centre for the Environment located at the British Antarctic Survey (BAS). MB was supported by a Natural Environment Research Council (NERC) Research Studentship (NE/K50094X/1).</t>
  </si>
  <si>
    <t>SOC ECONOMIC GEOLOGISTS, INC</t>
  </si>
  <si>
    <t>LITTLETON</t>
  </si>
  <si>
    <t>7811 SCHAFFER PARKWAY, LITTLETON, CO 80127 USA</t>
  </si>
  <si>
    <t>0361-0128</t>
  </si>
  <si>
    <t>1554-0774</t>
  </si>
  <si>
    <t>ECON GEOL</t>
  </si>
  <si>
    <t>Econ. Geol.</t>
  </si>
  <si>
    <t>10.2113/econgeo.111.3.641</t>
  </si>
  <si>
    <t>Geochemistry &amp; Geophysics; Mineralogy</t>
  </si>
  <si>
    <t>DL0WB</t>
  </si>
  <si>
    <t>Green Published, Green Accepted</t>
  </si>
  <si>
    <t>WOS:000375352200004</t>
  </si>
  <si>
    <t>Diez, A; Bromirski, PD; Gerstoft, P; Stephen, RA; Anthony, RE; Aster, RC; Cai, C; Nyblade, A; Wiens, DA</t>
  </si>
  <si>
    <t>Diez, A.; Bromirski, P. D.; Gerstoft, P.; Stephen, R. A.; Anthony, R. E.; Aster, R. C.; Cai, C.; Nyblade, A.; Wiens, D. A.</t>
  </si>
  <si>
    <t>Ice shelf structure derived from dispersion curve analysis of ambient seismic noise, Ross Ice Shelf, Antarctica</t>
  </si>
  <si>
    <t>GEOPHYSICAL JOURNAL INTERNATIONAL</t>
  </si>
  <si>
    <t>Glaciology; Surface waves and free oscillations; Seismic anisotropy; Antarctica</t>
  </si>
  <si>
    <t>ACTIVE RESERVOIR BENEATH; SUBGLACIAL LAKE WHILLANS; RIFT PROPAGATION; EAST ANTARCTICA; STREAM; FIRN; ANISOTROPY; STABILITY; RETREAT; SURFACE</t>
  </si>
  <si>
    <t>An L-configured, three-component short period seismic array was deployed on the Ross Ice Shelf, Antarctica during November 2014. Polarization analysis of ambient noise data from these stations shows linearly polarized waves for frequency bands between 0.2 and 2 Hz. A spectral peak at about 1.6 Hz is interpreted as the resonance frequency of the water column and is used to estimate the water layer thickness below the ice shelf. The frequency band from 4 to 18 Hz is dominated by Rayleigh and Love waves propagating from the north that, based on daily temporal variations, we conclude were generated by field camp activity. Frequency-slowness plots were calculated using beamforming. Resulting Love and Rayleigh wave dispersion curves were inverted for the shear wave velocity profile within the firn and ice to similar to 150 m depth. The derived density profile allows estimation of the pore close-off depth and the firn-air content thickness. Separate inversions of Rayleigh and Love wave dispersion curves give different shear wave velocity profiles within the firn. We attribute this difference to an effective anisotropy due to fine layering. The layered structure of firn, ice, water and the seafloor results in a characteristic dispersion curve below 7 Hz. Forward modelling the observed Rayleigh wave dispersion curves using representative firn, ice, water and sediment structures indicates that Rayleigh waves are observed when wavelengths are long enough to span the distance from the ice shelf surface to the seafloor. The forward modelling shows that analysis of seismic data from an ice shelf provides the possibility of resolving ice shelf thickness, water column thickness and the physical properties of the ice shelf and underlying seafloor using passive-source seismic data.</t>
  </si>
  <si>
    <t>[Diez, A.; Bromirski, P. D.; Gerstoft, P.] Univ Calif San Diego, Scripps Inst Oceanog, La Jolla, CA 92093 USA; [Stephen, R. A.] Woods Hole Oceanog Inst, Woods Hole, MA 02543 USA; [Anthony, R. E.; Aster, R. C.] Colorado State Univ, Warner Coll Nat Resources, Dept Geosci, Ft Collins, CO 80523 USA; [Cai, C.; Wiens, D. A.] Washington Univ, Dept Earth &amp; Planetary Sci, St Louis, MO 63130 USA; [Nyblade, A.] Penn State Univ, Dept Geosci, State Coll, PA 16801 USA</t>
  </si>
  <si>
    <t>University of California System; University of California San Diego; Scripps Institution of Oceanography; Woods Hole Oceanographic Institution; Colorado State University; Washington University (WUSTL); Pennsylvania Commonwealth System of Higher Education (PCSHE); Pennsylvania State University</t>
  </si>
  <si>
    <t>Diez, A (corresponding author), Univ Calif San Diego, Scripps Inst Oceanog, La Jolla, CA 92093 USA.</t>
  </si>
  <si>
    <t>adiez@ucsd.edu</t>
  </si>
  <si>
    <t>Aster, Richard/E-5067-2013; Gerstoft, Peter/B-2842-2009; Anthony, Rob/J-2212-2017; Wiens, Douglas/J-9259-2016</t>
  </si>
  <si>
    <t>Aster, Richard/0000-0002-0821-4906; Gerstoft, Peter/0000-0002-0471-062X; Diez, Anja/0000-0001-6443-6135; Anthony, Robert/0000-0001-7089-8846; Wiens, Douglas/0000-0002-5169-4386</t>
  </si>
  <si>
    <t>NSF [PLR 1246151, PLR-1246416, PLR-1142518, 1141916, 1142126]; California Department of Parks and Recreation, Division of Boating and Waterways [11-106-107]; National Science Foundation [EAR-1261681]; DOE National Nuclear Security Administration; Directorate For Geosciences; Office of Polar Programs (OPP) [1142126] Funding Source: National Science Foundation; Directorate For Geosciences; Office of Polar Programs (OPP) [1141916, 1246416, 1142518] Funding Source: National Science Foundation</t>
  </si>
  <si>
    <t>NSF(National Science Foundation (NSF)); California Department of Parks and Recreation, Division of Boating and Waterways; National Science Foundation(National Science Foundation (NSF)); DOE National Nuclear Security Administration(National Nuclear Security AdministrationUnited States Department of Energy (DOE)); Directorate For Geosciences; Office of Polar Programs (OPP)(National Science Foundation (NSF)NSF - Directorate for Geosciences (GEO)); Directorate For Geosciences; Office of Polar Programs (OPP)(National Science Foundation (NSF)NSF - Directorate for Geosciences (GEO))</t>
  </si>
  <si>
    <t>PDB, AD and PG were supported by NSF Grant PLR 1246151. RAS was supported by NSF Grant PLR-1246416. DAW, RA and AN were supported under NSF Grants PLR-1142518, 1141916 and 1142126, respectively. PDB also received support from the California Department of Parks and Recreation, Division of Boating and Waterways under contract 11-106-107. We thank Reinhard Flick and Patrick Shore for their support during field work, Tom Bolmer in locating stations and preparing maps and the US Antarctic Program for logistical support. The seismic instruments were provided by the Incorporated Research Institutions for Seismology (IRIS) through the PASSCAL Instrument Center at New Mexico Tech. Data collected are available through the IRIS Data Management Center. The facilities of the IRIS Consortium are supported by the National Science Foundation under Cooperative Agreement EAR-1261681 and the DOE National Nuclear Security Administration. AD thanks Nima Riahi for valuable tips on the processing of passive-source seismic data. We thank Gabi Laske and two anonymous reviewers for their comments and suggestions.</t>
  </si>
  <si>
    <t>0956-540X</t>
  </si>
  <si>
    <t>1365-246X</t>
  </si>
  <si>
    <t>GEOPHYS J INT</t>
  </si>
  <si>
    <t>Geophys. J. Int.</t>
  </si>
  <si>
    <t>10.1093/gji/ggw036</t>
  </si>
  <si>
    <t>DK7GE</t>
  </si>
  <si>
    <t>Green Submitted, Bronze</t>
  </si>
  <si>
    <t>WOS:000375092400008</t>
  </si>
  <si>
    <t>Aoyama, Y; Doi, K; Ikeda, H; Hayakawa, H; Shibuya, K</t>
  </si>
  <si>
    <t>Aoyama, Yuichi; Doi, Koichiro; Ikeda, Hiroshi; Hayakawa, Hideaki; Shibuya, Kazuo</t>
  </si>
  <si>
    <t>Five years' gravity observation with the superconducting gravimeter OSG#058 at Syowa Station, East Antarctica: gravitational effects of accumulated snow mass</t>
  </si>
  <si>
    <t>Time-series analysis; Satellite geodesy; Time variable gravity; Antarctica</t>
  </si>
  <si>
    <t>HYDROLOGICAL MODELS; GRACE SATELLITE; FIELD; DEFORMATION; TIDES; EARTH</t>
  </si>
  <si>
    <t>Continuous gravimetric observations have been made with three successive generations of superconducting gravimeter over 20 yr at Syowa Station (39.6 degrees E, 69.0 degrees S), East Antarctica. The third-generation instrument, OSG#058, was installed in January 2010 and was calibrated by an absolute gravimeter during January and February, 2010. The estimated scale factor was -73.823 +/- 0.053 mu Gal V-1 (1 mu Gal = 10(-8) m s(-2)). The first 5 yr of OSG#058 data from 2010 January 7 to 2015 January 10 were decomposed into tidal waves (M3 to Ssa) and other non-tidal components by applying the Bayesian tidal analysis program BAYTAP. Long-term non-tidal gravity residuals, which were obtained by subtracting annual and 18.6 year tidal waves and the predicted gravity response to the Earth's variable rotation, showed significant correlation with the accumulated snow depth measured at Syowa Station. The greatest correlation occurred when the gravity variations lagged the accumulated snow depth by 21 d. To estimate the gravitational effect of the accumulated snow mass, we inferred a conversion factor of 3.13 +/- 0.08 mu Gal m(-1) from this relation. The accumulated snow depth at Syowa Station was found to represent an extensive terrestrial water storage (the snow accumulation) around Syowa Station, which was estimated from the Gravity Recovery and Climate Experiment satellite gravity data. The snow accumulation around Syowa Station was detectable by the superconducting gravimeter.</t>
  </si>
  <si>
    <t>[Aoyama, Yuichi; Doi, Koichiro; Hayakawa, Hideaki; Shibuya, Kazuo] Natl Inst Polar Res, 10-3 Midori Cho, Tachikawa, Tokyo 1908518, Japan; [Aoyama, Yuichi; Doi, Koichiro] SOKENDAI, 10-3 Midori Cho, Tachikawa, Tokyo 1908518, Japan; [Ikeda, Hiroshi] Univ Tsukuba, Cryogen Div, Ctr Sci &amp; Technol, Res Facil, Tsukuba, Ibaraki 3058577, Japan</t>
  </si>
  <si>
    <t>Research Organization of Information &amp; Systems (ROIS); National Institute of Polar Research (NIPR) - Japan; University of Tsukuba</t>
  </si>
  <si>
    <t>Aoyama, Y (corresponding author), Natl Inst Polar Res, 10-3 Midori Cho, Tachikawa, Tokyo 1908518, Japan.;Aoyama, Y (corresponding author), SOKENDAI, 10-3 Midori Cho, Tachikawa, Tokyo 1908518, Japan.</t>
  </si>
  <si>
    <t>Ikeda, Hiroshi/ABC-4637-2020</t>
  </si>
  <si>
    <t>Ikeda, Hiroshi/0000-0002-7187-1722</t>
  </si>
  <si>
    <t>National Institute of Polar Research (NIPR) under the Ministry of Education, Culture, Sports, Science and Technology (MEXT); NIPR publication subsidy; NASA MEaSUREs Program</t>
  </si>
  <si>
    <t>This research was part of the Science Program of the Japanese Antarctic Research Expedition (JARE), supported by the National Institute of Polar Research (NIPR) under the Ministry of Education, Culture, Sports, Science and Technology (MEXT). Continuous SG observations were conducted by the 34th to the 55th Expeditions. GRCTellus data used in this study were downloaded from http://grace.jpl.nasa.gov, supported by the NASA MEaSUREs Program. GSI digital elevation model in Prince Olav Coast and Souya Coast Area was produced in 2010 as Technical material No. C1-406. The publication of this paper was supported by an NIPR publication subsidy. The authors are grateful to Yoichi Fukuda and another anonymous reviewer for their helpful and insightful comments.</t>
  </si>
  <si>
    <t>10.1093/gji/ggw078</t>
  </si>
  <si>
    <t>Bronze, Green Submitted</t>
  </si>
  <si>
    <t>WOS:000375092400043</t>
  </si>
  <si>
    <t>Li, F; Vikhliaev, YV; Newman, PA; Pawson, S; Perlwitz, J; Waugh, DW; Douglass, AR</t>
  </si>
  <si>
    <t>Li, Feng; Vikhliaev, Yury V.; Newman, Paul A.; Pawson, Steven; Perlwitz, Judith; Waugh, Darryn W.; Douglass, Anne R.</t>
  </si>
  <si>
    <t>Impacts of Interactive Stratospheric Chemistry on Antarctic and Southern Ocean Climate Change in the Goddard Earth Observing System, Version 5 (GEOS-5)</t>
  </si>
  <si>
    <t>JOURNAL OF CLIMATE</t>
  </si>
  <si>
    <t>SEA-ICE EXTENT; OZONE; CIRCULATION; TRENDS; MODEL; VARIABILITY; FORMULATION; SIMULATION; DEPLETION; BIASES</t>
  </si>
  <si>
    <t>Stratospheric ozone depletion plays a major role in driving climate change in the Southern Hemisphere. To date, many climate models prescribe the stratospheric ozone layer's evolution using monthly and zonally averaged ozone fields. However, the prescribed ozone underestimates Antarctic ozone depletion and lacks zonal asymmetries. This study investigates the impact of using interactive stratospheric chemistry instead of prescribed ozone on climate change simulations of the Antarctic and Southern Ocean. Two sets of 1960-2010 ensemble transient simulations are conducted with the coupled ocean version of the Goddard Earth Observing System Model, version 5: one with interactive stratospheric chemistry and the other with prescribed ozone derived from the same interactive simulations. The model's climatology is evaluated using observations and reanalysis. Comparison of the 1979-2010 climate trends between these two simulations reveals that interactive chemistry has important effects on climate change not only in the Antarctic stratosphere, troposphere, and surface, but also in the Southern Ocean and Antarctic sea ice. Interactive chemistry causes stronger Antarctic lower stratosphere cooling and circumpolar westerly acceleration during November-January. It enhances stratosphere-troposphere coupling and leads to significantly larger tropospheric and surface westerly changes. The significantly stronger surface wind stress trends cause larger increases of the Southern Ocean meridional overturning circulation, leading to year-round stronger ocean warming near the surface and enhanced Antarctic sea ice decrease.</t>
  </si>
  <si>
    <t>[Li, Feng; Vikhliaev, Yury V.] Univ Space Res Assoc, Goddard Earth Sci Technol &amp; Res, Columbia, MD USA; [Li, Feng; Newman, Paul A.] NASA, Goddard Space Flight Ctr, Atmospher Chem &amp; Dynam Lab, 8800 Greenbelt Rd, Greenbelt, MD 20771 USA; [Vikhliaev, Yury V.; Pawson, Steven] NASA, Goddard Space Flight Ctr, Global Modeling &amp; Assimilat Off, Greenbelt, MD 20771 USA; [Perlwitz, Judith] Univ Colorado, Cooperat Inst Res Environm Sci, Boulder, CO 80309 USA; [Perlwitz, Judith] NOAA, Div Phys Sci, Earth Syst Res Lab, Boulder, CO USA; [Waugh, Darryn W.] Johns Hopkins Univ, Dept Earth &amp; Planetary Sci, Baltimore, MD 21218 USA</t>
  </si>
  <si>
    <t>Universities Space Research Association (USRA); National Aeronautics &amp; Space Administration (NASA); NASA Goddard Space Flight Center; National Aeronautics &amp; Space Administration (NASA); NASA Goddard Space Flight Center; University of Colorado System; University of Colorado Boulder; National Oceanic Atmospheric Admin (NOAA) - USA; Johns Hopkins University</t>
  </si>
  <si>
    <t>Li, F (corresponding author), NASA, Goddard Space Flight Ctr, Atmospher Chem &amp; Dynam Lab, 8800 Greenbelt Rd, Greenbelt, MD 20771 USA.</t>
  </si>
  <si>
    <t>feng.li@nasa.gov</t>
  </si>
  <si>
    <t>Li, Feng/H-2241-2012; Vikhliaev, Yury V/H-2315-2012; Perlwitz, Judith/B-7201-2008; Douglass, Anne R/D-4655-2012; Waugh, Darryn/K-3688-2016; Pawson, Steven/I-1865-2014; Newman, Paul A./D-6208-2012</t>
  </si>
  <si>
    <t>Perlwitz, Judith/0000-0003-4061-2442; Li, Feng/0000-0002-7928-0775; Waugh, Darryn/0000-0001-7692-2798; Pawson, Steven/0000-0003-0200-717X; Newman, Paul A./0000-0003-1139-2508</t>
  </si>
  <si>
    <t>NASA's Modeling, Analysis and Prediction Program (MAP); Atmospheric Composition Modeling and Analysis Program (ACMAP); U.S. National Science Foundation</t>
  </si>
  <si>
    <t>NASA's Modeling, Analysis and Prediction Program (MAP); Atmospheric Composition Modeling and Analysis Program (ACMAP); U.S. National Science Foundation(National Science Foundation (NSF))</t>
  </si>
  <si>
    <t>This work is supported by NASA's Modeling, Analysis and Prediction Program (MAP) and Atmospheric Composition Modeling and Analysis Program (ACMAP). D.W.W. is funded, in part, by a grant from the U.S. National Science Foundation. Computational resources for this work were provided by NASA's High-Performance Computing though the generous award of computing time at NASA Center for Climate Simulation (NCCS) and NASA Advanced Supercomputing (NAS) Division. We thank three anonymous reviewers for their valuable comments.</t>
  </si>
  <si>
    <t>0894-8755</t>
  </si>
  <si>
    <t>1520-0442</t>
  </si>
  <si>
    <t>J CLIMATE</t>
  </si>
  <si>
    <t>J. Clim.</t>
  </si>
  <si>
    <t>10.1175/JCLI-D-15-0572.1</t>
  </si>
  <si>
    <t>DK8AD</t>
  </si>
  <si>
    <t>Green Submitted, hybrid, Green Accepted</t>
  </si>
  <si>
    <t>WOS:000375147800006</t>
  </si>
  <si>
    <t>Fernandez, RA; Anderson, JB; Wellner, JS; Minzoni, RL; Hallet, B; Smith, RT</t>
  </si>
  <si>
    <t>Fernandez, Rodrigo A.; Anderson, John B.; Wellner, Julia S.; Minzoni, Rebecca L.; Hallet, Bernard; Smith, R. Tyler</t>
  </si>
  <si>
    <t>Latitudinal variation in glacial erosion rates from Patagonia and the Antarctic Peninsula (46°S-65°S)</t>
  </si>
  <si>
    <t>KING-GEORGE ISLAND; JAMES-ROSS-ISLAND; ICE-SHEET; SOUTHERN ANDES; MARINE SEDIMENTATION; TECTONIC EVOLUTION; HOLOCENE CLIMATE; SOUND-VELOCITY; GLOBAL CLIMATE; RETREAT</t>
  </si>
  <si>
    <t>We use extensive sedimentary and marine geophysical data to derive sediment volume-based millennial time-scale glacial erosion rates (E) from glacially influenced fjords and bays across a broad latitudinal transect, from central Patagonia (46 degrees S) to the Antarctic Peninsula (65 degrees S), and to determine how glacial erosion rates change with increasing latitude and decreasing atmospheric temperatures. We also calculate million-year time-scale erosion rates for the western Antarctic Peninsula cordillera and inner continental shelf from seismic stratigraphic analysis of the continental margin. These results are complemented by erosion rates derived from existing thermochronology data sets (apatite fission-track and apatite [U-Th]/He) for both Patagonia and the Antarctic Peninsula regions. Despite considerable regional variability, our results show a clear trend of decreasing (E) over bar with increasing latitude. Millennial (E) over bar values span two orders of magnitude, from 0.02 mm/yr for Illiad glacier on Anvers Island, Antarctica (similar to 64.5 degrees S), to 0.83 mm/yr for San Rafael glacier in northern Patagonia (similar to 46.5 degrees S). Regional averages are three times higher for the Patagonian areas than the Antarctic Peninsula areas. This trend is interpreted to result from a general decrease in temperature and water availability at the ice-bedrock interface. For the Antarctic Peninsula study sites, erosion rates are highly clustered around 0.1 mm/yr, with the exception of Maxwell Bay, for which the (E) over bar value is 0.36 mm/yr. In Patagonia, erosion rates are more variable than in the Antarctic Peninsula, with (E) over bar ranging between 0.14 mm/yr (Europa glacier area) and 0.83 mm/yr (San Rafael glacier area). This regional variability in (E) over bar is interpreted as due to differences in hypsometry and bedrock resistance to erosion. Million-year time-scale (E) over bar values derived from thermochronology ages also decrease with latitude, with maximum values decreasing from similar to 0.9-1.1 mm/yr north of 46 degrees S to similar to 0.1-0.2 mm/yr south of 48 degrees S in Patagonia, and reaching similar to 0.2-0.3 mm/yr in the Antarctic Peninsula. The sediment-based million year time-scale (E) over bar estimates for the western Antarctic Peninsula cordillera indicate that glacial erosion rates increased by 25%-30% after 5.3 Ma, from similar to 0.09 mm/yr (5.3-9.5 Ma) to similar to 0.11-0.12 mm/yr (&lt; 5.3 Ma). For Patagonia, the decrease in long-term erosion rates south of similar to 46 degrees S is interpreted to result from relatively long periods of slow glacial erosion associated with the ice masses having been colder (subpolar) on the southern Patagonian cordillera, and having eroded at rates comparable to those we obtained for the Antarctic Peninsula. These long-term erosion rates are 1-2 orders of magnitude lower than estimates based on recent sediment yields, highlighting the transient nature of high-sediment-flux events. However, our sediment volume-derived millennial time-scale &lt;(E)over bar&gt; closely approximates the maximum values of tectonic time-scale (E) over bar values derived from thermochronology ages. Our combined millennial and million-year time-scale glacial erosion data quantify the significant decrease in rates of glacially driven denudation at geological (tectonic) and millennial time scales with increasing latitude from Patagonia to the Antarctic Peninsula, highlighting the influence of climate on mountain denudation.</t>
  </si>
  <si>
    <t>[Fernandez, Rodrigo A.] Univ Texas Austin, Inst Geophys, 10100 Burnet Rd, Austin, TX 78758 USA; [Anderson, John B.; Minzoni, Rebecca L.] Rice Univ, Dept Earth Sci, 6100 Main St,MS126, Houston, TX 77005 USA; [Wellner, Julia S.] Univ Houston, Dept Earth &amp; Atmospher Sci, Houston, TX 77204 USA; [Hallet, Bernard] Univ Washington, Dept Earth &amp; Space Sci, Seattle, WA 98195 USA; [Smith, R. Tyler] BHP Billiton, 171 Collins St, Melbourne, Vic 3000, Australia</t>
  </si>
  <si>
    <t>University of Texas System; University of Texas Austin; Rice University; University of Houston System; University of Houston; University of Washington; University of Washington Seattle; BHP Billiton; Melbourne Genomics Health Alliance</t>
  </si>
  <si>
    <t>Fernandez, RA (corresponding author), Univ Texas Austin, Inst Geophys, 10100 Burnet Rd, Austin, TX 78758 USA.</t>
  </si>
  <si>
    <t>r.f@ig.utexas.edu</t>
  </si>
  <si>
    <t>Fernandez, Rodrigo/ABC-8361-2020; Fernandez, Rodrigo/GRF-1350-2022</t>
  </si>
  <si>
    <t>Fernandez, Rodrigo/0000-0003-4226-6010</t>
  </si>
  <si>
    <t>National Science Foundation Office of Polar Programs [03-38137, 03-38371]</t>
  </si>
  <si>
    <t>National Science Foundation Office of Polar Programs(National Science Foundation (NSF)NSF - Directorate for Geosciences (GEO))</t>
  </si>
  <si>
    <t>This research was funded by the National Science Foundation Office of Polar Programs grant number 03-38137 to John Anderson and Julia Wellner, and grant 03-38371 to Bernard Hallet. We thank the officers, crew, and scientists who sailed on the RV/IB Nathaniel B. Palmer during NBP0505 in the Chilean fjords, and NBP0703, among other cruises in the Antarctic Peninsula. We also thank the staff of the Antarctic Marine Geology Research Facility for their help with describing and sampling cores. The authors would like to thank the reviewers that helped to improve the manuscript, especially Dr. Mark Brandon who provided valuable advice for the calculation of erosion rates from thermochronology dates.</t>
  </si>
  <si>
    <t>10.1130/B31321.1</t>
  </si>
  <si>
    <t>WOS:000375212200020</t>
  </si>
  <si>
    <t>Chen, N; Wu, Q; Li, H; Zhang, T; Xu, CL</t>
  </si>
  <si>
    <t>Chen, Nan; Wu, Quan; Li, Hao; Zhang, Tao; Xu, Chengli</t>
  </si>
  <si>
    <t>Different adaptations of Chinese winter-over expeditioners during prolonged Antarctic and sub-Antarctic residence</t>
  </si>
  <si>
    <t>INTERNATIONAL JOURNAL OF BIOMETEOROLOGY</t>
  </si>
  <si>
    <t>Antarctica; Winter-over; Mood; Thyroid hormone; Isolation; Cold</t>
  </si>
  <si>
    <t>PITUITARY-THYROID AXIS; CELL-MEDIATED-IMMUNITY; L-THYROXINE TREATMENT; SUBCLINICAL HYPOTHYROIDISM; ENVIRONMENTS; POLAR; TRIIODOTHYRONINE; EXPRESSION; DEPRESSION; BEHAVIOR</t>
  </si>
  <si>
    <t>Prolonged residence in Antarctica is characterized by exposure to isolated, confined, and extreme (ICE) environment. Winter-over expeditioners at research stations often exhibit a complex of psychophysiological symptoms, which varied by stations and sociocultural backgrounds. To understand the different patterns of psychophysiological responses provoked by environmental stress, we conducted a longitudinal assessment of mood and endocrine function in two groups of Chinese expeditioners who were deployed to sub-Antarctic (Great Wall Station, 62A degrees S, N = 12) and Antarctic (Zhongshan Station, 66A degrees S, N = 16) from December 2003 to 2005. Measures of mood, thyroid function, the levels of plasma catecholamine, and circulating interleukins were obtained at departure from China, mid-winter (Antarctica), end of winter (Antarctica), and return to China, respectively. The Zhongshan Station crew experienced significant increases in fatigue, anger, tension, confusion, and decrease in free thyroxine (FT4), norepinephrine (NE), and epinephrine (E) during the winter, increase in thyrotropin (TSH) and total triiodothyronine (TT3) when returning, whereas their counterparts at Great Wall Station only experienced increased TT3 after deployment. Moreover, compared with the Great Wall Station crew, the Zhongshan Station crew exhibited greater increase in anger, greater decrease in FT4, total thyroxine (TT4), NE and E over the winter, and greater increase in TSH when returning. Chinese expeditioners who lived and worked at the Antarctic station and the sub-Antarctic station for over a year showed different change patterns in mood and endocrine hormones. Negative mood and endocrine dysfunction were positively associated with the severity of environment. The study is a supplement to scientific knowledge on psychophysiological variation under ICE environment, which has certain applied value for the development of preventive countermeasures or interventions.</t>
  </si>
  <si>
    <t>[Chen, Nan; Xu, Chengli] Chinese Acad Med Sci, Sch Basic Med, Peking Union Med Coll, Inst Basic Med Sci, Beijing 100005, Peoples R China; [Wu, Quan] Beijing Jishuitan Hosp, Dept Gen Surg, Beijing 100035, Peoples R China; [Li, Hao] Beijing Friendship Hosp, Beijing 100050, Peoples R China; [Zhang, Tao] Beijing Tongren Hosp, Beijing 100730, Peoples R China</t>
  </si>
  <si>
    <t>Institute of Basic Medical Sciences - CAMS; Chinese Academy of Medical Sciences - Peking Union Medical College; Peking Union Medical College; Capital Medical University; Capital Medical University</t>
  </si>
  <si>
    <t>Xu, CL (corresponding author), Chinese Acad Med Sci, Sch Basic Med, Peking Union Med Coll, Inst Basic Med Sci, Beijing 100005, Peoples R China.</t>
  </si>
  <si>
    <t>xuchengli@pumc.edu.cn</t>
  </si>
  <si>
    <t>National Natural Science Foundation of China [30370537]; Chinese Polar Environment Comprehensive Investigation and Assessment Programs [CHINARE 02-01]; Chinese Arctic and Antarctic Administration; Polar Research institute of China</t>
  </si>
  <si>
    <t>National Natural Science Foundation of China(National Natural Science Foundation of China (NSFC)); Chinese Polar Environment Comprehensive Investigation and Assessment Programs; Chinese Arctic and Antarctic Administration; Polar Research institute of China</t>
  </si>
  <si>
    <t>This work was funded by the National Natural Science Foundation of China (No. 30370537) and Chinese Polar Environment Comprehensive Investigation and Assessment Programs (CHINARE 02-01). The authors acknowledge the cooperation of the 20th Chinese winter-over expeditioners at both Great Wall Station and Zhongshan Station, and also acknowledge the support of Chinese Arctic and Antarctic Administration and Polar Research institute of China.</t>
  </si>
  <si>
    <t>0020-7128</t>
  </si>
  <si>
    <t>1432-1254</t>
  </si>
  <si>
    <t>INT J BIOMETEOROL</t>
  </si>
  <si>
    <t>Int. J. Biometeorol.</t>
  </si>
  <si>
    <t>10.1007/s00484-015-1069-8</t>
  </si>
  <si>
    <t>Biophysics; Environmental Sciences; Meteorology &amp; Atmospheric Sciences; Physiology</t>
  </si>
  <si>
    <t>Biophysics; Environmental Sciences &amp; Ecology; Meteorology &amp; Atmospheric Sciences; Physiology</t>
  </si>
  <si>
    <t>DJ6FM</t>
  </si>
  <si>
    <t>WOS:000374305900011</t>
  </si>
  <si>
    <t>Dorschel, B; Gutt, J; Huhn, O; Bracher, A; Huntemann, M; Huneke, W; Gebhardt, C; Schröder, M; Herr, H</t>
  </si>
  <si>
    <t>Dorschel, B.; Gutt, J.; Huhn, O.; Bracher, A.; Huntemann, M.; Huneke, W.; Gebhardt, C.; Schroeder, M.; Herr, H.</t>
  </si>
  <si>
    <t>Environmental information for a marine ecosystem research approach for the northern Antarctic Peninsula (RV Polarstern expedition PS81, ANT-XXIX/3)</t>
  </si>
  <si>
    <t>POLAR BIOLOGY</t>
  </si>
  <si>
    <t>Environmental setting; Bathymetry; Sea ice; Chlorophyll; Oceanography</t>
  </si>
  <si>
    <t>OPTIMUM MULTIPARAMETER ANALYSIS; SEA-ICE VARIABILITY; BRANSFIELD STRAIT; WEDDELL SEA; DEEP-WATER; CLIMATE-CHANGE; BOTTOM-WATER; ANTHROPOGENIC CARBON; SHELF; ATLANTIC</t>
  </si>
  <si>
    <t>During the austral summer expedition PS81, ANT-XXIX/3 with the German research ice breaker Polarstern in 2013, research was carried out to investigate the role of environmental factors on the distribution of benthic communities and marine mammal and krill densities around the northern tip of the Antarctic Peninsula. For these studies collated in this special issue and studies in this area, we present a collection of environmental parameters with probable influence on the marine ecosystems around the Antarctic Peninsula.</t>
  </si>
  <si>
    <t>[Dorschel, B.; Gutt, J.; Bracher, A.; Huneke, W.; Gebhardt, C.; Schroeder, M.] Helmholtz Ctr Polar &amp; Marine Res, Alfred Wegener Inst, Handelshafen 12, D-27570 Bremerhaven, Germany; [Huhn, O.; Bracher, A.; Huntemann, M.] Univ Bremen, Inst Environm Phys, Otto Hahn Allee, D-28359 Bremen, Germany; [Herr, H.] Univ Vet Med Hannover, Inst Terr &amp; Aquat Wildlife Res, Fdn Werftstr 6, D-25761 Buesum, Germany</t>
  </si>
  <si>
    <t>Helmholtz Association; Alfred Wegener Institute, Helmholtz Centre for Polar &amp; Marine Research; University of Bremen; University of Veterinary Medicine Hannover</t>
  </si>
  <si>
    <t>Dorschel, B (corresponding author), Helmholtz Ctr Polar &amp; Marine Res, Alfred Wegener Inst, Handelshafen 12, D-27570 Bremerhaven, Germany.</t>
  </si>
  <si>
    <t>Boris.Dorschel@awi.de</t>
  </si>
  <si>
    <t>Bracher, Astrid/I-2672-2013; Huneke, Wilma/GSE-1332-2022; Bracher, Astrid/B-7805-2013; Gebhardt, Catalina/AHI-6432-2022; Herr, Helena/H-3585-2019; Herr, Helena/JAC-6808-2023</t>
  </si>
  <si>
    <t>Bracher, Astrid/0000-0003-3025-5517; Huneke, Wilma/0000-0001-8624-365X; Gebhardt, Catalina/0000-0002-3227-0676; Herr, Helena/0000-0002-5028-2419; Huhn, Oliver/0000-0003-3626-9135; Dorschel, Boris/0000-0002-3495-5927; Gutt, Julian/0000-0003-3773-9370</t>
  </si>
  <si>
    <t>Deutsche Forschungsgemeinschaft within the Schwerpunktprogramm Antarktisforschung [SPP 1158, HU 1544/4]</t>
  </si>
  <si>
    <t>Deutsche Forschungsgemeinschaft within the Schwerpunktprogramm Antarktisforschung</t>
  </si>
  <si>
    <t>We would like to thank the Captain and the crew of the RV Polarstern PS81, ANT-XXIX/3, for their excellent help and support. D. Damaske and J. Bedmar are thanked for their help in collecting hydroacoustic data, M. Vogt and T. Hannemann are thanked for helping to collect CFC and noble gas samples, and the oceanography group is thanked for collecting hydrographic data during PS81, ANT-XXIX/3. K. Bulsiewicz and J. Sultenfuss are thanked for their analysis in the IUP Bremen Tracer Lab. We are also grateful for the helpful comments of K. Linse and P.E. O'Brian who have reviewed the manuscript. Satellite data were provided by NASA (SeaWiFS, MODIS), ESA (MERIS, GlobColour) and PHAROS Group of University of Bremen. The published research is part of the AWI research programme PACES II. Part of the tracer analysis was funded by the Deutsche Forschungsgemeinschaft within the Schwerpunktprogramm Antarktisforschung (SPP 1158, Grant Number HU 1544/4).</t>
  </si>
  <si>
    <t>0722-4060</t>
  </si>
  <si>
    <t>1432-2056</t>
  </si>
  <si>
    <t>POLAR BIOL</t>
  </si>
  <si>
    <t>Polar Biol.</t>
  </si>
  <si>
    <t>10.1007/s00300-015-1861-2</t>
  </si>
  <si>
    <t>DK1HG</t>
  </si>
  <si>
    <t>WOS:000374662500002</t>
  </si>
  <si>
    <t>Isla, E</t>
  </si>
  <si>
    <t>Isla, Enrique</t>
  </si>
  <si>
    <t>Organic carbon and biogenic silica in marine sediments in the vicinities of the Antarctic Peninsula: spatial patterns across a climatic gradient</t>
  </si>
  <si>
    <t>Antarctic Peninsula; Pelagic-benthic coupling; Biogenic silica; Organic carbon; Sediment</t>
  </si>
  <si>
    <t>WESTERN BRANSFIELD STRAIT; MARGINAL ICE-ZONE; SOUTHERN-OCEAN; SEA-ICE; ACCUMULATION RATES; WEDDELL SEA; ROSS SEA; PHYTOPLANKTON COMMUNITIES; PHAEOCYSTIS-ANTARCTICA; CONTINENTAL-SHELF</t>
  </si>
  <si>
    <t>To assess whether sea floor sediment reflects the characteristics of the upper water column, organic carbon (OC) and biogenic silica (bSi) were measured in seventeen 5-cm-long sediment cores recovered within a climatic gradient from the northwestern Weddell Sea (WS) to the Drake Passage (DP) across the Bransfield Strait (BS). Climate settings in the study area vary from dry and cold (polar) conditions with seasonal sea ice coverage in the WS to a more humid and warm (oceanic) environment where no seasonal sea ice develops in the DP, with the BS as transitional zone undergoing seasonal sea ice coverage. OC varied between 0.2 and 1.7 % and represented more than 90 % of the total carbon, and bSi varied between 2 and 13 %. The profiles of both variables along the sediment cores suggested that the surface mixed layer is at least 5 cm thick. The inventories of the upper 5 cm of the sediment column were calculated for both variables. Regional averages were significantly lower for OC in DP samples and higher for bSi in the BS. These results suggested relatively high bSi export to the seabed in the BS, higher degradation for OC in the DP and lower bSi export from the euphotic zone in the WS. The observations made evident that the biogenic matter contents in the sediment not necessarily replicate their production characteristics at the upper ocean even across strong climatic gradients. The results may provide a useful baseline for paleo-reconstructions in a rapidly changing environment.</t>
  </si>
  <si>
    <t>[Isla, Enrique] CSIC, Inst Ciencias Mar, Passeig Maritim Barceloneta 37-49, E-08003 Barcelona, Spain</t>
  </si>
  <si>
    <t>Consejo Superior de Investigaciones Cientificas (CSIC); CSIC - Centro Mediterraneo de Investigaciones Marinas y Ambientales (CMIMA); CSIC - Instituto de Ciencias del Mar (ICM)</t>
  </si>
  <si>
    <t>Isla, E (corresponding author), CSIC, Inst Ciencias Mar, Passeig Maritim Barceloneta 37-49, E-08003 Barcelona, Spain.</t>
  </si>
  <si>
    <t>isla@icm.csic.es</t>
  </si>
  <si>
    <t>Isla, Enrique/0000-0003-4959-6936</t>
  </si>
  <si>
    <t>Spanish Ministry of Economy and Competitiveness [CTM2012-39350-C02-01]</t>
  </si>
  <si>
    <t>Spanish Ministry of Economy and Competitiveness(Spanish Government)</t>
  </si>
  <si>
    <t>The author acknowledges the help of the Captain and crew of the R/V Polarstern and the very valuable help of N. Teixido and L. Henriquez-Carrera. The work in the laboratory of S. De Diago, N. Maestro, A. Moreno and A. Purroy is greatly appreciated. The present communication benefited from the constructive comments and suggestions of its Reviewers. The study was funded by the project ECOWED (CTM2012-39350-C02-01) of the Spanish Ministry of Economy and Competitiveness.</t>
  </si>
  <si>
    <t>10.1007/s00300-015-1833-6</t>
  </si>
  <si>
    <t>WOS:000374662500005</t>
  </si>
  <si>
    <t>Gutt, J; Alvaro, MC; Barco, A; Böhmer, A; Bracher, A; David, B; De Ridder, C; Dorschel, B; Eléaume, M; Janussen, D; Kersken, D; López-González, PJ; Martínez-Baraldés, I; Schröder, M; Segelken-Voigt, A; Teixidó, N</t>
  </si>
  <si>
    <t>Gutt, J.; Alvaro, M. C.; Barco, A.; Boehmer, A.; Bracher, A.; David, B.; De Ridder, C.; Dorschel, B.; Eleaume, M.; Janussen, D.; Kersken, D.; Lopez-Gonzalez, P. J.; Martinez-Baraldes, I.; Schroeder, M.; Segelken-Voigt, A.; Teixido, N.</t>
  </si>
  <si>
    <t>Macroepibenthic communities at the tip of the Antarctic Peninsula, an ecological survey at different spatial scales</t>
  </si>
  <si>
    <t>Southern Ocean; Benthic habitats; Ecoregions; Bottom topography; Canyon systems</t>
  </si>
  <si>
    <t>SOUTHEASTERN WEDDELL SEA; CLIMATE-CHANGE; SOUTHERN-OCEAN; ICE SHELF; WEST; DEEP; ASSEMBLAGES; VARIABILITY; PATTERNS; BENTHOS</t>
  </si>
  <si>
    <t>The Southern Ocean ecosystem at the Antarctic Peninsula has steep natural environmental gradients, e.g. in terms of water masses and ice cover, and experiences regional above global average climate change. An ecological macroepibenthic survey was conducted in three ecoregions in the north-western Weddell Sea, on the continental shelf of the Antarctic Peninsula in the Bransfield Strait and on the shelf of the South Shetland Islands in the Drake Passage, defined by their environmental envelop. The aim was to improve the so far poor knowledge of the structure of this component of the Southern Ocean ecosystem and its ecological driving forces. It can also provide a baseline to assess the impact of ongoing climate change to the benthic diversity, functioning and ecosystem services. Different intermediate-scaled topographic features such as canyon systems including the corresponding topographically defined habitats 'bank', 'upper slope', 'slope' and 'canyon/deep' were sampled. In addition, the physical and biological environmental factors such as sea-ice cover, chlorophyll-a concentration, small-scale bottom topography and water masses were analysed. Catches by Agassiz trawl showed high among-station variability in biomass of 96 higher systematic groups including ecological key taxa. Large-scale patterns separating the three ecoregions from each other could be correlated with the two environmental factors, sea-ice and depth. Attribution to habitats only poorly explained benthic composition, and small-scale bottom topography did not explain such patterns at all. The large-scale factors, sea-ice and depth, might have caused large-scale differences in pelagic benthic coupling, whilst small-scale variability, also affecting larger scales, seemed to be predominantly driven by unknown physical drivers or biological interactions.</t>
  </si>
  <si>
    <t>[Gutt, J.; Boehmer, A.; Bracher, A.; Dorschel, B.; Schroeder, M.] Helmholtz Ctr Polar &amp; Marine Res, Alfred Wegener Inst, Alten Hafen 26, D-27568 Bremerhaven, Germany; [Alvaro, M. C.] Univ Genoa, Italian Natl Antarctic Museum MNA, Genoa, Italy; [Alvaro, M. C.] Univ Genoa, Dept Earth Environm &amp; Life Sci DISTAV, Genoa, Italy; [Barco, A.] Helmholtz Ctr Ocean Res, GEOMAR, Dusternbrooker Weg 20, D-24105 Kiel, Germany; [Bracher, A.] Univ Bremen, Inst Environm Phys, Otto Hahn Allee 1, D-28359 Bremen, Germany; [David, B.] Museum Natl Hist Nat, 57 Rue Cuvier, F-75005 Paris, France; [David, B.] Univ Bourgogne Franche Comte, UMR CNRS 6282, Biogeosci, 6 Bd Gabriel, F-21000 Dijon, France; [De Ridder, C.] Univ Libre Bruxelles, Lab Biol Marine, CP 160-15,50 Av FD Roosevelt, B-1050 Brussels, Belgium; [Eleaume, M.] UMR 7205 CNRS MNHN UPMC EPHE, Dept Syst &amp; Evolut, Museum Natl Hist Nat, ISYEB, CP39,57 Rue Cuvier, F-75231 Paris 05, France; [Janussen, D.; Kersken, D.] Senckenberg Res Inst, Senckenberganlage 25, D-60325 Frankfurt, Germany; [Janussen, D.; Kersken, D.] Nat Hist Museum, Senckenberganlage 25, D-60325 Frankfurt, Germany; [Lopez-Gonzalez, P. J.; Martinez-Baraldes, I.] Univ Seville, Biodiversidad &amp; Ecol Invertebrados Marinos, Fac Biol, Reina Mercedes 6, E-41012 Seville, Spain; [Segelken-Voigt, A.] Carl von Ossietzky Univ Oldenburg, Ammerlander Herestr 114-118, D-26129 Oldenburg, Germany; [Teixido, N.] Stn Zool Anton Dohrn, I-80121 Naples, Italy; [Teixido, N.] ICM CSIC, Passeig Maritim Barceloneta 37-49, Barcelona 08003, Spain</t>
  </si>
  <si>
    <t>Helmholtz Association; Alfred Wegener Institute, Helmholtz Centre for Polar &amp; Marine Research; University of Genoa; University of Genoa; Helmholtz Association; GEOMAR Helmholtz Center for Ocean Research Kiel; University of Bremen; Museum National d'Histoire Naturelle (MNHN); Centre National de la Recherche Scientifique (CNRS); CNRS - Institute of Ecology &amp; Environment (INEE); Universite de Bourgogne; Universite Libre de Bruxelles; Universite PSL; Ecole Pratique des Hautes Etudes (EPHE); Museum National d'Histoire Naturelle (MNHN); Sorbonne Universite; Senckenberg Gesellschaft fur Naturforschung (SGN); University of Sevilla; Carl von Ossietzky Universitat Oldenburg; Stazione Zoologica Anton Dohrn di Napoli; Consejo Superior de Investigaciones Cientificas (CSIC); CSIC - Centro Mediterraneo de Investigaciones Marinas y Ambientales (CMIMA); CSIC - Instituto de Ciencias del Mar (ICM)</t>
  </si>
  <si>
    <t>Gutt, J (corresponding author), Helmholtz Ctr Polar &amp; Marine Res, Alfred Wegener Inst, Alten Hafen 26, D-27568 Bremerhaven, Germany.</t>
  </si>
  <si>
    <t>julian.gutt@awi.de</t>
  </si>
  <si>
    <t>Bracher, Astrid/B-7805-2013; Lopez-González, Pablo J./Y-6440-2018; Bracher, Astrid/I-2672-2013</t>
  </si>
  <si>
    <t>Lopez-González, Pablo J./0000-0002-7348-6270; Bracher, Astrid/0000-0003-3025-5517; Gutt, Julian/0000-0003-3773-9370; Teixido, Nuria/0000-0001-9286-2852; Dorschel, Boris/0000-0002-3495-5927; Barco, Andrea/0000-0002-3963-1884</t>
  </si>
  <si>
    <t>SCAR biology programme 'Antarctic Thresholds-Ecosystem Resilience and Adaptation' (AnT-ERA); Deutsche Forschungsgemeinschaft [JA-1063/17-1]; Actions thematiques du Museum 'Emergences' of the Museum national s'Histoire naturelle, Paris, France; Institut polaire francais Paul Emile Victor (IPEV); Spanish Project ECOWED [CTM2012-39350-C02-01]</t>
  </si>
  <si>
    <t>SCAR biology programme 'Antarctic Thresholds-Ecosystem Resilience and Adaptation' (AnT-ERA); Deutsche Forschungsgemeinschaft(German Research Foundation (DFG)); Actions thematiques du Museum 'Emergences' of the Museum national s'Histoire naturelle, Paris, France; Institut polaire francais Paul Emile Victor (IPEV); Spanish Project ECOWED</t>
  </si>
  <si>
    <t>Thanks are due to the SCAR biology programme 'Antarctic Thresholds-Ecosystem Resilience and Adaptation' (AnT-ERA) due to financial support of a post-expedition workshop held in Dijon, France, in 2014 and to the Deutsche Forschungsgemeinschaft for financial support of project JA-1063/17-1. ME was funded by the Actions thematiques du Museum 'Emergences' of the Museum national s'Histoire naturelle, Paris, France, and the Institut polaire francais Paul Emile Victor (IPEV). Satellite data were provided by NASA (SeaWiFS, MODIS), ESA (MERIS, GlobColour) and PHAROS Group of University of Bremen. Marcus Huntemann (University of Bremen) helped with the extraction of satellite sea-ice concentration data. Support of cruise participation of PLG, IMB, NT by Spanish Project ECOWED (CTM2012-39350-C02-01).</t>
  </si>
  <si>
    <t>10.1007/s00300-015-1797-6</t>
  </si>
  <si>
    <t>WOS:000374662500006</t>
  </si>
  <si>
    <t>Kersken, D; Feldmeyer, B; Janussen, D</t>
  </si>
  <si>
    <t>Kersken, Daniel; Feldmeyer, Barbara; Janussen, Dorte</t>
  </si>
  <si>
    <t>Sponge communities of the Antarctic Peninsula: influence of environmental variables on species composition and richness</t>
  </si>
  <si>
    <t>Southern Ocean; Climate change; Shelf communities; Antarctic sponges</t>
  </si>
  <si>
    <t>SOUTH SHETLAND ISLANDS; WEDDELL SEA; BRANSFIELD STRAIT; PORIFERA; DEMOSPONGIAE; DIVERSITY; SHELF; DEEP; HEXACTINELLIDA; VICINITY</t>
  </si>
  <si>
    <t>Sponge communities on the Antarctic continental shelf currently represent one of the most extensive sponge grounds in the world, and all sponge classes are known to occur in the Southern Ocean. Main objectives of this study conducted at the tip of the Antarctic Peninsula were (1) to identify all sampled sponges and (2) to investigate whether the species composition and species richness of Southern Ocean sponge communities in the area of the Antarctic Peninsula are significantly influenced by environmental variables. The studied material originated from 25 AGT catches and was sampled during the expedition ANT-XXIX/3 of RV Polarstern. Samples were collected in three large-scale areas in the vicinity of the Antarctic Peninsula: Bransfield Strait, Drake Passage and Weddell Sea. The following six environmental variables were measured from bottom water samples (except for sea-ice cover): depth (m), light transmission (%), oxygen (A mu mol/kg), salinity, sea-ice cover (%) and temperature (A degrees C). Two hundred and sixty-three sponge samples were analyzed, and 81 species of 33 genera from all Porifera classes (Calcarea, Demospongiae, Hexactinellida and Homoscleromorpha) were identified. Total numbers of sponge species per sample station ranged from 1 to 29. A detrended correspondence analysis and a backward-stepwise model selection were performed to check whether species composition and richness were significantly influenced by environmental variables. The analyses revealed that none of the measured environmental variables significantly influenced species composition but that species richness was significantly influenced by (1) temperature and (2) the combination of temperature and depth. Results of this study are of crucial importance for development, performance and assessment of future protection strategies in case of ongoing climatic changes at the Antarctic Peninsula.</t>
  </si>
  <si>
    <t>[Kersken, Daniel; Janussen, Dorte] Senckenberg Res Inst, Senckenberganlage 25, D-60325 Frankfurt, Germany; [Kersken, Daniel; Janussen, Dorte] Natl Museum, Senckenberganlage 25, D-60325 Frankfurt, Germany; [Feldmeyer, Barbara] Senckenberg Naturforschende Gesell, Biodivers &amp; Climate Res Ctr, Georg Voigt Str 14-16, D-60325 Frankfurt, Germany; [Feldmeyer, Barbara] Goethe Univ Frankfurt, Georg Voigt Str 14-16, D-60325 Frankfurt, Germany</t>
  </si>
  <si>
    <t>Senckenberg Gesellschaft fur Naturforschung (SGN); Senckenberg Gesellschaft fur Naturforschung (SGN); Goethe University Frankfurt</t>
  </si>
  <si>
    <t>Kersken, D (corresponding author), Senckenberg Res Inst, Senckenberganlage 25, D-60325 Frankfurt, Germany.;Kersken, D (corresponding author), Natl Museum, Senckenberganlage 25, D-60325 Frankfurt, Germany.</t>
  </si>
  <si>
    <t>daniel.kersken@senckenberg.de</t>
  </si>
  <si>
    <t>Feldmeyer, Barbara/E-5067-2015</t>
  </si>
  <si>
    <t>Feldmeyer, Barbara/0000-0002-0413-7245</t>
  </si>
  <si>
    <t>Deutsche Forschungsgemeinschaft (DFG) [JA-1168/17-1]</t>
  </si>
  <si>
    <t>Deutsche Forschungsgemeinschaft (DFG)(German Research Foundation (DFG))</t>
  </si>
  <si>
    <t>The authors want to thank the Fahrtleiter Prof. Dr. Julian Gutt and Dr. Boris Dorschel for bathymetrical data and the other colleagues on board during the expedition ANT-XXIX/3, as well as captain and crew of RV Polarstern. We further acknowledge the Deutsche Forschungsgemeinschaft (DFG) for financial support to our Antarctic Porifera project, JA-1168/17-1.</t>
  </si>
  <si>
    <t>10.1007/s00300-015-1875-9</t>
  </si>
  <si>
    <t>WOS:000374662500007</t>
  </si>
  <si>
    <t>Segelken-Voigt, A; Bracher, A; Dorschel, B; Gutt, J; Huneke, W; Link, H; Piepenburg, D</t>
  </si>
  <si>
    <t>Segelken-Voigt, Alexandra; Bracher, Astrid; Dorschel, Boris; Gutt, Julian; Huneke, Wilma; Link, Heike; Piepenburg, Dieter</t>
  </si>
  <si>
    <t>Spatial distribution patterns of ascidians (Ascidiacea: Tunicata) on the continental shelves off the northern Antarctic Peninsula</t>
  </si>
  <si>
    <t>Environmental drivers; Spatial scales; Photographic survey; Bottom topography; Macrobenthos; Southern Ocean</t>
  </si>
  <si>
    <t>WATER-COLUMN PROCESSES; WEDDELL SEA; POTTER COVE; ASSEMBLAGES; RESPONSES; DEEP; INVERTEBRATES; MEGABENTHOS; COMMUNITIES; VARIABILITY</t>
  </si>
  <si>
    <t>Ascidians (Ascidiacea: Tunicata) are sessile suspension feeders that represent dominant epifaunal components of the Southern Ocean shelf benthos and play a significant role in the pelagic-benthic coupling. Here, we report the results of a first study on the relationship between the distribution patterns of eight common and/or abundant (putative) ascidian species, and environmental drivers in the waters off the northern Antarctic Peninsula. During RV Polarstern cruise XXIX/3 (PS81) in January-March 2013, we used seabed imaging surveys along 28 photographic transects of 2 km length each at water depths from 70 to 770 m in three regions (northwestern Weddell Sea, southern Bransfield Strait and southern Drake Passage), differing in their general environmental setting, primarily oceanographic characteristics and sea-ice dynamics, to comparatively analyze the spatial patterns in the abundance of the selected ascidians, reliably to be identified in the photographs, at three nested spatial scales. At a regional (100-km) scale, the ascidian assemblages of the Weddell Sea differed significantly from those of the other two regions, whereas at an intermediate 10-km scale no such differences were detected among habitat types (bank, upper slope, slope, deep/canyon) on the shelf and at the shelf break within each region. These spatial patterns were superimposed by a marked small-scale (10-m) patchiness of ascidian distribution within the 2-km-long transects. Among the environmental variables considered in our study, a combination of water-mass characteristics, sea-ice dynamics (approximated by 5-year averages in sea-ice cover in the region of or surrounding the photographic stations), as well as the seabed ruggedness, was identified as explaining best the distribution patterns of the ascidians.</t>
  </si>
  <si>
    <t>[Segelken-Voigt, Alexandra] Carl von Ossietzky Univ Oldenburg, Ammerlander Heerstr 114-118, D-26129 Oldenburg, Germany; [Segelken-Voigt, Alexandra; Bracher, Astrid; Dorschel, Boris; Gutt, Julian; Huneke, Wilma; Piepenburg, Dieter] Helmholtz Ctr Polar &amp; Marine Res, Alfred Wegener Inst, Handelshafen 12, D-27570 Bremerhaven, Germany; [Bracher, Astrid] Univ Bremen, Inst Environm Phys, Otto Hahn Allee 1, D-28359 Bremen, Germany; [Link, Heike; Piepenburg, Dieter] Univ Kiel, Inst Ecosyst Res, Duesternbrooker Weg 20, D-24105 Kiel, Germany</t>
  </si>
  <si>
    <t>Carl von Ossietzky Universitat Oldenburg; Helmholtz Association; Alfred Wegener Institute, Helmholtz Centre for Polar &amp; Marine Research; University of Bremen; University of Kiel</t>
  </si>
  <si>
    <t>Segelken-Voigt, A (corresponding author), Carl von Ossietzky Univ Oldenburg, Ammerlander Heerstr 114-118, D-26129 Oldenburg, Germany.;Segelken-Voigt, A (corresponding author), Helmholtz Ctr Polar &amp; Marine Res, Alfred Wegener Inst, Handelshafen 12, D-27570 Bremerhaven, Germany.</t>
  </si>
  <si>
    <t>alexandra.segelken.voigt@uni-oldenburg.de</t>
  </si>
  <si>
    <t>Piepenburg, Dieter/GQP-9916-2022; Bracher, Astrid/I-2672-2013; Huneke, Wilma/GSE-1332-2022; Piepenburg, Dieter/H-3251-2019; Bracher, Astrid/B-7805-2013</t>
  </si>
  <si>
    <t>Bracher, Astrid/0000-0003-3025-5517; Huneke, Wilma/0000-0001-8624-365X; Piepenburg, Dieter/0000-0003-3977-2860; Segelken-Voigt, Alexandra/0000-0002-0825-4975; Link, Heike/0000-0002-8484-845X; Gutt, Julian/0000-0003-3773-9370</t>
  </si>
  <si>
    <t>SCAR Biology Program AnT-ERA; Deutsche Forschungsgemeinschaft (DFG) [LI2313/3-1]; NSERC Canadian Healthy Oceans Network; Alfred Wegener Institute, Helmholtz Centre for Polar and Marine Research [AWI_PS81_03]</t>
  </si>
  <si>
    <t>SCAR Biology Program AnT-ERA; Deutsche Forschungsgemeinschaft (DFG)(German Research Foundation (DFG)); NSERC Canadian Healthy Oceans Network(Natural Sciences and Engineering Research Council of Canada (NSERC)); Alfred Wegener Institute, Helmholtz Centre for Polar and Marine Research(Helmholtz Association)</t>
  </si>
  <si>
    <t>Thanks are due to Marcos Tatian (CONICET Instituto Antartico Argentino) for support in species determination, Michael Klages and the AWI deep-sea group for providing the Ocean Floor Observation System (OFOS) and the SCAR Biology Program AnT-ERA for financial support to join a post-expedition workshop in Dijon in September 2014. We are also grateful to the captain and crew of Polarstern cruise ANT-XXIX/3 (PS81) for their technical and logistical support. H. Link was supported by the Deutsche Forschungsgemeinschaft (DFG) in the framework of the priority programme Antarctic Research with comparative investigations in Arctic ice areas by grant LI2313/3-1 and the NSERC Canadian Healthy Oceans Network. This study was supported by the Alfred Wegener Institute, Helmholtz Centre for Polar and Marine Research (Grant AWI_PS81_03).</t>
  </si>
  <si>
    <t>10.1007/s00300-016-1909-y</t>
  </si>
  <si>
    <t>WOS:000374662500008</t>
  </si>
  <si>
    <t>Ambroso, S; Böhmer, A; López-González, P; Teixidó, N</t>
  </si>
  <si>
    <t>Ambroso, Stefano; Boehmer, Astrid; Lopez-Gonzalez, Pablo; Teixido, Nuria</t>
  </si>
  <si>
    <t>Ophiuroid biodiversity patterns along the Antarctic Peninsula</t>
  </si>
  <si>
    <t>Benthos; Community; Climate change; Diversity; Distribution; Southern Ocean; Standardized protocol</t>
  </si>
  <si>
    <t>BRITTLE STARS ECHINODERMATA; CLIMATE-CHANGE; PHYTOPLANKTON COMMUNITIES; MULTIVARIATE-ANALYSIS; DRAKE PASSAGE; SEA-ICE; OCEAN; ECOSYSTEM; SHELF; DIVERSITY</t>
  </si>
  <si>
    <t>Benthic ecological surveys using standardized methods are crucial for assessing changes associated with several threats in the Southern Ocean. The acquisition of data on assemblage structure over a variety of spatial scales is important to understand the variation of biodiversity patterns. During the ANT XXIX/3 (PS81) expedition of RV Polarstern, three different regions at the tip of the Antarctic Peninsula were sampled: the northwestern Weddell Sea, the Bransfield Strait, and the northern boundary of the South Shetland Archipelago in the Drake Passage. The aim of this study was to characterize the distribution and biodiversity patterns of ophiuroid assemblages in these regions and depths. We quantified different community parameters in terms of the number of species, abundance, and biomass. Additionally, we calculated various components of species diversity (alpha, beta, and gamma diversity) over the three regions. Based on the benthic surveys, we collected 3331 individuals that were identified to species level (17 species). Overall, species diversity, as measured based on rarefaction, species richness and evenness estimators, was higher in the Bransfield Strait compared to the Weddell Sea and Drake Passage. Two deep stations in the Weddell Sea showed high dominance only of Ophionotus victoriae. Significant differences in the patterns of alpha diversity were found among the regions but not between depth zones, whereas beta diversity showed no differences. Regarding the resemblance among the ophiuroid assemblages of each region, there was a significant gradient from east to west with a maximum distance between the stations in the Drake Passage and the Weddell Sea. This study provides a baseline for detecting potential effects related to climate change, and it furnishes a basis for the implementation of monitoring schemes of Antarctic assemblages.</t>
  </si>
  <si>
    <t>[Ambroso, Stefano; Teixido, Nuria] ICM CSIC, Passeig Maritim Barceloneta 37-49, Barcelona 08003, Spain; [Boehmer, Astrid] Alfred Wegener Inst Helmholtz Ctr Polar &amp; Marine, Columbusstr, D-27568 Bremerhaven, Germany; [Lopez-Gonzalez, Pablo] Univ Seville, Fac Biol, Biodiversidad &amp; Ecol Invertebrados Marinos, Reina Mercedes 6, E-41012 Seville, Spain; [Teixido, Nuria] Stn Zool Anton Dohrn, I-80121 Naples, Italy</t>
  </si>
  <si>
    <t>Consejo Superior de Investigaciones Cientificas (CSIC); CSIC - Centro Mediterraneo de Investigaciones Marinas y Ambientales (CMIMA); CSIC - Instituto de Ciencias del Mar (ICM); Helmholtz Association; Alfred Wegener Institute, Helmholtz Centre for Polar &amp; Marine Research; University of Sevilla; Stazione Zoologica Anton Dohrn di Napoli</t>
  </si>
  <si>
    <t>Teixidó, N (corresponding author), ICM CSIC, Passeig Maritim Barceloneta 37-49, Barcelona 08003, Spain.;Teixidó, N (corresponding author), Stn Zool Anton Dohrn, I-80121 Naples, Italy.</t>
  </si>
  <si>
    <t>nteixido@icm.csic.es</t>
  </si>
  <si>
    <t>Ambroso, Stefano/IUP-6817-2023</t>
  </si>
  <si>
    <t>Teixido, Nuria/0000-0001-9286-2852</t>
  </si>
  <si>
    <t>Spanish National Project ECOWED [CTM2012-39350-C02-01]</t>
  </si>
  <si>
    <t>Spanish National Project ECOWED</t>
  </si>
  <si>
    <t>We are grateful to Irene Martinez-Baraldes and participants of the Polarstern PS81/ANT XXIX/3 for their fieldwork help. We also thank the crew of the R/V Polarstern. The authors would also like to thank Julian Gutt for allowing us to participate in the expedition. The manuscript improved after the revision of Marc Eleaume and two other anonymous reviewers. Rafael Martin-Ledo provided useful information on the identification of some of the ophiuroid species included in this paper. Dr. Igor Sminov is also thanked for some comments on species identification difficulties. Cruise participation of PLG and NT was supported by the Spanish National Project ECOWED (CTM2012-39350-C02-01).</t>
  </si>
  <si>
    <t>10.1007/s00300-016-1911-4</t>
  </si>
  <si>
    <t>WOS:000374662500009</t>
  </si>
  <si>
    <t>David, B; Saucède, T; Chenuil, A; Steimetz, E; De Ridder, C</t>
  </si>
  <si>
    <t>David, Bruno; Saucede, Thomas; Chenuil, Anne; Steimetz, Emilie; De Ridder, Chantal</t>
  </si>
  <si>
    <t>The taxonomic challenge posed by the Antarctic echinoids Abatus bidens and Abatus cavernosus (Schizasteridae, Echinoidea)</t>
  </si>
  <si>
    <t>Abatus bidens; Abatus cavernosus; Cryptic species; Echinoidea; Schizasteridae; Southern Ocean</t>
  </si>
  <si>
    <t>CRYPTIC SPECIATION; PROMACHOCRINUS-KERGUELENSIS; SEA; DNA; BIODIVERSITY; DIVERSITY; ISOPODA; DIVERSIFICATION; ECHINODERMATA; EVOLUTIONARY</t>
  </si>
  <si>
    <t>Cryptic species have been repeatedly described for two decades among the Antarctic fauna, challenging the classic model of Antarctic species with circumpolar distributions and leading to revisit the richness of the Antarctic fauna. No cryptic species had been so far recorded among Antarctic echinoids, which are, however, relatively well diversified in the Southern Ocean. The R/V Polarstern cruise PS81 (ANT XXIX/3) came across populations of Abatus bidens, a schizasterid so far known by few specimens that were found living in sympatry with the species Abatus cavernosus. The species A. cavernosus is reported to have a circum-Antarctic distribution, while A. bidens is only recorded with certainty in South Georgia and at the northern tip of the Antarctic Peninsula. Based on genetic and morphological analyses, our results clearly show that A. bidens and A. cavernosus are two distinct species. The analyzed specimens of A. bidens group together in two haplogroups separated from one another by 2.7 % of nucleotide differences. They are located in the Weddell Sea and in the Bransfield Strait. Specimens of A. cavernosus form one single haplogroup separated from haplogroups of A. bidens by 5 and 3.5 % of nucleotide differences, respectively. The species was collected in the Drake Passage and in the Bransfield Strait. Morphological analyses differentiate A. bidens from A. cavernosus. In contrast, the two genetic groups of A. bidens cannot be differentiated from one another based on morphology alone, suggesting that they may represent a case of cryptic species, common in many Antarctic taxa, but not yet reported in Antarctic echinoids. This needs to be confirmed by complementary analyses of independent genetic markers.</t>
  </si>
  <si>
    <t>[David, Bruno; Saucede, Thomas; Steimetz, Emilie] Univ Bourgogne Franche Comte, Biogeosci UMR6282, CNRS, 6 Blvd Gabriel, F-21000 Dijon, France; [Chenuil, Anne] Aix Marseille Univ, UMR CNRS 7263, Inst Mediterranee Biodiversite &amp; Ecol Marine &amp; Co, Stn Marine Endoume, Chemin Batterie Lions, F-13007 Marseille, France; [De Ridder, Chantal] Univ Libre Bruxelles, Lab Biol Marine, CP 160-15,50 Ave FD Roosevelt, B-1050 Brussels, Belgium; [David, Bruno] Museum Natl Hist Nat, 57 Rue Cuvier, F-75005 Paris, France</t>
  </si>
  <si>
    <t>Universite de Bourgogne; Centre National de la Recherche Scientifique (CNRS); CNRS - Institute of Ecology &amp; Environment (INEE); Aix-Marseille Universite; Centre National de la Recherche Scientifique (CNRS); Institut de Recherche pour le Developpement (IRD); CNRS - Institute of Ecology &amp; Environment (INEE); Universite Libre de Bruxelles; Museum National d'Histoire Naturelle (MNHN)</t>
  </si>
  <si>
    <t>Saucède, T (corresponding author), Univ Bourgogne Franche Comte, Biogeosci UMR6282, CNRS, 6 Blvd Gabriel, F-21000 Dijon, France.</t>
  </si>
  <si>
    <t>thomas.saucede@u-bourgogne.fr</t>
  </si>
  <si>
    <t>CHENUIL, Anne/E-3902-2012</t>
  </si>
  <si>
    <t>F.R.S-FNRS [2013/V3/5/035]; Belgian Science Policy Office (BELSPO) [BR/132/A1/vERSO]</t>
  </si>
  <si>
    <t>F.R.S-FNRS(Fonds de la Recherche Scientifique - FNRS); Belgian Science Policy Office (BELSPO)(Belgian Federal Science Policy Office)</t>
  </si>
  <si>
    <t>Samples were collected during the oceanographic campaign PS81-ANT-XXIX/3 of the R/V Polarstern. The authors would like to thank Prof. Dr. Julian Gutt, chief scientist of this campaign, as well as the crew and the scientific staff. Chantal De Ridder was supported by F.R.S-FNRS short stay abroad travel grants (Grant Nr. 2013/V3/5/035). This is contribution nr. XX to the vERSO project (www.versoproject.be), funded by the Belgian Science Policy Office (BELSPO, Contract nr. BR/132/A1/vERSO, contribution no 9). This is a contribution to team BioME of the CNRS laboratory Biogeosciences (UMR 6282).</t>
  </si>
  <si>
    <t>10.1007/s00300-015-1842-5</t>
  </si>
  <si>
    <t>WOS:000374662500010</t>
  </si>
  <si>
    <t>Michel, LN; David, B; Dubois, P; Lepoint, G; De Ridder, C</t>
  </si>
  <si>
    <t>Michel, Loic N.; David, Bruno; Dubois, Philippe; Lepoint, Gilles; De Ridder, Chantal</t>
  </si>
  <si>
    <t>Trophic plasticity of Antarctic echinoids under contrasted environmental conditions</t>
  </si>
  <si>
    <t>Antarctic; Echinoids; Feeding behaviour; Stable isotopes; Ecological plasticity; Diet shift</t>
  </si>
  <si>
    <t>ORGANIC-MATTER; FOOD-WEB; SEA-ICE; MARINE-INVERTEBRATES; STABLE-ISOTOPES; DELTA-C-13; SHELF; DELTA-N-15; NITROGEN; CARBON</t>
  </si>
  <si>
    <t>Echinoids are common members of Antarctic zoobenthos, and different groups can show important trophic diversity. As part of the ANT-XXIX/3 cruise of RV Polarstern, trophic plasticity of sea urchins was studied in three neighbouring regions (Drake Passage, Bransfield Strait and Weddell Sea) featuring several depth-related habitats offering different trophic environments to benthic consumers. Three families with contrasting feeding habits (Cidaridae, Echinidae and Schizasteridae) were studied. Gut content examination and stable isotopes ratios of C and N suggest that each of the studied families showed a different response to variation in environmental and food conditions. Schizasteridae trophic plasticity was low, and these sea urchins were bulk sediment feeders relying on sediment-associated organic matter in all regions and/or depth-related habitats. Cidaridae consumed the most animal-derived material. Their diet varied according to the considered area, as sea urchins from Bransfield Strait relied mostly on living and/or dead animal material, while specimens from Weddell Sea fed on a mixture of dead animal material and other detritus. Echinidae also showed important trophic plasticity. They fed on various detrital items in Bransfield Strait, and selectivity of ingested material varied across depth-related habitats. In Weddell Sea, stable isotopes revealed that they mostly relied on highly C-13-enriched food items, presumably microbially reworked benthic detritus. The differences in adaptive strategies could lead to family-specific responses of Antarctic echinoids to environmental and food-related changes.</t>
  </si>
  <si>
    <t>[Michel, Loic N.; Lepoint, Gilles] Univ Liege, MARE Ctr, Lab Oceanol, Liege, Belgium; [David, Bruno] Univ Bourgogne, UMR CNRS 6282, Biogeosci, Dijon, France; [Dubois, Philippe; De Ridder, Chantal] Univ Libre Bruxelles, Lab Biol Marine, Brussels, Belgium</t>
  </si>
  <si>
    <t>University of Liege; Universite de Bourgogne; Centre National de la Recherche Scientifique (CNRS); CNRS - Institute of Ecology &amp; Environment (INEE); Universite Libre de Bruxelles</t>
  </si>
  <si>
    <t>Michel, LN (corresponding author), Univ Liege, MARE Ctr, Lab Oceanol, Liege, Belgium.</t>
  </si>
  <si>
    <t>loicnmichel@gmail.com</t>
  </si>
  <si>
    <t>DAVID, Bruno/N-8798-2013; Lepoint, Gilles/N-4923-2019; Michel, Loïc N./H-5830-2013</t>
  </si>
  <si>
    <t>Lepoint, Gilles/0000-0003-4375-0357; Michel, Loïc N./0000-0003-0988-7050</t>
  </si>
  <si>
    <t>F.R.S-FNRS [2013/V3/5/034, 2013/V3/5/035]; Belgian Science Policy Office (BELSPO) [BR/132/A1/vERSO]</t>
  </si>
  <si>
    <t>Authors would like to thank Prof. Dr. Julian Gutt (Alfred Wegener Institute, Bremerhaven, Germany) for his invitation to participate to the ANT-XXIX/3 cruise and the crew of RV Polarstern for their help during sample collection. Comments from two anonymous reviewers, from Special Issue Guest Editor and from Editor-in-Chief, helped us to improve the quality of this manuscript. Loic N. Michel is a Belgian Science Policy Office (BELSPO) postdoctoral fellow. Philippe Dubois is a Belgian Fund for Scientific Research (F.R.S-FNRS) research director and Gilles Lepoint is a F.R.S.-FNRS research associate. Chantal De Ridder and Philippe Dubois were supported by F.R.S-FNRS short stay abroad'' travel grants (Grants No. 2013/V3/5/034 and 2013/V3/5/035). This is Contribution No. 10 to the vERSO Project (www.versoproject.be), funded by the Belgian Science Policy Office (BELSPO, Contract No. BR/132/A1/vERSO). This paper is MARE Publication No. 317.</t>
  </si>
  <si>
    <t>10.1007/s00300-015-1873-y</t>
  </si>
  <si>
    <t>Green Published, Green Submitted</t>
  </si>
  <si>
    <t>WOS:000374662500011</t>
  </si>
  <si>
    <t>Verheye, ML; Backeljau, T; d'Acoz, CD</t>
  </si>
  <si>
    <t>Verheye, Marie L.; Backeljau, Thierry; d'Acoz, Cedric d'Udekem</t>
  </si>
  <si>
    <t>Looking beneath the tip of the iceberg: diversification of the genus Epimeria on the Antarctic shelf (Crustacea, Amphipoda)</t>
  </si>
  <si>
    <t>Amphipoda; Southern Ocean; Systematics; Biogeography; Species delimitation; Phylogeny</t>
  </si>
  <si>
    <t>BAYESIAN SPECIES DELIMITATION; OPEN-OCEAN BARRIERS; MITOCHONDRIAL LINEAGES; CRYPTIC SPECIATION; PROMACHOCRINUS-KERGUELENSIS; ICE-SHEET; SEA; DIVERSITY; INCONGRUENCE; DISPERSAL</t>
  </si>
  <si>
    <t>The amphipod genus Epimeria is very speciose in Antarctic waters. Although their brooding biology, massive and heavily calcified body predict low dispersal capabilities, many Epimeria species are documented to have circum-Antarctic distributions. However, these distribution records are inevitably dependent on the morphological species definition. Yet, recent DNA evidence suggests that some of these Epimeria species may be complexes of species with restricted distributions. Mitochondrial COI and nuclear 28S rDNA sequence data were used to infer evolutionary relationships among 16 nominal Epimeria species from the Antarctic Peninsula, the eastern Weddell Sea and the Ad,lie Coast. Based on this phylogenetic framework, we used morphology and the DNA-based methods GMYC, bPTP and BPP to investigate species boundaries, in order to revise the diversity and distribution patterns within the genus. Most of the studied species appeared to be complexes of pseudocryptic species, presenting small and previously overlooked morphological differences. Altogether, 25 lineages were identified as putative new species, increasing twofold the actual number of Antarctic Epimeria species. Whereas most of the species may be geographically restricted to one of the three studied regions, some still have very wide distribution ranges, hence suggesting a potential for large-scale dispersal.</t>
  </si>
  <si>
    <t>[Verheye, Marie L.; Backeljau, Thierry; d'Acoz, Cedric d'Udekem] Royal Belgian Inst Nat Sci, 29 Rue Vautier, B-1000 Brussels, Belgium; [Verheye, Marie L.] Catholic Univ Louvain Neuve, Dept Biol, Marine Biol Lab, 3 Bte L7-06-04 Croix Sud, B-1348 Louvain La Neuve, Belgium; [Backeljau, Thierry] Univ Antwerp, Evolutionary Ecol Grp, 171 Groenenborgerlaan, B-2020 Antwerp, Belgium</t>
  </si>
  <si>
    <t>Royal Belgian Institute of Natural Sciences; Universite Catholique Louvain; University of Antwerp</t>
  </si>
  <si>
    <t>Verheye, ML (corresponding author), Royal Belgian Inst Nat Sci, 29 Rue Vautier, B-1000 Brussels, Belgium.;Verheye, ML (corresponding author), Catholic Univ Louvain Neuve, Dept Biol, Marine Biol Lab, 3 Bte L7-06-04 Croix Sud, B-1348 Louvain La Neuve, Belgium.</t>
  </si>
  <si>
    <t>marie.verheye@naturalsciences.be</t>
  </si>
  <si>
    <t>Verheye, Marie/0000-0001-8702-9292</t>
  </si>
  <si>
    <t>F.R.I.A. (F.N.R.S., Belgium); Digit 3 program of BELSPO; Institut polaire francais Paul Emile Victor (IPEV); Museum national d'Histoire naturelle (MNHN); CAML-CEAMARC cruise of RSV Aurora Australis (IPY) [53]; Australian Antarctic Division; Japanese Science Foundation; IPEV</t>
  </si>
  <si>
    <t>F.R.I.A. (F.N.R.S., Belgium)(Fonds de la Recherche Scientifique - FNRS); Digit 3 program of BELSPO; Institut polaire francais Paul Emile Victor (IPEV); Museum national d'Histoire naturelle (MNHN); CAML-CEAMARC cruise of RSV Aurora Australis (IPY); Australian Antarctic Division; Japanese Science Foundation; IPEV</t>
  </si>
  <si>
    <t>The first author has a Ph.D. fellowship from F.R.I.A. (F.N.R.S., Belgium). The last author was funded by the Digit 3 program of BELSPO. We thank the Alfred-Wegener-Institut, Helmholtz-Zentrumfur Polar- und Meeresforschung (AWI) and the captain, crew and chief scientists of various R. V. Polarstern expeditions for their efficiency, as well as present and past colleagues of the staff of the Royal Belgian Institute of Natural Sciences (RBINS), especially Henri Robert and Charlotte Havermans, for collecting specimens on board. The research program led by Guillaume Lecointre, REVOLTA 1124, supported by the Institut polaire francais Paul Emile Victor (IPEV) and the Museum national d'Histoire naturelle (MNHN), and the CAML-CEAMARC cruise of RSV Aurora Australis (IPY project no. 53), supported by the Australian Antarctic Division, the Japanese Science Foundation and the IPEV (project ICOTA), are acknowledged for providing extensive biological material used in this study. We thank Laure Corbari (MNHN) for giving us access to this material. This publication is registered as CAML (Census of Antarctic Marine Life) publication No. 164 and contribution No. 210 to ANDEEP. Many thanks to Anton Van de Putte (RBINS) for kindly providing distribution maps. We are also grateful to Zohra Elouaazizi, Karin Breugelmans, Gontran Sonet and Zoltan Nagy (all RBINS) for helpful methodological advices.</t>
  </si>
  <si>
    <t>10.1007/s00300-016-1910-5</t>
  </si>
  <si>
    <t>WOS:000374662500012</t>
  </si>
  <si>
    <t>Qiu, Q; Yang, HG; Lu, QM; Hu, ZJ; Han, DS; Wang, Q</t>
  </si>
  <si>
    <t>Qiu, Qi; Yang, Hui-Gen; Lu, Quan-Ming; Hu, Ze-Jun; Han, De-Sheng; Wang, Qian</t>
  </si>
  <si>
    <t>Orientation variation of dayside auroral arc alignments obtained from all-sky observation at yellow river station, Svalbard</t>
  </si>
  <si>
    <t>JOURNAL OF ATMOSPHERIC AND SOLAR-TERRESTRIAL PHYSICS</t>
  </si>
  <si>
    <t>Dayside auroral arc; The orientation of arc alignment; Arc tilt</t>
  </si>
  <si>
    <t>ALIGNED CURRENTS; MAGNETIC-FIELD</t>
  </si>
  <si>
    <t>The orientations of dayside auroral arc alignments were calculated for over 40,000 images from all-sky observation at Yellow River Station, Svalbard. For each arc, its orientation and tilt are defined as the angle the arc alignment makes with the dusk-dawn direction and the local east-west direction, respectively. The mean arc orientation increases linearly with the increasing magnetic local time (MLT). There is a reversal point of the arc tilt located at near 10.5 MLT. Compared with the mean orientation, auroral arc alignment tilts to morning side in the higher latitude and tilts to evening side in the lower latitude in the prenoon sector, whereas it is the opposite in the postnoon sector. We further studied the effects of the interplanetary magnetic field (IMF) on the location of the arc tilt reversal point. We found that the reversal position shifts toward the midday for negative By. (C) 2016 Elsevier Ltd. All rights reserved.</t>
  </si>
  <si>
    <t>[Qiu, Qi; Lu, Quan-Ming] Univ Sci &amp; Technol China, Dept Geophys &amp; Planetary Sci, CAS Key Lab Geosci Environm, Hefei 230026, Peoples R China; [Qiu, Qi; Yang, Hui-Gen; Hu, Ze-Jun; Han, De-Sheng] Polar Res Inst China, SOA Key Lab Polar Sci, Shanghai, Peoples R China; [Wang, Qian] Xian Univ Posts &amp; Telecommun, Sch Telecommun &amp; Informat Engn, Xian, Peoples R China</t>
  </si>
  <si>
    <t>Chinese Academy of Sciences; University of Science &amp; Technology of China, CAS; Polar Research Institute of China; Xi'an University of Posts &amp; Telecommunications</t>
  </si>
  <si>
    <t>Qiu, Q (corresponding author), Univ Sci &amp; Technol China, Dept Geophys &amp; Planetary Sci, CAS Key Lab Geosci Environm, Hefei 230026, Peoples R China.;Qiu, Q; Yang, HG (corresponding author), Polar Res Inst China, SOA Key Lab Polar Sci, Shanghai, Peoples R China.</t>
  </si>
  <si>
    <t>qiuqi@pric.org.cn; huigen_yang@pric.org.cn</t>
  </si>
  <si>
    <t>Han, Desheng/P-2663-2017; Hu, Ze-Jun/X-8090-2019; Han, Desheng/H-6971-2018</t>
  </si>
  <si>
    <t>Hu, Ze-Jun/0000-0003-2448-2094; Han, Desheng/0000-0002-6635-9214</t>
  </si>
  <si>
    <t>National Natural Science Foundation of China [41431072, 41374161, 41274164, 41374159, 41304149, 41504115]; Polar Environment Comprehensive Investigation and Assessment Programs (CHINARE); Pudong Development of Scientific and Technology Program [PKC2013-207]; Top-Notch Young Talents Program of China; International Collaboration Supporting Project, Chinese Arctic and Antarctic Administration [IC201608]</t>
  </si>
  <si>
    <t>National Natural Science Foundation of China(National Natural Science Foundation of China (NSFC)); Polar Environment Comprehensive Investigation and Assessment Programs (CHINARE); Pudong Development of Scientific and Technology Program; Top-Notch Young Talents Program of China; International Collaboration Supporting Project, Chinese Arctic and Antarctic Administration</t>
  </si>
  <si>
    <t>This work was supported by the National Natural Science Foundation of China (41431072, 41374161, 41274164, 41374159, 41304149 and 41504115), the Polar Environment Comprehensive Investigation and Assessment Programs (CHINARE 2016-02-03, 2016-04-01), the Pudong Development of Scientific and Technology Program (PKC2013-207). Thanks are also given for the Strategic Priority Research Program on Space Science, Chinese Academy of Sciences (XDA04060201) and the Shaanxi province Natural Science Foundation (2015K6223). This work was supported by the Top-Notch Young Talents Program of China, and the International Collaboration Supporting Project, Chinese Arctic and Antarctic Administration (IC201608). We acknowledge the NASA OMNIWeb site to supply the IMF data.</t>
  </si>
  <si>
    <t>1364-6826</t>
  </si>
  <si>
    <t>1879-1824</t>
  </si>
  <si>
    <t>J ATMOS SOL-TERR PHY</t>
  </si>
  <si>
    <t>J. Atmos. Sol.-Terr. Phys.</t>
  </si>
  <si>
    <t>10.1016/j.jastp.2016.02.019</t>
  </si>
  <si>
    <t>Geochemistry &amp; Geophysics; Meteorology &amp; Atmospheric Sciences</t>
  </si>
  <si>
    <t>DJ3BL</t>
  </si>
  <si>
    <t>WOS:000374079700002</t>
  </si>
  <si>
    <t>Cordaro, EG; Gálvez, D; Laroze, D</t>
  </si>
  <si>
    <t>Cordaro, E. G.; Galvez, D.; Laroze, D.</t>
  </si>
  <si>
    <t>Observation of intensity of cosmic rays and daily magnetic shifts near meridian 70° in the South America</t>
  </si>
  <si>
    <t>Sunset enhancement; He neutron monitor; Magnetic reconnection; Cosmic rays</t>
  </si>
  <si>
    <t>In analysis of experiments carried during September 2008 using secondary cosmic ray detectors located in Chacaltaya (Bolivia) and Niteroi (Brazil), Augusto et al. (2010) showed an increase in the intensity of charged particles which takes place 3 h after sunrise and lasts until 1 h after sunset, furthermore they said that during this period the solar magnetic field lines overtake the Earth's surface. These stations are located within the South Atlantic Magnetic Anomaly (SAMA), having both different magnetic rigidities. To reproduce data from the Niteroi and Chacaltaya stations, we record data during the same hours and days using our neutron monitors, muon telescopes and magnetometers within the stations Putre and Los Cerrillos. Our observation stations in Putre and Cerrillos are located at 18 degrees 11'47.8S, 69 degrees 33'10.9W at an altitude of 3600 m and 33 degrees 29'42.3S, 70 degrees 42'59.81W with 570 m height above sea level, respectively. These stations are located within the South Atlantic Anomaly (SAMA) and are separated approximately 1700 km from each other and 1700 km from the center of the anomaly. Our network is composed furthermore by two auxiliary Cosmic Ray and/or Geomagnetic stations located at different latitudes along 70 degrees W meridian, LARC and O'Higgins stations, which are located within Antarctic territory, covering a broad part of the Southern Hemisphere. Our magnetometer data shows that for each of the components, shifts in the magnetic field intensity for every station (even for those out of the SAMA) lasted between 3 and 4 h after sunrise and 1 and 2 h past sunset, which are the periods when the geomagnetic field is modulated by the transit of the dayside to nightside and nightside to dayside. We believe that, although the magnetometric data indicates the magnetic reconnection for the Chilean region, there is no direct influence from the SAMA other than the lower rigidity cut-off that leads to an increased count rate. Other details about the magnetic field components such as muon and neutron count rate, diurnal variation andsunset enhancement' are reported in this work. (C) 2016 Elsevier Ltd. All rights reserved.</t>
  </si>
  <si>
    <t>[Cordaro, E. G.] Univ Chile, Observ Radiac Cosm &amp; Geomagnetismo, Casilla 487-3, Santiago, Chile; [Cordaro, E. G.] Univ Autonoma Chile, Fac Ingn, Pedro de Valdivia 425, Santiago, Chile; [Laroze, D.] Univ Tarapaca, Inst Alta Invest, Casilla 7D, Arica, Chile</t>
  </si>
  <si>
    <t>Universidad de Chile; Universidad Autonoma de Chile; Universidad de Tarapaca</t>
  </si>
  <si>
    <t>Laroze, D (corresponding author), Univ Tarapaca, Inst Alta Invest, Casilla 7D, Arica, Chile.</t>
  </si>
  <si>
    <t>dlarozen@uta.cl</t>
  </si>
  <si>
    <t>Laroze, David/Z-2852-2019; Laroze, David/E-9134-2011</t>
  </si>
  <si>
    <t>Laroze, David/0000-0002-6487-8096; Laroze, David/0000-0002-6487-8096</t>
  </si>
  <si>
    <t>Basal Program Center for Development of Nanoscience and Nanotechnology (CEDENNA); UTA [8750-12]</t>
  </si>
  <si>
    <t>Basal Program Center for Development of Nanoscience and Nanotechnology (CEDENNA)(Comision Nacional de Investigacion Cientifica y Tecnologica (CONICYT)CONICYT PIA/BASAL); UTA</t>
  </si>
  <si>
    <t>We thank E. Zesta and P. Venegas for their collaboration in this work. We acknowledge the use of the UCLA-IGPP fluxgate magnetometer. We are currently in collaboration with the South American Magnetometer B-field Array (SAMBA) project of the University of California Los Angeles (USA). All the geomagnetic data used in this work belongs to this collaboration (data can be found in http://magnetometers.bc.edu/index.php/78-magnetometers/78-home and can also be requested to the authors). All the cosmic ray data used in this work belong to the Chilean Cosmic Ray Network, and can be obtained by contacting the corresponding author. We also thank IGRF and Intermagnet for the development of the IAGA V-MOD geomagnetic field modeling system that we used in this work (model available in http://wdc.kugi.kyoto-u. acjp/igrf/). D.L. acknowledges the partial financial support from Basal Program Center for Development of Nanoscience and Nanotechnology (CEDENNA) and UTA Project 8750-12.</t>
  </si>
  <si>
    <t>10.1016/j.jastp.2016.02.015</t>
  </si>
  <si>
    <t>WOS:000374079700008</t>
  </si>
  <si>
    <t>Göcke, C; Hajdu, E; Janussen, D</t>
  </si>
  <si>
    <t>Goecke, C.; Hajdu, E.; Janussen, D.</t>
  </si>
  <si>
    <t>Phelloderma (Porifera: Demospongiae) and its relation to other Poecilosclerida, including description of P-oxychaetoides sp nov., and redescription of the type species, P-radiatum Ridley &amp; Dendy, 1886</t>
  </si>
  <si>
    <t>JOURNAL OF THE MARINE BIOLOGICAL ASSOCIATION OF THE UNITED KINGDOM</t>
  </si>
  <si>
    <t>Antarctica; Demospongiae; genus emendation; new species; Phelloderma; Phellodermidae; Poecilosclerida; Porifera</t>
  </si>
  <si>
    <t>NORTH-EAST ATLANTIC; CARNIVOROUS SPONGES; HEXACTINELLIDA PORIFERA; CLADORHIZIDAE; GENUS</t>
  </si>
  <si>
    <t>Phelloderma oxychaetoides sp. nov. is a remarkable new species from the deep Weddell Sea, bearing abundant oxychaetes (onychaete-like microxeas), morphologically distinct from the onychaetes of Tedania spp. collected in the same area. We give a redescription of the holotype of P. radiatum Ridley &amp; Dendy, 1886, the type species of Phelloderma. We recognize three and a possible fourth species in Phelloderma: P. flava (Levi, 1993); P. oxychaetoides sp. nov.; P. polypoides Whitelegge, 1906; and P. radiatum Ridley &amp; Dendy, 1886. An identification key for the species of Phelloderma is proposed. A discussion on the affinities of Phelloderma to both Mycalina and Myxillina is offered, and the current preference for the latter is further supported by the marked similarity between the oxychaetes of Phelloderma oxychaetoides sp. nov. and those of Chaetodoryx spp. (Coelosphaeridae, Myxillina).</t>
  </si>
  <si>
    <t>[Goecke, C.; Janussen, D.] Forschungsinst &amp; Nat Museum Senckenberg, Senckenberganlage 25, D-60325 Frankfurt, Germany; [Hajdu, E.] Univ Fed Rio de Janeiro, Museu Nacl, Quinta da Boa Vista S-N, BR-20940040 Rio De Janeiro, RJ, Brazil</t>
  </si>
  <si>
    <t>Senckenberg Gesellschaft fur Naturforschung (SGN); Universidade Federal do Rio de Janeiro</t>
  </si>
  <si>
    <t>Göcke, C (corresponding author), Forschungsinst &amp; Nat Museum Senckenberg, Senckenberganlage 25, D-60325 Frankfurt, Germany.</t>
  </si>
  <si>
    <t>christian.goecke@senckenberg.de</t>
  </si>
  <si>
    <t>Hajdu, Eduardo/C-3863-2009</t>
  </si>
  <si>
    <t>Hajdu, Eduardo/0000-0002-8760-9403</t>
  </si>
  <si>
    <t>CeDAMar Taxonomist Exchange Program; National Counsel of Technological and Scientific Development (CNPq); Carlos Chagas Filho Research Support Foundation of Rio de Janeiro State (FAPERJ); Deutsche Forschungsgemeinschaft [JA 1063/14-1, JA 1063/14-2, JA-1063/17-1]</t>
  </si>
  <si>
    <t>CeDAMar Taxonomist Exchange Program; National Counsel of Technological and Scientific Development (CNPq)(Conselho Nacional de Desenvolvimento Cientifico e Tecnologico (CNPQ)); Carlos Chagas Filho Research Support Foundation of Rio de Janeiro State (FAPERJ)(Fundacao Carlos Chagas Filho de Amparo a Pesquisa do Estado do Rio De Janeiro (FAPERJ)); Deutsche Forschungsgemeinschaft(German Research Foundation (DFG))</t>
  </si>
  <si>
    <t>We thank the CeDAMar Taxonomist Exchange Program for a grant which enabled the visit by E. Hajdu in May 2010 to Senckenberg for collaborative work on ANDEEP/SYSTCO Demospongiae. E.H. further thanks the National Counsel of Technological and Scientific Development (CNPq), as well as Carlos Chagas Filho Research Support Foundation of Rio de Janeiro State (FAPERJ) for grants and/or fellowships that enabled completion of this work. Thanks are due to the Deutsche Forschungsgemeinschaft for financing projects by D.J. on Antarctic Porifera (JA 1063/14-1,2, JA-1063/17-1). This is ANDEEP-SYSTCO publication no. 152.</t>
  </si>
  <si>
    <t>CAMBRIDGE UNIV PRESS</t>
  </si>
  <si>
    <t>32 AVENUE OF THE AMERICAS, NEW YORK, NY 10013-2473 USA</t>
  </si>
  <si>
    <t>0025-3154</t>
  </si>
  <si>
    <t>1469-7769</t>
  </si>
  <si>
    <t>J MAR BIOL ASSOC UK</t>
  </si>
  <si>
    <t>J. Mar. Biol. Assoc. U.K.</t>
  </si>
  <si>
    <t>10.1017/S0025315414000538</t>
  </si>
  <si>
    <t>DJ0UM</t>
  </si>
  <si>
    <t>WOS:000373919900003</t>
  </si>
  <si>
    <t>Shabudin, AFA; Rahim, RA; Nor, NM; Ibrahim, K</t>
  </si>
  <si>
    <t>Shabudin, Ahmad Firdaus Ahmad; Rahim, Rashidah Abdul; Nor, Norizan Md; Ibrahim, Kamarulazizi</t>
  </si>
  <si>
    <t>Antarctic values and Malaysia's involvement in Antarctica: perceptions among young citizens of Malaysia</t>
  </si>
  <si>
    <t>POLAR RECORD</t>
  </si>
  <si>
    <t>PUBLIC PERCEPTION; KNOWLEDGE</t>
  </si>
  <si>
    <t>Lack of support and interest among the public is one of the major challenges in strengthening and sustaining the future national agendas on Antarctica. The main goal of this study is to identify the perception of Malaysia's public with regard to Antarctic values and Malaysian involvement in the region. A survey on Malaysia's young citizen perception on Antarctic has been conducted for mapping out the future landscape of Malaysian involvement in the Antarctic region. Surveys have been conducted on respondents from secondary schools and universities in Malaysia. A questionnaire was designed to seek respondents' knowledge and awareness on the values of Antarctica and their opinions on Malaysia's involvement. The results of the study showed that respondents had a high level of awareness of Antarctic environmental issues. However, general knowledge about the Antarctic region was still intermediate. On the other hand, the results of this study showed that the young citizens had positive and strong support for strengthening Malaysia's Antarctic involvement. This study hopes to contribute as baseline data on the matter. Such background information will reflect on the national strategy in strengthening Malaysia's current policy and future involvement in Antarctica.</t>
  </si>
  <si>
    <t>[Shabudin, Ahmad Firdaus Ahmad; Ibrahim, Kamarulazizi] Univ Sains Malaysia, Ctr Global Sustainabil Studies, Univ Sains Malaysia 11800, George Town, Malaysia; [Rahim, Rashidah Abdul] Univ Sains Malaysia, Sch Biol Sci, Univ Sains Malaysia 11800, George Town, Malaysia; [Nor, Norizan Md] Univ Sains Malaysia, Sch Humanities, Univ Sains Malaysia 11800, George Town, Malaysia</t>
  </si>
  <si>
    <t>Universiti Sains Malaysia; Universiti Sains Malaysia; Universiti Sains Malaysia</t>
  </si>
  <si>
    <t>Shabudin, AFA (corresponding author), Univ Sains Malaysia, Ctr Global Sustainabil Studies, Univ Sains Malaysia 11800, George Town, Malaysia.</t>
  </si>
  <si>
    <t>as_firdaus@usm.my</t>
  </si>
  <si>
    <t>Ibrahim, Kamarulazizi/F-7425-2010</t>
  </si>
  <si>
    <t>Ibrahim, Kamarulazizi/0000-0002-1827-5198; Abdul Rahim, Rashidah/0000-0001-8945-4428</t>
  </si>
  <si>
    <t>Long-Term Research Grant Scheme, Ministry of Education Malaysia</t>
  </si>
  <si>
    <t>This work was supported by Long-Term Research Grant Scheme, Ministry of Education Malaysia. Special thanks to Mrs. Rosliza Musa (Centre for Policy Research and International Studies) for helping us in the statistical analysis.</t>
  </si>
  <si>
    <t>0032-2474</t>
  </si>
  <si>
    <t>1475-3057</t>
  </si>
  <si>
    <t>POLAR REC</t>
  </si>
  <si>
    <t>POLAR REC.</t>
  </si>
  <si>
    <t>10.1017/S0032247415000790</t>
  </si>
  <si>
    <t>Ecology; Environmental Sciences</t>
  </si>
  <si>
    <t>DJ0UU</t>
  </si>
  <si>
    <t>WOS:000373920700004</t>
  </si>
  <si>
    <t>Yang, QH; Liu, JP; Leppäranta, M; Sun, QZ; Li, RB; Zhang, L; Jung, T; Lei, RB; Zhang, ZH; Li, M; Zhao, JC; Cheng, JJ</t>
  </si>
  <si>
    <t>Yang, Qinghua; Liu, Jiping; Lepparanta, Matti; Sun, Qizhen; Li, Rongbin; Zhang, Lin; Jung, Thomas; Lei, Ruibo; Zhang, Zhanhai; Li, Ming; Zhao, Jiechen; Cheng, Jingjing</t>
  </si>
  <si>
    <t>Albedo of coastal landfast sea ice in Prydz Bay, Antarctica: Observations and parameterization</t>
  </si>
  <si>
    <t>ADVANCES IN ATMOSPHERIC SCIENCES</t>
  </si>
  <si>
    <t>Antarctic; sea ice; albedo; observation; parameterization</t>
  </si>
  <si>
    <t>REGIONAL CLIMATE MODEL; DRONNING MAUD LAND; SURFACE ALBEDO; VARIABILITY; IMPACTS</t>
  </si>
  <si>
    <t>The snow/sea-ice albedo was measured over coastal landfast sea ice in Prydz Bay, East Antarctica (off Zhongshan Station) during the austral spring and summer of 2010 and 2011. The variation of the observed albedo was a combination of a gradual seasonal transition from spring to summer and abrupt changes resulting from synoptic events, including snowfall, blowing snow, and overcast skies. The measured albedo ranged from 0.94 over thick fresh snow to 0.36 over melting sea ice. It was found that snow thickness was the most important factor influencing the albedo variation, while synoptic events and overcast skies could increase the albedo by about 0.18 and 0.06, respectively. The in-situ measured albedo and related physical parameters (e.g., snow thickness, ice thickness, surface temperature, and air temperature) were then used to evaluate four different snow/ice albedo parameterizations used in a variety of climate models. The parameterized albedos showed substantial discrepancies compared to the observed albedo, particularly during the summer melt period, even though more complex parameterizations yielded more realistic variations than simple ones. A modified parameterization was developed, which further considered synoptic events, cloud cover, and the local landfast sea-ice surface characteristics. The resulting parameterized albedo showed very good agreement with the observed albedo.</t>
  </si>
  <si>
    <t>[Yang, Qinghua; Sun, Qizhen; Li, Rongbin; Zhang, Lin; Li, Ming; Zhao, Jiechen] Natl Marine Environm Forecasting Ctr, Key Lab Res Marine Hazards Forecasting, Beijing 100081, Peoples R China; [Yang, Qinghua; Jung, Thomas] Helmholtz Ctr Polar &amp; Marine Res, Alfred Wegener Inst, D-27570 Bremerhaven, Germany; [Liu, Jiping] Chinese Acad Sci, Inst Atmospher Phys, State Key Lab Numer Modeling Atmospher Sci &amp; Geop, Beijing 100029, Peoples R China; [Lepparanta, Matti] Univ Helsinki, FIN-00014 Helsinki, Finland; [Jung, Thomas] Univ Bremen, D-28334 Bremen, Germany; [Lei, Ruibo; Zhang, Zhanhai] Polar Res Inst China, Key Lab Polar Sci State Ocean Adm, Shanghai 200136, Peoples R China; [Cheng, Jingjing] Natl Ctr Ocean Stand &amp; Metrol, Tianjin 300112, Peoples R China</t>
  </si>
  <si>
    <t>National Marine Environmental Forecasting Center; Helmholtz Association; Alfred Wegener Institute, Helmholtz Centre for Polar &amp; Marine Research; Chinese Academy of Sciences; Institute of Atmospheric Physics, CAS; University of Helsinki; University of Bremen; Polar Research Institute of China</t>
  </si>
  <si>
    <t>Yang, QH (corresponding author), Natl Marine Environm Forecasting Ctr, Key Lab Res Marine Hazards Forecasting, Beijing 100081, Peoples R China.;Yang, QH (corresponding author), Helmholtz Ctr Polar &amp; Marine Res, Alfred Wegener Inst, D-27570 Bremerhaven, Germany.</t>
  </si>
  <si>
    <t>yqh@nmefc.gov.cn</t>
  </si>
  <si>
    <t>Zhao, Jiechen/KHV-9905-2024; Jung, Thomas/J-5239-2012; Sun, Qizhen/JCE-6070-2023; Cheng, Jingjing/KHU-5683-2024; Lepparanta, Matti/M-7507-2017</t>
  </si>
  <si>
    <t>Jung, Thomas/0000-0002-2651-1293; Lepparanta, Matti/0000-0002-4754-5564; Yang, Qinghua/0000-0002-7114-2036</t>
  </si>
  <si>
    <t>National Natural Science Foundation of China [41006115, 41376005]; Chinese Polar Environmental Comprehensive Investigation and Assessment Program; Chinese National Key Basic Research Project [2011CB309704]</t>
  </si>
  <si>
    <t>National Natural Science Foundation of China(National Natural Science Foundation of China (NSFC)); Chinese Polar Environmental Comprehensive Investigation and Assessment Program; Chinese National Key Basic Research Project(National Basic Research Program of China)</t>
  </si>
  <si>
    <t>This study was supported by the National Natural Science Foundation of China (Grant Nos. 41006115 and 41376005), the Chinese Polar Environmental Comprehensive Investigation and Assessment Program, and the Chinese National Key Basic Research Project (2011CB309704). We thank the Russian meteorological station of Progress II for providing precipitation data. The two anonymous reviewers are also thanked for their constructive comments, which helped improve the manuscript.</t>
  </si>
  <si>
    <t>SCIENCE PRESS</t>
  </si>
  <si>
    <t>BEIJING</t>
  </si>
  <si>
    <t>16 DONGHUANGCHENGGEN NORTH ST, BEIJING 100717, PEOPLES R CHINA</t>
  </si>
  <si>
    <t>0256-1530</t>
  </si>
  <si>
    <t>1861-9533</t>
  </si>
  <si>
    <t>ADV ATMOS SCI</t>
  </si>
  <si>
    <t>Adv. Atmos. Sci.</t>
  </si>
  <si>
    <t>10.1007/s00376-015-5114-7</t>
  </si>
  <si>
    <t>DF3HI</t>
  </si>
  <si>
    <t>WOS:000371234300001</t>
  </si>
  <si>
    <t>Colwell, SR; Cayette, AM; Lazzara, MA; Powers, JG; Bromwich, DH; Cassano, JJ; Carpentier, S</t>
  </si>
  <si>
    <t>Colwell, Steve R.; Cayette, Arthur M.; Lazzara, Matthew A.; Powers, Jordan G.; Bromwich, David H.; Cassano, John J.; Carpentier, Scott</t>
  </si>
  <si>
    <t>The 10th Antarctic meteorological observation, modeling, and forecasting workshop</t>
  </si>
  <si>
    <t>[Colwell, Steve R.] British Antarctic Survey, Cambridge CB3 0ET, England; [Cayette, Arthur M.] Space &amp; Naval Warfare Syst Ctr Off Polar Programs, N Charleston, SC USA; [Lazzara, Matthew A.] Univ Wisconsin, Ctr Space Sci &amp; Engn, Antarctic Meteorol Res Ctr, Madison, WI USA; [Lazzara, Matthew A.] Madison Area Tech Coll, Sch Arts &amp; Sci, Dept Phys Sci, Madison, WI USA; [Powers, Jordan G.] Natl Ctr Atmospher Res, POB 3000, Boulder, CO 80307 USA; [Bromwich, David H.] Ohio State Univ, Byrd Polar &amp; Climate Res Ctr, Polar Meteorol Grp, Columbus, OH 43210 USA; [Cassano, John J.] Univ Colorado, Cooperat Inst Res Environm Sci, Boulder, CO 80309 USA; [Cassano, John J.] Univ Colorado, Dept Atmospher Ocean &amp; Space Sci, Boulder, CO 80309 USA; [Carpentier, Scott] Bur Meteorol, Hobart, Tas, Australia</t>
  </si>
  <si>
    <t>UK Research &amp; Innovation (UKRI); Natural Environment Research Council (NERC); NERC British Antarctic Survey; University of Wisconsin System; University of Wisconsin Madison; National Center Atmospheric Research (NCAR) - USA; University System of Ohio; Ohio State University; University of Colorado System; University of Colorado Boulder; University of Colorado System; University of Colorado Boulder; Bureau of Meteorology - Australia</t>
  </si>
  <si>
    <t>Lazzara, MA (corresponding author), Univ Wisconsin, Ctr Space Sci &amp; Engn, Antarctic Meteorol Res Ctr, Madison, WI USA.;Lazzara, MA (corresponding author), Madison Area Tech Coll, Sch Arts &amp; Sci, Dept Phys Sci, Madison, WI USA.</t>
  </si>
  <si>
    <t>mattl@ssec.wisc.edu</t>
  </si>
  <si>
    <t>Cassano, John/HKW-8817-2023</t>
  </si>
  <si>
    <t>Division of Polar Programs, Geoscience Directorate, National Science Foundation [ANT-1245663]; SCAR; NERC [bas0100032] Funding Source: UKRI; Directorate For Geosciences; Office of Polar Programs (OPP) [1245737] Funding Source: National Science Foundation; Natural Environment Research Council [bas0100032] Funding Source: researchfish</t>
  </si>
  <si>
    <t>Division of Polar Programs, Geoscience Directorate, National Science Foundation; SCAR; NERC(UK Research &amp; Innovation (UKRI)Natural Environment Research Council (NERC)); Directorate For Geosciences; Office of Polar Programs (OPP)(National Science Foundation (NSF)NSF - Directorate for Geosciences (GEO)); Natural Environment Research Council(UK Research &amp; Innovation (UKRI)Natural Environment Research Council (NERC))</t>
  </si>
  <si>
    <t>The University of Wisconsin-Madison Automatic Weather Station Program is supported by the Division of Polar Programs, Geoscience Directorate, National Science Foundation grant number ANT-1245663. AMPS is supported by Division of Polar Programs, Geoscience Directorate, National Science Foundation. The authors thank the British Antarctic Survey for its hosting of the workshop and SCAR for its support of new attendees. The authors wish to thank the reviewer of the manuscript for their helpful comments.</t>
  </si>
  <si>
    <t>10.1007/s00376-016-6012-3</t>
  </si>
  <si>
    <t>WOS:000371234300011</t>
  </si>
  <si>
    <t>Diaz, D; Keller, K</t>
  </si>
  <si>
    <t>Diaz, Delavane; Keller, Klaus</t>
  </si>
  <si>
    <t>A Potential Disintegration of the West Antarctic Ice Sheet: Implications for Economic Analyses of Climate Policy</t>
  </si>
  <si>
    <t>AMERICAN ECONOMIC REVIEW</t>
  </si>
  <si>
    <t>Article; Proceedings Paper</t>
  </si>
  <si>
    <t>128th Annual Meeting of the American-Economic-Association</t>
  </si>
  <si>
    <t>JAN, 2016</t>
  </si>
  <si>
    <t>San Francisco, CA</t>
  </si>
  <si>
    <t>IMPACTS</t>
  </si>
  <si>
    <t>[Diaz, Delavane] Elect Power Res Inst, 1325 G St NW Suite 1080, Washington, DC 20005 USA; [Keller, Klaus] Penn State Univ, 436 Deike Bldg, University Pk, PA 16802 USA</t>
  </si>
  <si>
    <t>Electric Power Research Institute (EPRI); Pennsylvania Commonwealth System of Higher Education (PCSHE); Pennsylvania State University; Pennsylvania State University - University Park</t>
  </si>
  <si>
    <t>Diaz, D (corresponding author), Elect Power Res Inst, 1325 G St NW Suite 1080, Washington, DC 20005 USA.</t>
  </si>
  <si>
    <t>ddiaz@epri.com; klaus@psu.edu</t>
  </si>
  <si>
    <t>Keller, Klaus/A-6742-2013</t>
  </si>
  <si>
    <t>Diaz, Delavane/0000-0001-8289-0980</t>
  </si>
  <si>
    <t>US DOE [DE-SC0005171]; NSF [GEO-1240507]; Penn State Center for Climate Risk Management; Directorate For Geosciences [1240507] Funding Source: National Science Foundation; Division Of Mathematical Sciences; Direct For Mathematical &amp; Physical Scien [1107046] Funding Source: National Science Foundation; U.S. Department of Energy (DOE) [DE-SC0005171] Funding Source: U.S. Department of Energy (DOE)</t>
  </si>
  <si>
    <t>US DOE(United States Department of Energy (DOE)); NSF(National Science Foundation (NSF)); Penn State Center for Climate Risk Management; Directorate For Geosciences(National Science Foundation (NSF)NSF - Directorate for Geosciences (GEO)); Division Of Mathematical Sciences; Direct For Mathematical &amp; Physical Scien(National Science Foundation (NSF)NSF - Directorate for Mathematical &amp; Physical Sciences (MPS)); U.S. Department of Energy (DOE)(United States Department of Energy (DOE))</t>
  </si>
  <si>
    <t>Partially supported by US DOE grant DE-SC0005171, NSF cooperative agreement GEO-1240507, and the Penn State Center for Climate Risk Management. Thanks to C. Field, C. and B. Forest, G. Garner, G. Infanger, R. Mendelsohn, M. Oppenheimer, D. Pollard, T. Rutherford, and J. Weyant for helpful inputs. D. D. and K. K. designed analysis, analyzed results, and wrote the paper. D. D. performed the analysis. Any conclusions or recommendations expressed in this material are those of the authors and do not necessarily reflect the views of the funding agencies.</t>
  </si>
  <si>
    <t>AMER ECONOMIC ASSOC</t>
  </si>
  <si>
    <t>NASHVILLE</t>
  </si>
  <si>
    <t>2014 BROADWAY, STE 305, NASHVILLE, TN 37203 USA</t>
  </si>
  <si>
    <t>0002-8282</t>
  </si>
  <si>
    <t>1944-7981</t>
  </si>
  <si>
    <t>AM ECON REV</t>
  </si>
  <si>
    <t>Am. Econ. Rev.</t>
  </si>
  <si>
    <t>10.1257/aer.p20161103</t>
  </si>
  <si>
    <t>Economics</t>
  </si>
  <si>
    <t>Social Science Citation Index (SSCI); Conference Proceedings Citation Index - Social Science &amp; Humanities (CPCI-SSH)</t>
  </si>
  <si>
    <t>Business &amp; Economics</t>
  </si>
  <si>
    <t>DQ6UR</t>
  </si>
  <si>
    <t>WOS:000379341300114</t>
  </si>
  <si>
    <t>Mosbacher, JB; Kristensen, DK; Michelsen, A; Stelvig, M; Schmidt, NM</t>
  </si>
  <si>
    <t>Mosbacher, Jesper B.; Kristensen, Ditte K.; Michelsen, Anders; Stelvig, Mikkel; Schmidt, Niels M.</t>
  </si>
  <si>
    <t>Quantifying muskox plant biomass removal and spatial relocation of nitrogen in a high arctic tundra ecosystem</t>
  </si>
  <si>
    <t>3 DOMINANT SEDGES; VERTEBRATE HERBIVORES; MAMMALIAN HERBIVORES; OVIBOS-MOSCHATUS; PRIMARY PRODUCTIVITY; BANKS-ISLAND; RESPONSES; PATTERNS; REPRODUCTION; FERTILIZER</t>
  </si>
  <si>
    <t>The muskox (Ovibos moschatus), a key species in the arctic tundra, is the only large bodied herbivore in Northeast Greenland. Here, we quantify the biomass removal and fecal deposition by muskoxen during the snow-free period in the years 1996 to 2013 in the high arctic tundra ecosystem at Zackenberg, Northeast Greenland.We show that despite high densities, muskoxen removed only 0.17% and 0.04% of the available forage in graminoid-dominated areas and in Salix snowbeds (including Salix dominated heaths), respectively, during the main plant growing season (from mid-June to end of August). Into the autumn, the biomass removal increased to similar to 4.6% and 0.19% in the graminoid-dominated areas and Salix snowbeds, respectively. Muskoxen forage mainly in the graminoid-dominated areas, but defecate primarily in Salix snowbeds, resulting in net nutrient transfers from the nitrogen-rich wet habitats to the nitrogen-poor, drier habitats, corresponding to an addition of 0.016 g m(-2) of nitrogen in the Salix snowbeds per year. This nitrogen addition is of same magnitude as the dissolved inorganic nitrogen pool in similar arctic soils. Hence, while the quantitative impact of muskox biomass removal seems negligible, the nitrogen relocation may be important for the arctic vegetation and associated biota in the tundra ecosystem.</t>
  </si>
  <si>
    <t>[Mosbacher, Jesper B.; Kristensen, Ditte K.; Schmidt, Niels M.] Aarhus Univ, Arctic Res Ctr, Dept Biosci, Frederiksborgvej 399, DK-4000 Roskilde, Denmark; [Michelsen, Anders] Univ Copenhagen, Dept Biol, Univ Pk 15, DK-2100 Copenhagen O, Denmark; [Michelsen, Anders] Univ Copenhagen, Ctr Permafrost, Oster Voldgade 10, DK-1350 Copenhagen K, Denmark; [Stelvig, Mikkel] Copenhagen Zoo, Roskildevej 38, DK-2000 Frederiksberg, Denmark</t>
  </si>
  <si>
    <t>Aarhus University; University of Copenhagen; University of Copenhagen</t>
  </si>
  <si>
    <t>Schmidt, NM (corresponding author), Aarhus Univ, Dept Biosci, Arctic Res Ctr, Frederiksborgvej 399, DK-4000 Roskilde, Denmark.</t>
  </si>
  <si>
    <t>nms@bios.au.dk</t>
  </si>
  <si>
    <t>Stelvig, Mikkel/ABB-3399-2020; Schmidt, Niels Martin/G-3843-2011; Michelsen, Anders/L-5279-2014</t>
  </si>
  <si>
    <t>Schmidt, Niels Martin/0000-0002-4166-6218; Stelvig, Mikkel/0000-0002-2272-7492; Michelsen, Anders/0000-0002-9541-8658</t>
  </si>
  <si>
    <t>Arctic Research Centre, Aarhus University; Royal Scientific Committee for Research in Greenland; Center for Permafrost [CEN-PERM DNRF100]; Danish Environmental Protection Agency; Danish Energy Agency</t>
  </si>
  <si>
    <t>Arctic Research Centre, Aarhus University; Royal Scientific Committee for Research in Greenland; Center for Permafrost; Danish Environmental Protection Agency; Danish Energy Agency</t>
  </si>
  <si>
    <t>Data were provided by the Greenland Ecosystem Monitoring program. We thank the many field assistants over the years for their efforts. Arctic Research Centre, Aarhus University, and the Royal Scientific Committee for Research in Greenland are thanked for their financial support to the winter campaigns. Danish National Research Foundation is thanked for supporting the activities within the Center for Permafrost (CEN-PERM DNRF100). The Danish Environmental Protection Agency and the Danish Energy Agency are thanked for their financial support to Greenland Ecosystem Monitoring.</t>
  </si>
  <si>
    <t>10.1657/AAAR0015-034</t>
  </si>
  <si>
    <t>WOS:000376226700001</t>
  </si>
  <si>
    <t>Wang, PY; Li, ZQ; Li, HL; Wang, WB; Wu, LH; Zhang, H; Huai, BJ; Wang, L</t>
  </si>
  <si>
    <t>Wang, Puyu; Li, Zhongqin; Li, Huilin; Wang, Wenbin; Wu, Lihua; Zhang, Hui; Huai, Baojuan; Wang, Lin</t>
  </si>
  <si>
    <t>Recent evolution in extent, thickness, and velocity of Haxilegen Glacier No. 51, Kuytun River Basin, eastern Tianshan Mountains</t>
  </si>
  <si>
    <t>NORTHERN TIEN-SHAN; CLIMATE-CHANGE; MASS-BALANCE; CENTRAL-ASIA; NARYN BASIN; SHRINKAGE; RUNOFF; RANGE</t>
  </si>
  <si>
    <t>This study focuses on ice thickness distribution and calculation of the area, terminus, and velocity changes of Haxilegen Glacier No. 51 in the Kuytun River Basin of the eastern Tianshan Mountains, during 1964-2010. The ground penetrating radar (GPR) survey indicated that the maximum and the mean thicknesses are 73 m and 39 m for this glacier, respectively. The glacier area decreased from 1.48 km(2) to 1.32 km(2) (10.8%), and its terminus retreated with a rate of 2.3 m a(-1) between 1964 and 2010. The area change of this glacier is smallest in the eastern Tianshan Mountains, but it experienced a large volume decrease, nearly 30% mass loss during the period 1980s-2010. The ice velocity is within a range of 1.5-3.1 m a(-1) for the observation period of 2000-2006. The persistent glacier shrinkage is mainly attributed to intensive rise of the local temperature and has an important impact on river runoff.</t>
  </si>
  <si>
    <t>[Wang, Puyu; Li, Zhongqin; Li, Huilin; Wang, Wenbin; Zhang, Hui; Huai, Baojuan; Wang, Lin] Chinese Acad Sci, Cold &amp; Arid Reg Environm &amp; Engn Res Inst, State Key Lab Cryospher Sci, Tianshan Glaciol Stn, Donggang West Rd 320, Lanzhou 730000, Peoples R China; [Wang, Puyu; Li, Zhongqin; Li, Huilin] Rhein Westfal TH Aachen, Templergraben 55, D-52056 Aachen, Germany; [Li, Zhongqin; Zhang, Hui] Northwest Normal Univ, Coll Geog &amp; Environm Sci, Anning East Rd 967, Lanzhou 730070, Peoples R China; [Wu, Lihua] Southwest Forestry Univ, Fac Ecotourism, Bailongsi 300, Kunming 650224, Peoples R China</t>
  </si>
  <si>
    <t>Chinese Academy of Sciences; Cold &amp; Arid Regions Environmental &amp; Engineering Research Institute, CAS; RWTH Aachen University; Northwest Normal University - China; Southwest Forestry University - China</t>
  </si>
  <si>
    <t>Wang, PY (corresponding author), Chinese Acad Sci, Cold &amp; Arid Reg Environm &amp; Engn Res Inst, State Key Lab Cryospher Sci, Tianshan Glaciol Stn, Donggang West Rd 320, Lanzhou 730000, Peoples R China.;Wang, PY (corresponding author), Rhein Westfal TH Aachen, Templergraben 55, D-52056 Aachen, Germany.</t>
  </si>
  <si>
    <t>wangpuyu@lzb.ac.cn</t>
  </si>
  <si>
    <t>wang, lina/HGC-1592-2022</t>
  </si>
  <si>
    <t>Funds for Creative Research Groups of China [41121001]; Major National Science Research Program (973 Program) [2013CBA01801]; National Natural Science Foundation of China [41301069, 41471058]; State Key Laboratory of Cryospheric Sciences Foundation [SKLCS-ZZ-2012-01-01]; China Postdoctoral Science Foundation [2014T70948]; West Light Program for Talent Cultivation of the Chinese Academy of Sciences</t>
  </si>
  <si>
    <t>Funds for Creative Research Groups of China(Science Fund for Creative Research Groups); Major National Science Research Program (973 Program); National Natural Science Foundation of China(National Natural Science Foundation of China (NSFC)); State Key Laboratory of Cryospheric Sciences Foundation; China Postdoctoral Science Foundation(China Postdoctoral Science Foundation); West Light Program for Talent Cultivation of the Chinese Academy of Sciences</t>
  </si>
  <si>
    <t>Thanks are given to the field survey group of the Tianshan Glaciological Station for collecting data on Haxilegen Glacier No. 51. This study was supported by the Funds for Creative Research Groups of China (Grant No. 41121001), the Major National Science Research Program (973 Program; Grant No. 2013CBA01801), the National Natural Science Foundation of China (Grant No. 41301069 and 41471058), the State Key Laboratory of Cryospheric Sciences Foundation (Grant No. SKLCS-ZZ-2012-01-01), a Special Financial Grant from the China Postdoctoral Science Foundation (2014T70948), and the West Light Program for Talent Cultivation of the Chinese Academy of Sciences. We also thank the editor, the associate editor, and anonymous reviewers for their helpful comments on the paper.</t>
  </si>
  <si>
    <t>10.1657/AAAR0014-079</t>
  </si>
  <si>
    <t>WOS:000376226700002</t>
  </si>
  <si>
    <t>Millar, CI; Westfall, RD; Delany, DL</t>
  </si>
  <si>
    <t>Millar, Constance I.; Westfall, Robert D.; Delany, Diane L.</t>
  </si>
  <si>
    <t>Thermal components of American pika habitat-How does a small lagomorph encounter climate?</t>
  </si>
  <si>
    <t>OCHOTONA-PRINCEPS; SIERRA-NEVADA; GREAT-BASIN; POPULATION; DISPERSAL; PATTERNS; BEHAVIOR; USA</t>
  </si>
  <si>
    <t>Anticipating the response of small mammals to climate change requires knowledge of thermal conditions of their habitat during times of the day and year when individuals use them. We measured diurnal and seasonal temperatures of free air and of six habitat components for American pikas (Ochotona princeps) over five years at 37 sites in seven mountain ranges in the western Great Basin, United States. Talus matrices (subsurfaces) had low daily variances and, in the warm season, remained cool during the hottest times of the day relative to surfaces and free air. During winter, matrices were warmer than free air. Talus surfaces were warmer than free air in the warm and cold seasons, and had large daily variances. Summer forefield and dispersal environments were warmest of all habitat components. Talus surfaces in summer were highly responsive to solar radiation over the course of the day, warming quickly to high midday temperatures, and cooling rapidly in the evening. By contrast, matrices lagged the daily warm-up and remained warmer than free air at night. These differences afford diurnal and seasonal opportunities for pikas to adapt behaviorally to unfavorable temperatures and suggest that animals can accommodate a wider range of future climates than has been assumed, although warming of the dispersal environment may become limiting. Climate envelope models that use or model only surface air measures and do not include information on individual thermal components of pika habitat may lead to errant conclusions about the vulnerability of species under changing climates.</t>
  </si>
  <si>
    <t>[Millar, Constance I.; Westfall, Robert D.; Delany, Diane L.] USDA, US Forest Serv, Pacific Southwest Res Stn, 800 Buchanan St, Albany, CA 94710 USA</t>
  </si>
  <si>
    <t>United States Department of Agriculture (USDA); United States Forest Service</t>
  </si>
  <si>
    <t>Millar, CI (corresponding author), USDA, US Forest Serv, Pacific Southwest Res Stn, 800 Buchanan St, Albany, CA 94710 USA.</t>
  </si>
  <si>
    <t>cmillar@fs.fed.us</t>
  </si>
  <si>
    <t>10.1657/AAAR0015-046</t>
  </si>
  <si>
    <t>WOS:000376226700008</t>
  </si>
  <si>
    <t>Weckström, K; Weckström, J; Huber, K; Kamenik, C; Schmidt, R; Salvenmoser, W; Rieradevall, M; Weisse, T; Psenner, R; Kurmayer, R</t>
  </si>
  <si>
    <t>Weckstrom, K.; Weckstrom, J.; Huber, K.; Kamenik, C.; Schmidt, R.; Salvenmoser, W.; Rieradevall, M.; Weisse, T.; Psenner, R.; Kurmayer, R.</t>
  </si>
  <si>
    <t>Impacts of climate warming on Alpine lake biota over the past decade</t>
  </si>
  <si>
    <t>CHRYSOPHYTE CYST ASSEMBLAGES; REMOTE MOUNTAIN LAKES; WINTER/SPRING CLIMATE; ENVIRONMENTAL-CHANGES; WATER CHEMISTRY; TEMPERATURE; VARIABILITY; DIATOMS; RECONSTRUCTION; CLADOCERA</t>
  </si>
  <si>
    <t>Alpine temperatures have risen at twice the rate compared to the northern-hemispheric average during the past century. This can be expected to affect Alpine lake ecosystems via, for example, intensified thermal stratification, shorter ice cover periods, and altered catchment processes. Our study assesses changes in some main constituents of the plank tic and benthic communities of five mid-Alpine lakes in the Niedere Tauern region in Austria in relation to climatic warming, by comparing community and environmental data from 1998-1999 to data from 2010-2011. Although lake chemistry remained relatively stable between the study periods, we observed an increase in lake water temperatures and a decrease in ice cover durations. Several of the dominant diatom species and chrysophyte cyst types show relatively clear changes; the responses of the whole communities, however, are less evident. Yet, in particular, diatoms show distinct assemblage changes along the climatic gradients in the two lakes with the largest decrease in ice-cover duration. Chironomid communities appear to be less sensitive compared to diatoms and chrysophyte cysts, which are known for reacting quickly to changes in their environment. Finally, Alpine lakes, which are moderately nutrient-enriched because of human activities in the catchment area, are likely to experience increases in their productivity with climate warming.</t>
  </si>
  <si>
    <t>[Weckstrom, K.] Geol Survey Denmark &amp; Greenland, Dept Marine Geol &amp; Glaciol, Oster Voldgade 10, DK-1350 Copenhagen, Denmark; [Weckstrom, J.] ECRU, Dept Environm Sci, POB 65 Viikinkaari 1, FIN-00014 Univ Helsinki, Finland; [Huber, K.; Schmidt, R.; Weisse, T.; Kurmayer, R.] Univ Innsbruck, Res Inst Limnol Mondsee, Mondseestr 9, A-5310 Mondsee, Austria; [Kamenik, C.] Univ Bern, Inst Geog, Erlachstr 9a,Bldg 3, CH-3012 Bern, Switzerland; [Kamenik, C.] Univ Bern, Oeschger Ctr Climate Change Res, Erlachstr 9a,Bldg 3, CH-3012 Bern, Switzerland; [Salvenmoser, W.] Univ Innsbruck, Inst Zool, Technikerstr 25, A-6020 Innsbruck, Austria; [Rieradevall, M.] Univ Barcelona, Dept Ecol, Av Diagonal 645, E-08028 Barcelona, Spain; [Psenner, R.] Univ Innsbruck, Inst Ecol, Technikerstr 25, A-6020 Innsbruck, Austria</t>
  </si>
  <si>
    <t>Geological Survey Of Denmark &amp; Greenland; University of Innsbruck; University of Bern; University of Bern; University of Innsbruck; University of Barcelona; University of Innsbruck</t>
  </si>
  <si>
    <t>Kurmayer, R (corresponding author), Univ Innsbruck, Res Inst Limnol Mondsee, Mondseestr 9, A-5310 Mondsee, Austria.</t>
  </si>
  <si>
    <t>rainer.kurmayer@uibk.ac.at</t>
  </si>
  <si>
    <t>Kurmayer, Rainer/AAF-4625-2022; Kurmayer, Rainer/AFJ-4791-2022; Weckstrom, Jan/N-7665-2013</t>
  </si>
  <si>
    <t>Kurmayer, Rainer/0000-0002-2100-9616; Kurmayer, Rainer/0000-0002-2100-9616; Weckstrom, Jan/0000-0001-5604-617X; Weckstrom, Kaarina/0000-0002-3889-0788; Weisse, Thomas/0000-0001-6103-6558</t>
  </si>
  <si>
    <t>Nationalkomitee Alpenforschung of the Austrian Academy of Sciences, project DETECTIVE (DEcadal deTECTion of biodIVErsity in alpine lakes)</t>
  </si>
  <si>
    <t>The intensive field work would not have been possible without the technical assistance provided by the Research Institute for Limnology, Mondsee: Stephan Blank, Harald Ficker, Hannes Hollerer, Ulrike Koll, Hans Knoll, Karl Maier, Stefan Mayr,Veronika Ostermaier, Harald Ployer, Ulrike Scheffel, Peter Stadler, Sabine Wanzenbock, and Anneliese Wiedlroither assisted during the field expeditions. Li Deng assisted in preparation of the map shown in Figure 1. Verena Schaidraiter analyzed the temperature data during her B.Sc. thesis (Univ.of Salzburg). We are most grateful to Josef Franzoi (Inst. of Ecology, Innsbruck) for chemistry analysis, and to Thomas Ostermann (Inst. of Zoology, Innsbruck) for their assistance with the REM. This work was funded by the Nationalkomitee Alpenforschung of the Austrian Academy of Sciences, project DETECTIVE (DEcadal deTECTion of biodIVErsity in alpine lakes).</t>
  </si>
  <si>
    <t>10.1657/AAAR0015-058</t>
  </si>
  <si>
    <t>Bronze, Green Accepted, Green Published</t>
  </si>
  <si>
    <t>WOS:000376226700010</t>
  </si>
  <si>
    <t>Hartl, L; Fischer, A; Kluge, C; Nicholson, L</t>
  </si>
  <si>
    <t>Hartl, Lea; Fischer, Andrea; Kluge, Christoph; Nicholson, Lindsey</t>
  </si>
  <si>
    <t>Can a simple numerical model help to fine-tune the analysis of ground-penetrating radar data? Hochebenkar rock glacier as a case study</t>
  </si>
  <si>
    <t>INTERNAL STRUCTURE; ICE CONTENT; ALPS; PHOTOGRAMMETRY; DYNAMICS; CREEP</t>
  </si>
  <si>
    <t>Little is known about the thickness of active Alpine rock glaciers, yet they are important components of the local hydrology. We use GPR data to determine the depth of the bedrock of Ausseres Hochebenkar rock glacier (Austria). There is no detailed information available regarding density and composition of the rock glacier, and assumptions about the signal propagation velocity have to be made when processing the GPR data. We use a simple creep model based on surface displacement and slope to calculate the thickness of the rock glacier along a flow line. We calculated bedrock profiles along the flow line for three different time periods, using input from multitemporal digital elevation models. We improved the fit of the profiles by calibrating the values used for layer densities and considered the model valid where the modelled bedrock profiles are within error of each other. We then compared the modeled values with the GPR data to check whether our assumptions for the propagation velocity produced results that match the model. While the fit is good at the lower end of the rock glacier, the GPR data appear to overestimate depth in the upper region. We adjusted the propagation velocity accordingly and find maximum thicknesses of over 50 m and a mean thickness of 30-40 m. The insights gained from the modeling approach thereby improved the fine-tuning of the GPR analysis.</t>
  </si>
  <si>
    <t>[Hartl, Lea; Fischer, Andrea] Austrian Acad Sci, Inst Interdisciplinary Mt Res, Tech Str 21a, A-6020 Innsbruck, Austria; [Hartl, Lea; Kluge, Christoph] Univ Innsbruck, Inst Geog, Innrain 52f, A-6020 Innsbruck, Austria; [Nicholson, Lindsey] Univ Innsbruck, Inst Atmospher &amp; Cryospher Sci, Innrain 52f, A-6020 Innsbruck, Austria; [Nicholson, Lindsey] Univ Innsbruck, Inst Meteorol &amp; Geophys, A-6020 Innsbruck, Austria</t>
  </si>
  <si>
    <t>Austrian Academy of Sciences; University of Innsbruck; University of Innsbruck; University of Innsbruck</t>
  </si>
  <si>
    <t>Hartl, L (corresponding author), Austrian Acad Sci, Inst Interdisciplinary Mt Res, Tech Str 21a, A-6020 Innsbruck, Austria.;Hartl, L (corresponding author), Univ Innsbruck, Inst Geog, Innrain 52f, A-6020 Innsbruck, Austria.</t>
  </si>
  <si>
    <t>Lea.Hartl@student.uibk.ac.at</t>
  </si>
  <si>
    <t>Hartl, Lea/E-7364-2015; Klug, Christoph/HPG-0406-2023; Klug, Christoph/AGH-3546-2022; Hartl, Lea/AAM-4590-2020; Fischer, Andrea/A-9366-2012</t>
  </si>
  <si>
    <t>Hartl, Lea/0000-0001-5688-3760; Klug, Christoph/0000-0001-9097-1203; Klug, Christoph/0000-0001-9097-1203; Nicholson, Lindsey/0000-0003-0430-7950; Fischer, Andrea/0000-0003-1291-8524</t>
  </si>
  <si>
    <t>Austrian Climate and Energy Funds (C4AUSTRIA project) [ACRP-A963633]; University of Innsbruck,Vice Rectorate for Research; Alpine Forschungsstelle Obergurgl (AFO); Austrian Science Fund (FWF) [V 309] Funding Source: researchfish</t>
  </si>
  <si>
    <t>Austrian Climate and Energy Funds (C4AUSTRIA project); University of Innsbruck,Vice Rectorate for Research; Alpine Forschungsstelle Obergurgl (AFO); Austrian Science Fund (FWF)(Austrian Science Fund (FWF))</t>
  </si>
  <si>
    <t>We thank the many people who helped in the field during all measurement campaigns. Special thanks go to Heralt Schneider, Martin Stocker-Waldhuber, Jakob Abermann, and Norbert Span, who were responsible for the velocity measurements and the first GPR campaign, and to Karl Krainer who provided the GPR system. We thank the Austrian Climate and Energy Funds (C4AUSTRIA project, ACRP-A963633), and alpS (MUSICALS project) for supplying the remote sensing data.; This work was supported with a research grant by the University of Innsbruck,Vice Rectorate for Research. We also thank the Alpine Forschungsstelle Obergurgl (AFO) for their support.</t>
  </si>
  <si>
    <t>10.1657/AAAR0014-081</t>
  </si>
  <si>
    <t>WOS:000376226700011</t>
  </si>
  <si>
    <t>Burton, DJ; Dowdeswell, JA; Hogan, KA; Noormets, R</t>
  </si>
  <si>
    <t>Burton, David J.; Dowdeswell, Julian A.; Hogan, Kelly A.; Noormets, Riko</t>
  </si>
  <si>
    <t>Marginal fluctuations of a Svalbard surge-type tidewater glacier, Blomstrandbreen, since the Little Ice Age: a record of three surges</t>
  </si>
  <si>
    <t>SUBMARINE LANDFORMS; MASS-BALANCE; SPITSBERGEN; DYNAMICS; RATES; SEDIMENTATION; KONGSFJORDEN; MORPHOLOGY; FREQUENCY; MORAINES</t>
  </si>
  <si>
    <t>Previous advances and retreats of Blomstrandbreen within the cold period known as the Little Ice Age, between approximately 1400 and 1920, are relatively well documented. The seafloor characteristics associated with these glacier fluctuations, and their importance for the identification of similar surge-type tidewater glaciers, are discussed. We use detailed multibeam-bathymetric data acquired within Nordvagen, the marine area offshore of Blomstrandbreen, to provide a new understanding of the style and pattern of deglaciation around Blomstrandhalvoya since Blomstrandbreen's neoglacial maximum. Glacial landforms on the seafloor of Nordvagen comprise overridden moraines, glacial lineations, terminal moraines, and annual recessional moraines. Crevasse-fill ridges, which are often regarded as a characteristic landform of surging tidewater glaciers, are present on only restricted areas of Nordvagen. Significantly, this study shows that large terminal surge moraines and numerous crevasse-fill ridges may not always be well developed in association with glacier surges, with implications for the identification of surges in the geological record. Using historical observations, aerial photographs, and satellite imagery of Blomstrandbreen, we have correlated former ice-marginal positions with mapped submarine landforms. Three surge events occurred during a pattern of overall retreat, with a spacing of about 50 years between active advance phases; this represents a relatively short quiescent phase for Svalbard glaciers.Average retreat rates of 10-50 m yr(-1) are typical of the quiescent phase of the surge cycle, whereas surge advances vary from 200 m to over 725 m.</t>
  </si>
  <si>
    <t>[Burton, David J.; Dowdeswell, Julian A.] Univ Cambridge, Scott Polar Res Inst, Cambridge CB2 1ER, England; [Hogan, Kelly A.] British Antarctic Survey, Madingley Rd, Cambridge CB3 0ET, England; [Noormets, Riko] Univ Ctr Svalbard, N-9171 Longyearbyen, Norway</t>
  </si>
  <si>
    <t>University of Cambridge; UK Research &amp; Innovation (UKRI); Natural Environment Research Council (NERC); NERC British Antarctic Survey; University Centre Svalbard (UNIS)</t>
  </si>
  <si>
    <t>Burton, DJ (corresponding author), Univ Cambridge, Scott Polar Res Inst, Cambridge CB2 1ER, England.</t>
  </si>
  <si>
    <t>dave.b123@hotmail.com</t>
  </si>
  <si>
    <t>Dowdeswell, Julian/0000-0003-1369-9482; Noormets, Riko/0000-0002-2832-386X</t>
  </si>
  <si>
    <t>NERC [bas0100030] Funding Source: UKRI; Natural Environment Research Council [bas0100030] Funding Source: researchfish</t>
  </si>
  <si>
    <t>10.1657/AAAR0014-094</t>
  </si>
  <si>
    <t>Green Submitted, Green Published, Bronze</t>
  </si>
  <si>
    <t>WOS:000376226700013</t>
  </si>
  <si>
    <t>Pyatt, JC; Tomback, DF; Blakeslee, SC; Wunder, MB; Resler, LM; Boggs, LA; Bevency, HD</t>
  </si>
  <si>
    <t>Pyatt, Jill C.; Tomback, Diana F.; Blakeslee, Sarah C.; Wunder, Michael B.; Resler, Lynn M.; Boggs, Liana A.; Bevency, Holly D.</t>
  </si>
  <si>
    <t>The importance of conifers for facilitation at treeline: comparing biophysical characteristics of leeward microsites in whitebark pine communities</t>
  </si>
  <si>
    <t>GLACIER NATIONAL-PARK; NORTHERN ROCKY-MOUNTAINS; ALPINE-TREELINE; BLISTER RUST; POSITIVE FEEDBACK; CLARK NUTCRACKER; SOIL-TEMPERATURE; WOODY-PLANTS; HERB COVER; ESTABLISHMENT</t>
  </si>
  <si>
    <t>In many of the alpine-treeline ecotones (ATE) of the Rocky Mountains, Pinus albicaulis (whitebark pine) is the most common conifer initiating tree islands through facilitation. We examined whether microsites leeward of P albicaulis experience more moderate microclimate, less sky exposure, and more total soil carbon and nitrogen than other common types of leeward microsites. From July to September 2010, 2011, and 2012, in two study areas on the eastern Rocky Mountain Front, we compared microclimate, sky exposure, and total soil carbon and nitrogen leeward of four common microsites, P albicaulis, Picea engelmannii (Engelmann spruce), rock, and unprotected (exposed). Microsites leeward of P albicaulis did not consistently experience the most moderate microclimate, but both P albicaulis and P engelmannii leeward microsites had lower daily photosynthetically active radiation (PAR), lower average wind speeds, lower soil temperature maxima, and higher soil temperature minima. In general, conifer microsites had significantly lower values for sky exposure; but, the performance of each microsite type varied from micro to study-area scales. Our results highlight the importance of conifers as nurse objects for facilitating treeline community development in the ATE, and especially P albicaulis because of its high abundance. High losses of P albicaulis from infection by Cronartium ribicola may alter community dynamics and treeline response to climate warming.</t>
  </si>
  <si>
    <t>[Pyatt, Jill C.; Tomback, Diana F.; Blakeslee, Sarah C.; Wunder, Michael B.; Boggs, Liana A.; Bevency, Holly D.] Univ Colorado, Dept Integrat Biol, CB 171,POB 173364, Denver, CO 80217 USA; [Resler, Lynn M.] Virginia Tech, Dept Geog, 115 Major Williams Hall 0115,220 Stanger St, Blacksburg, VA 24061 USA</t>
  </si>
  <si>
    <t>University of Colorado System; University of Colorado Denver; Virginia Polytechnic Institute &amp; State University</t>
  </si>
  <si>
    <t>Tomback, DF (corresponding author), Univ Colorado, Dept Integrat Biol, CB 171,POB 173364, Denver, CO 80217 USA.</t>
  </si>
  <si>
    <t>Diana.Tomback@ucdenver.edu</t>
  </si>
  <si>
    <t>Charles Bullard Harvard Forest Fellowship; National Science Foundation [0850548]; Division Of Behavioral and Cognitive Sci; Direct For Social, Behav &amp; Economic Scie [0850548] Funding Source: National Science Foundation</t>
  </si>
  <si>
    <t>Charles Bullard Harvard Forest Fellowship; National Science Foundation(National Science Foundation (NSF)); Division Of Behavioral and Cognitive Sci; Direct For Social, Behav &amp; Economic Scie(National Science Foundation (NSF)NSF - Directorate for Social, Behavioral &amp; Economic Sciences (SBE))</t>
  </si>
  <si>
    <t>We are grateful to Tara Carolin of Glacier National Park, Mark Magee of the Blackfeet Nation Land Office, Kent Houston of Shoshone National Forest, and Sam Foster of the USDA Forest Service Rocky Mountain Research Station for permits and for coordinating our research. We thank Libby Pansing, Soledad Diaz, and Aaron Wagner for assistance in the field, Emily Smith-McKenna for advice and information, and Charles Kwit for constructive suggestions. The Department of Integrative Biology, University of Colorado Denver, provided greenhouse space for testing weather station equipment. DFT prepared the manuscript while supported by a Charles Bullard Harvard Forest Fellowship.We are grateful to David Orwig and George Malanson for helpful comments on a previous draft of the manuscript. This study was supported by National Science Foundation grant 0850548 to Resler, Tomback, and G. P. Malanson. None of the authors has a conflict of interest to declare.</t>
  </si>
  <si>
    <t>10.1657/AAAR0015-055</t>
  </si>
  <si>
    <t>WOS:000376226700014</t>
  </si>
  <si>
    <t>Shaw, JLA; Clarke, LJ; Wedderburn, SD; Barnes, TC; Weyrich, LS; Cooper, A</t>
  </si>
  <si>
    <t>Shaw, Jennifer L. A.; Clarke, Laurence J.; Wedderburn, Scotte D.; Barnes, Thomas C.; Weyrich, Laura S.; Cooper, Alan</t>
  </si>
  <si>
    <t>Comparison of environmental DNA metabarcoding and conventional fish survey methods in a river system</t>
  </si>
  <si>
    <t>BIOLOGICAL CONSERVATION</t>
  </si>
  <si>
    <t>Freshwater; River Murray; eDNA; NGS; Aquatic; Biomonitoring</t>
  </si>
  <si>
    <t>MURRAY-DARLING BASIN; FRESH-WATER FISH; CONSERVATION; DROUGHT; DIET; BIAS</t>
  </si>
  <si>
    <t>Regular biological surveys are essential for informed management of freshwater ecosystems. However, current morphology-based biodiversity surveys can be invasive, time-consuming, and financially expensive. Recently, environmental DNA (eDNA) sequencing has been suggested as an alternative non-invasive, time- and cost-effective biological survey tool. However, eDNA sequencing tools require experimental validation in natural ecosystems before confidence in their use can be assumed. In this study, we compare fish community data obtained via eDNA metabarcoding to that of conventional fyke netting within two complex and drought-prone river systems. We also compare different eDNA sampling strategies and genetic markers for detecting rare and threatened fish species. We were able to detect 100% of the fyke net caught-species from eDNA when appropriate sampling strategies were used, including threatened and invasive species. Specifically, we found that two 1 L water samples per site were insufficient for detecting less abundant taxa; however, five 1 L samples per site enabled a 100% detection rate. Further, sampling eDNA from the water column appeared to be more effective for detecting fish communities than eDNA from sediments. However, on a per site basis, community discrepancies existed between the two methods, highlighting the benefits and limitations of both approaches. We demonstrate that careful interpretation of eDNA data is crucial as bioinformatic identification of sequences, without logical inference or local knowledge, can lead to erroneous conclusions. We discuss these discrepancies and provide recommendations for fish eDNA metabarcoding surveys. (C) 2016 Elsevier Ltd. All rights reserved.</t>
  </si>
  <si>
    <t>[Shaw, Jennifer L. A.; Clarke, Laurence J.; Weyrich, Laura S.; Cooper, Alan] Univ Adelaide, Sch Biol Sci, Australian Ctr Ancient DNA, Adelaide, SA 5000, Australia; [Wedderburn, Scotte D.; Barnes, Thomas C.] Univ Adelaide, Sch Biol Sci, Adelaide, SA 5000, Australia; [Clarke, Laurence J.] Australian Antarctic Div, Channel Highway, Kingston, Tas 7050, Australia; [Clarke, Laurence J.] Univ Tasmania, Antarctic Climate &amp; Ecosyst Cooperat Res Ctr, Hobart, Tas 7001, Australia; [Shaw, Jennifer L. A.] Commonwealth Sci &amp; Ind Res Org, Land &amp; Water Flagship, Waite Rd, Adelaide, SA 5064, Australia</t>
  </si>
  <si>
    <t>University of Adelaide; University of Adelaide; Australian Antarctic Division; Antarctic Climate &amp; Ecosystems Cooperative Research Centre (ACE CRC); University of Tasmania; Commonwealth Scientific &amp; Industrial Research Organisation (CSIRO)</t>
  </si>
  <si>
    <t>Shaw, JLA (corresponding author), CSIRO, Prescott Bldg,Waite Rd, Urrbrae, SA 5064, Australia.</t>
  </si>
  <si>
    <t>jennifer.shaw@csiro.au</t>
  </si>
  <si>
    <t>Cooper, Alan/E-8171-2012; Shaw, Jennifer L. A./H-1482-2016; Clarke, Laurence/N-3579-2017</t>
  </si>
  <si>
    <t>Clarke, Laurence/0000-0002-0844-4453; Shaw, Jennifer/0000-0002-4220-9748; Cooper, Alan/0000-0002-7738-7851; Weyrich, Laura/0000-0001-5243-4634</t>
  </si>
  <si>
    <t>Murray-Darling Basin Authority's the Living Murray Initiative; Australian Research Council (ARC) [LP0991985]; Australian Research Council [LP0991985] Funding Source: Australian Research Council</t>
  </si>
  <si>
    <t>Murray-Darling Basin Authority's the Living Murray Initiative; Australian Research Council (ARC)(Australian Research Council); Australian Research Council(Australian Research Council)</t>
  </si>
  <si>
    <t>The LRMW fyke net sampling was funded by The Murray-Darling Basin Authority's the Living Murray Initiative, and was managed by Adrienne Rumbelow from the Department of Environment, Water and Natural Resources (DEWNR), South Australia. The fyke net sampling was conducted in accordance with South Australia's Fisheries Management Act 2007 (exemption no. 9902595 and 9902676) and The University of Adelaide's Animal Ethics Policy (approval no. S-2012-167). We would like to thank Douglas Green from DEWNR for providing the fyke net data for the six NPR sites. The eDNA aspect of this project was financially supported by the Australian Research Council (ARC) linkage grant LP0991985.</t>
  </si>
  <si>
    <t>0006-3207</t>
  </si>
  <si>
    <t>1873-2917</t>
  </si>
  <si>
    <t>BIOL CONSERV</t>
  </si>
  <si>
    <t>Biol. Conserv.</t>
  </si>
  <si>
    <t>10.1016/j.biocon.2016.03.010</t>
  </si>
  <si>
    <t>DN1AS</t>
  </si>
  <si>
    <t>WOS:000376798800017</t>
  </si>
  <si>
    <t>Jochumsen, K; Schnurr, SM; Quadfasel, D</t>
  </si>
  <si>
    <t>Jochumsen, Kerstin; Schnurr, Sarah M.; Quadfasel, Detlef</t>
  </si>
  <si>
    <t>Bottom temperature and salinity distribution and its variability around Iceland</t>
  </si>
  <si>
    <t>DEEP-SEA RESEARCH PART I-OCEANOGRAPHIC RESEARCH PAPERS</t>
  </si>
  <si>
    <t>Average hydrographic conditions near Iceland; Hydrographic variability; Seasonal cycle; Species distribution modelling</t>
  </si>
  <si>
    <t>CLIMATE-CHANGE; NORTH; OVERFLOW; DIVERSITY; SEAS</t>
  </si>
  <si>
    <t>The barrier formed by the Greenland-Scotland-Ridge (GSR) shapes the oceanic conditions in the region around Iceland. Deep water cannot be exchanged across the ridge, and only limited water mass exchange in intermediate layers is possible through deep channels, where the flow is directed southwestward (the Nordic Overflows). As a result, the near-bottom water masses in the deep basins of the northern North Atlantic and the Nordic Seas hold major temperature differences. Here, we use near-bottom measurements of about 88,000 CTD (conductivity-temperature-depth) and bottle profiles, collected in the period 1900-2008, to investigate the distribution of near-bottom properties. Data are gridded into regular boxes of about 11 km size and interpolated following isobaths. We derive average spatial temperature and salinity distributions in the region around Iceland, showing the influence of the GSR on the near-bottom hydrography. The spatial distribution of standard deviation is used to identify local variability, which is enhanced near water mass fronts. Finally, property changes within the period 1975-2008 are presented using time series analysis techniques for a collection of grid boxes with sufficient data resolution. Seasonal variability, as well as long term trends are discussed for different bottom depth classes, representing varying water masses. The seasonal cycle is most pronounced in temperature and decreases with depth (mean amplitudes of 2.2 degrees C in the near surface layers vs. 0.2 degrees C at depths &gt;500 m), while linear trends are evident in both temperature and salinity (maxima in shallow waters of +033 degrees C/decade for temperature and +0.03/decade for salinity). (C) 2016 Elsevier Ltd. All rights reserved.</t>
  </si>
  <si>
    <t>[Jochumsen, Kerstin; Quadfasel, Detlef] Univ Hamburg, Inst Meereskunde, Bundesstr 53, D-20146 Hamburg, Germany; [Schnurr, Sarah M.] Bioctr Grindel, German Ctr Marine Biodivers Res DZMB, Senckenberg Meer, Martin Luther King Pl 3, D-20146 Hamburg, Germany</t>
  </si>
  <si>
    <t>University of Hamburg; University of Hamburg; Senckenberg Gesellschaft fur Naturforschung (SGN)</t>
  </si>
  <si>
    <t>Jochumsen, K (corresponding author), Univ Hamburg, Inst Meereskunde, Bundesstr 53, D-20146 Hamburg, Germany.</t>
  </si>
  <si>
    <t>kerstin.jochumsen@uni-hamburg.de</t>
  </si>
  <si>
    <t>European Union 7th Framework Programme (FP7) [308299]; German Science Foundation (DFG) [3843/4-1]; Census of the Diversity of Abyssal Marine Life (CeDAMar)</t>
  </si>
  <si>
    <t>European Union 7th Framework Programme (FP7)(European Union (EU)); German Science Foundation (DFG)(German Research Foundation (DFG)); Census of the Diversity of Abyssal Marine Life (CeDAMar)</t>
  </si>
  <si>
    <t>We thank the many ship crews, scientists, and technicians without whom the data would not have been collected. The hydrographic data were provided by The Marine Research Institute, Iceland; Institute of Marine Research, Norway; the Faroe Marine Research Institute; the Arctic and Antarctic Research Institute, Russia, and Geophysical Institute, University of Bergen, Norway, through the NISE project. The research leading to these results has received funding from the European Union 7th Framework Programme (FP7 2007-2013) under Grant agreement no. 308299 (NACLIM project). Furthermore, financial support was provided by the German Science Foundation (DFG) under Contract 3843/4-1 and by the Census of the Diversity of Abyssal Marine Life (CeDAMar). ETOPO2v2 is a global gridded 2-minute database, provided by the National Geophysical Data Center, National Oceanic and Atmospheric Administration, U.S. Department of Commerce on http://www.ngdc.noaa.gov/mgg/global/etopo2.html. NAO Index Data is provided by the Climate Analysis Section, NCAR, Boulder, USA (Hurrell, 1995). Finally, we thank five anonymous reviewers for improving the clarity of the paper.</t>
  </si>
  <si>
    <t>0967-0637</t>
  </si>
  <si>
    <t>1879-0119</t>
  </si>
  <si>
    <t>DEEP-SEA RES PT I</t>
  </si>
  <si>
    <t>Deep-Sea Res. Part I-Oceanogr. Res. Pap.</t>
  </si>
  <si>
    <t>10.1016/j.dsr.2016.02.009</t>
  </si>
  <si>
    <t>DK8FB</t>
  </si>
  <si>
    <t>hybrid, Green Published</t>
  </si>
  <si>
    <t>WOS:000375161500009</t>
  </si>
  <si>
    <t>Rembauville, M; Meilland, J; Ziveri, P; Schiebel, R; Blain, S; Salter, I</t>
  </si>
  <si>
    <t>Rembauville, M.; Meilland, J.; Ziveri, P.; Schiebel, R.; Blain, S.; Salter, I.</t>
  </si>
  <si>
    <t>Planktic foraminifer and coccolith contribution to carbonate export fluxes over the central Kerguelen Plateau</t>
  </si>
  <si>
    <t>Foraminifer; Coccoliths; Export; Carbonate counter-pump; Kerguelen Plateau; Southern Ocean</t>
  </si>
  <si>
    <t>NATURAL IRON-FERTILIZATION; LARGE-SCALE CIRCULATION; SOUTHERN-OCEAN; SHELL-WEIGHT; PHYTOPLANKTON BLOOM; EMILIANIA-HUXLEYI; ATMOSPHERIC CO2; DISSOLVED IRON; CALCIFICATION; GROWTH</t>
  </si>
  <si>
    <t>We report the contribution of planktic foraminifers and coccoliths to the particulate inorganic carbon (PIC) export fluxes collected over an annual cycle (October 2011/September 2012) on the central Kerguelen Plateau in the Antarctic Zone (AAZ) south of the Polar Front (PF). The seasonality of PIC flux was decoupled from surface chlorophyll a concentration and particulate organic carbon (POC) fluxes and was characterized by a late summer (February) maximum. This peak was concomitant with the highest satellite-derived sea surface PIC and corresponded to a Emiliania huxleyi coccoliths export event that accounted for 85% of the annual PIC export. The foraminifer contribution to the annual PIC flux was much lower (15%) and dominated by Turborotalita quinqueloba and Neogloboquadrina pachyderma. Foraminifer export fluxes were closely related to the surface chlorophyll a concentration, suggesting food availability as an important factor regulating the foraminifer's biomass. We compared size-normalized test weight (SNW) of the foraminifers with previously published SNW from the Crozet Islands using the same methodology and found no significant difference in SNW between sites for a given species. However, the SNW was significantly species-specific with a threefold increase from T quinqueloba to Globigerina bulloides. The annual PIC:POC molar ratio of 0.07 was close to the mean ratio for the global ocean and lead to a low carbonate counter pump effect (similar to 5%) compared to a previous study north of the PF (6-32%). We suggest that lowers counter pump effect south of the PF despite similar productivity levels is due to a dominance of coccoliths in the PIC fluxes and a difference in the foraminifers species assemblage with a predominance of polar species with lower SNW. (C) 2016 Elsevier Ltd. All rights reserved.</t>
  </si>
  <si>
    <t>[Rembauville, M.; Blain, S.; Salter, I.] Univ Paris 06, Sorbonne Univ, CNRS, Observ Oceanol,Lab Oceanog Microbienne LOMIC, F-66650 Banyuls Sur Mer, France; [Meilland, J.; Schiebel, R.] Univ Angers, UMR CNRS 6112, LPG BIAF Bioindicateurs Actuels &amp; Fossiles, 2 Blvd Lavoisier, F-49045 Angers, France; [Ziveri, P.] Univ Autonoma Barcelona, ICREA ICTA, Edifici Z,Carrer de les Columnes S-N, E-08193 Barcelona, Spain; [Ziveri, P.] ICREA, Catalan Inst Res &amp; Adv Studies, Barcelona 08010, Spain; [Schiebel, R.] Max Planck Inst Chem, Hahn Meitner Weg 1, D-55128 Mainz, Germany; [Salter, I.] Helmholtz Ctr Polar &amp; Marine Res, Alfred Wegener Inst, Handelshafen 12, D-27570 Bremerhaven, Germany</t>
  </si>
  <si>
    <t>Sorbonne Universite; Centre National de la Recherche Scientifique (CNRS); Universite d'Angers; Centre National de la Recherche Scientifique (CNRS); Autonomous University of Barcelona; ICREA; ICREA; Max Planck Society; Helmholtz Association; Alfred Wegener Institute, Helmholtz Centre for Polar &amp; Marine Research</t>
  </si>
  <si>
    <t>Rembauville, M (corresponding author), Univ Paris 06, Sorbonne Univ, CNRS, Observ Oceanol,Lab Oceanog Microbienne LOMIC, F-66650 Banyuls Sur Mer, France.</t>
  </si>
  <si>
    <t>rembauville@obs-banyuls.fr</t>
  </si>
  <si>
    <t>Ziveri, Patrizia/I-3856-2015; Meilland, Julie/AAE-9031-2021; blain, stephane/F-6917-2010</t>
  </si>
  <si>
    <t>Ziveri, Patrizia/0000-0002-5576-0301; Meilland, Julie/0000-0001-8966-3115; Salter, Ian/0000-0002-4513-0314; Schiebel, Ralf/0000-0002-6252-7647; blain, stephane/0000-0002-5234-2446</t>
  </si>
  <si>
    <t>French research programme of INSU-CNRS LEFE-CYBER (Les enveloppes fluides et l'environnement - Cycles biogeochimiques, environnement et ressources); French ANR (Agence Nationale de la Recherche, SIMI-6 programme) [ANR-10-BLAN-0614]; Institute Polaire Paul Emile Victor (IPEV); Unidades de Excelencia Maria de Maeztu (MinECo) [MDM2015-0552]; [CGL2009-10806]; Agence Nationale de la Recherche (ANR) [ANR-10-BLAN-0614] Funding Source: Agence Nationale de la Recherche (ANR); ICREA Funding Source: Custom</t>
  </si>
  <si>
    <t>French research programme of INSU-CNRS LEFE-CYBER (Les enveloppes fluides et l'environnement - Cycles biogeochimiques, environnement et ressources); French ANR (Agence Nationale de la Recherche, SIMI-6 programme)(Agence Nationale de la Recherche (ANR)); Institute Polaire Paul Emile Victor (IPEV); Unidades de Excelencia Maria de Maeztu (MinECo); ; Agence Nationale de la Recherche (ANR)(Agence Nationale de la Recherche (ANR)); ICREA(ICREA)</t>
  </si>
  <si>
    <t>We thank Nathalie Leblond for the ICP-OES analyses. The authors are grateful to Michael Grelaud and Ignacio Villarroya for kind assistance during fine fraction elemental analyses. We thank two anonymous reviewers for their useful comments. This work was supported by the French research programme of INSU-CNRS LEFE-CYBER (Les enveloppes fluides et l'environnement - Cycles biogeochimiques, environnement et ressources), the French ANR (Agence Nationale de la Recherche, SIMI-6 programme, ANR-10-BLAN-0614) and the Institute Polaire Paul Emile Victor (IPEV). P. Ziveri was funded through the Projects CGL2009-10806 and Unidades de Excelencia Maria de Maeztu 2015 (MDM2015-0552) (MinECo).</t>
  </si>
  <si>
    <t>10.1016/j.dsr.2016.02.017</t>
  </si>
  <si>
    <t>WOS:000375161500010</t>
  </si>
  <si>
    <t>Tyrrell, T; Cripps, G; Richier, S; Moore, CM; Tarling, GA; Thorpe, S; Leakey, RJG</t>
  </si>
  <si>
    <t>Tyrrell, Toby; Cripps, Gemma; Richier, Sophie; Moore, C. Mark; Tarling, Geraint A.; Thorpe, Sally; Leakey, Raymond J. G.</t>
  </si>
  <si>
    <t>Preface to special issue (Impacts of surface ocean acidification in polar seas and globally: A field-based approach)</t>
  </si>
  <si>
    <t>DEEP-SEA RESEARCH PART II-TOPICAL STUDIES IN OCEANOGRAPHY</t>
  </si>
  <si>
    <t>ANTARCTIC CIRCUMPOLAR CURRENT; CHEMISTRY; RESPONSES; CO2</t>
  </si>
  <si>
    <t>[Tyrrell, Toby; Cripps, Gemma; Richier, Sophie; Moore, C. Mark] Univ Southampton, Natl Oceanog Ctr Southampton, Ocean &amp; Earth Sci, Southampton SO14 3ZH, Hants, England; [Tarling, Geraint A.; Thorpe, Sally] British Antarctic Survey, Nat Environm Res Council, Madingley Rd, Cambridge CB3 0ET, England; [Leakey, Raymond J. G.] Scottish Assoc Marine Sci, Dunstaffnage Marine Lab, Oban PA37 1QA, Argyll, Scotland</t>
  </si>
  <si>
    <t>University of Southampton; NERC National Oceanography Centre; UK Research &amp; Innovation (UKRI); Natural Environment Research Council (NERC); NERC British Antarctic Survey; UHI Millennium Institute</t>
  </si>
  <si>
    <t>Tyrrell, T (corresponding author), Univ Southampton, Natl Oceanog Ctr Southampton, Ocean &amp; Earth Sci, Southampton SO14 3ZH, Hants, England.</t>
  </si>
  <si>
    <t>Thorpe, Sally/0000-0002-5193-6955; Moore, Mark/0000-0002-9541-6046</t>
  </si>
  <si>
    <t>Natural Environment Research Council [NE/H016988/1, bas0100035] Funding Source: researchfish; NERC [NE/H016988/1, bas0100035] Funding Source: UKRI</t>
  </si>
  <si>
    <t>0967-0645</t>
  </si>
  <si>
    <t>1879-0100</t>
  </si>
  <si>
    <t>DEEP-SEA RES PT II</t>
  </si>
  <si>
    <t>Deep-Sea Res. Part II-Top. Stud. Oceanogr.</t>
  </si>
  <si>
    <t>10.1016/j.dsr2.2016.02.009</t>
  </si>
  <si>
    <t>DM7MU</t>
  </si>
  <si>
    <t>WOS:000376545500001</t>
  </si>
  <si>
    <t>Tynan, E; Clarke, JS; Humphreys, MP; Ribas-Ribas, M; Esposito, M; Rérolle, VMC; Schlosser, C; Thorpe, SE; Tyrrell, T; Achterberg, EP</t>
  </si>
  <si>
    <t>Tynan, Eithne; Clarke, Jennifer S.; Humphreys, Matthew P.; Ribas-Ribas, Mariana; Esposito, Mario; Rerolle, Victoire M. C.; Schlosser, C.; Thorpe, Sally E.; Tyrrell, Toby; Achterberg, Eric P.</t>
  </si>
  <si>
    <t>Physical and biogeochemical controls on the variability in surface pH and calcium carbonate saturation states in the Atlantic sectors of the Arctic and Southern Oceans</t>
  </si>
  <si>
    <t>Carbonate system; Ocean acidification; Arctic Ocean; Southern Ocean; Biogeochemistry</t>
  </si>
  <si>
    <t>DISSOLVED INORGANIC CARBON; SEA-ICE EXTENT; NORTHEAST WATER POLYNYA; EAST GREENLAND CURRENT; DISSOCIATION-CONSTANTS; NORDIC SEAS; PHYTOPLANKTON BLOOMS; IRON AVAILABILITY; MARINE CALCIFIERS; FRAM STRAIT</t>
  </si>
  <si>
    <t>Polar oceans are particularly vulnerable to ocean acidification due to their low temperatures and reduced buffering capacity, and are expected to experience extensive low pH conditions and reduced carbonate mineral saturations states (Omega) in the near future. However, the impact of anthropogenic CO2 on pH and Omega will vary regionally between and across the Arctic and Southern Oceans. Here we investigate the carbonate chemistry in the Atlantic sector of two polar oceans, the Nordic Seas and Barents Sea in the Arctic Ocean, and the Scotia and Weddell Seas in the Southern Ocean, to determine the physical and biogeochemical processes that control surface pH and Omega. High-resolution observations showed large gradients in surface pH (0.10-0.30) and aragonite saturation state (Omega(ar)) (0.2-1.0) over small spatial scales, and these were particularly strong in sea-ice covered areas (up to 0.45 in pH and 2.0 in Omega(ar)). In the Arctic, sea-ice melt facilitated bloom initiation in light-limited and iron replete (dFe &gt; 0.2 nM) regions, such as the Fram Strait, resulting in high pH (8.45) and Omega(ar) (3.0) along the sea-ice edge. In contrast, accumulation of dissolved inorganic carbon derived from organic carbon mineralisation under the ice resulted in low pH (8.05) and Omega(ar) (1.1) in areas where thick ice persisted. In the Southern Ocean, sea-ice retreat resulted in bloom formation only where terrestrial inputs supplied sufficient iron (dFe &gt; 0.2 nM), such as in the vicinity of the South Sandwich Islands where enhanced pH (83) and Omega(ar) (2.3) were primarily due to biological production. In contrast, in the adjacent Weddell Sea, weak biological uptake of CO2 due to low iron concentrations (dFe &lt; 0.2 nM) resulted in low pH (8.1) and Omega(ar) (1.6). The large spatial variability in both polar oceans highlights the need for spatially resolved surface data of carbonate chemistry variables but also nutrients (including iron) in order to accurately elucidate the large gradients experienced by marine organisms and to understand their response to increased CO2 in the future. (C) 2016 The Authors. Published by Elsevier Ltd. This is an open access article under the CC BY license .</t>
  </si>
  <si>
    <t>[Tynan, Eithne; Clarke, Jennifer S.; Humphreys, Matthew P.; Ribas-Ribas, Mariana; Esposito, Mario; Rerolle, Victoire M. C.; Schlosser, C.; Tyrrell, Toby; Achterberg, Eric P.] Univ Southampton, Natl Oceanog Ctr Southampton, Ocean &amp; Earth Sci, Southampton SO14 3ZH, Hants, England; [Ribas-Ribas, Mariana] Carl von Ossietzky Univ Oldenburg, Inst Chem &amp; Biol Marine Environm, D-26382 Wilhelmshaven, Germany; [Rerolle, Victoire M. C.] Univ Paris 06, Sorbonne Univ, CNRS, IRD,MNHN,LOCEAN Lab, F-75005 Paris, France; [Schlosser, C.; Achterberg, Eric P.] GEOMAR Helmholtz Ctr Ocean Res Kiel, D-24148 Kiel, Germany; [Thorpe, Sally E.] British Antarctic Survey, Nat Environm Res Council, Madingley Rd, Cambridge CB3 0ET, England</t>
  </si>
  <si>
    <t>University of Southampton; NERC National Oceanography Centre; Carl von Ossietzky Universitat Oldenburg; Museum National d'Histoire Naturelle (MNHN); Centre National de la Recherche Scientifique (CNRS); Institut de Recherche pour le Developpement (IRD); Sorbonne Universite; Helmholtz Association; GEOMAR Helmholtz Center for Ocean Research Kiel; UK Research &amp; Innovation (UKRI); Natural Environment Research Council (NERC); NERC British Antarctic Survey</t>
  </si>
  <si>
    <t>Tynan, E (corresponding author), Univ Southampton, Natl Oceanog Ctr Southampton, Ocean &amp; Earth Sci, Southampton SO14 3ZH, Hants, England.</t>
  </si>
  <si>
    <t>eithne.tynan@gmail.com</t>
  </si>
  <si>
    <t>Humphreys, Matthew P./A-8939-2015; Achterberg, Eric P/C-5820-2009; Ribas-Ribas, Mariana/L-3501-2013</t>
  </si>
  <si>
    <t>Humphreys, Matthew P./0000-0002-9371-7128; Clarke, Jennifer/0000-0002-3408-4666; Ribas-Ribas, Mariana/0000-0003-3318-5462; Tynan, Eithne/0000-0002-3449-5334; Thorpe, Sally/0000-0002-5193-6955</t>
  </si>
  <si>
    <t>UK Natural Environment Research Council (NERC); UK Department of Environment, Food and Rural Affairs (DEFRA); UK Department of Energy and Climate Change (DECC) via UK Ocean Acidification Research Programme [NE/H017348/1]; UK Department of Energy and Climate Change (DECC) via UK Carbonate Chemistry Facility [NE/H025839/1]; Cnes; Natural Environment Research Council [NE/H017348/1, NE/J008354/1, 1239684, NE/K002546/1, NE/H025839/1, 1131783, bas0100035] Funding Source: researchfish; NERC [NE/H025839/1, NE/H017348/1, bas0100035, NE/J008354/1, NE/K002546/1] Funding Source: UKRI</t>
  </si>
  <si>
    <t>UK Natural Environment Research Council (NERC)(UK Research &amp; Innovation (UKRI)Natural Environment Research Council (NERC)); UK Department of Environment, Food and Rural Affairs (DEFRA)(Department for Environment, Food &amp; Rural Affairs (DEFRA)); UK Department of Energy and Climate Change (DECC) via UK Ocean Acidification Research Programme; UK Department of Energy and Climate Change (DECC) via UK Carbonate Chemistry Facility; Cnes(Centre National D'etudes Spatiales); Natural Environment Research Council(UK Research &amp; Innovation (UKRI)Natural Environment Research Council (NERC)); NERC(UK Research &amp; Innovation (UKRI)Natural Environment Research Council (NERC))</t>
  </si>
  <si>
    <t>We strongly appreciate the support by the staff involved in the UKOA cruises: the Masters Graham Chapman and Jerry Burgan, officers and crew of the RRS James Clark Ross the scientists and technical support staff, particularly Gianna Battaglia and Maxi Castrillejo Iridoy for the iron measurements; the staff of the British Antarctic Survey, Cambridge, National Marine Facilities, Southampton, and the Scottish Association for Marine Science, Oban. We are grateful to the Danish, Icelandic and Norwegian diplomatic authorities for granting permission to travel and work in Greenland, Iceland and Svalbard coastal and offshore waters during the Arctic cruise. We would like to thank the UK Natural Environment Research Council (NERC), the UK Department of Environment, Food and Rural Affairs (DEFRA), and the UK Department of Energy and Climate Change (DECC) for funding the research cruises via the pelagic consortium of UK Ocean Acidification Research Programme (Grant no. NE/H017348/1) and the UK Carbonate Chemistry Facility (Grant no. NE/H025839/1). The OSTIA data were obtained from www.myocean.eu. The altimeter products were produced by Ssalto/Duacs and distributed by Aviso, with support from Cnes (http://www.aviso.altimetry.fr/duacs/).</t>
  </si>
  <si>
    <t>10.1016/j.dsr2.2016.01.001</t>
  </si>
  <si>
    <t>WOS:000376545500002</t>
  </si>
  <si>
    <t>Peck, VL; Tarling, GA; Manno, C; Harper, EM; Tynan, E</t>
  </si>
  <si>
    <t>Peck, Victoria L.; Tarling, Geraint A.; Manno, Clara; Harper, Elizabeth M.; Tynan, Eithne</t>
  </si>
  <si>
    <t>Outer organic layer and internal repair mechanism protects pteropod Limacina helicina from ocean acidification</t>
  </si>
  <si>
    <t>Limacina helicina; Ocean acidification; Periostracum; Greenland; Sea ice; Pteropod</t>
  </si>
  <si>
    <t>ARAGONITE SATURATION; SHELL STRUCTURE; CARBONIC-ACID; IMPACT; DISSOCIATION; PERIOSTRACUM; DISSOLUTION; CONSTANTS; SURVIVAL; SEAWATER</t>
  </si>
  <si>
    <t>Scarred shells of polar pteropod Limacina helicina collected from the Greenland Sea in June 2012 reveal a history of damage, most likely failed predation, in earlier life stages. Evidence of shell fracture and subsequent re-growth is commonly observed in specimens recovered from the sub-Arctic and further afield. However, at one site within sea-ice on the Greenland shelf, shells that had been subject to mechanical damage were also found to exhibit considerable dissolution. It was evident that shell dissolution was localised to areas where the organic, periostracal sheet that covers the outer shell had been damaged at some earlier stage during the animal's life. Where the periostracum remained intact, the shell appeared pristine with no sign of dissolution. Specimens which appeared to be pristine following collection were incubated for four days. Scarring of shells that received periostracal damage during collection only became evident in specimens that were incubated in waters undersaturated with respect to aragonite, Omega(Ar) &lt;= 1. While the waters from which the damaged specimens were collected at the Greenland Sea sea-ice margin were not Omega(Ar) &lt;= 1, the water column did exhibit the lowest Omega(Ar) values observed in the Greenland and Barents Seas, and was likely to have approached Omega(Ar) &lt;= 1 during the winter months. We demonstrate that L. helicina shells are only susceptible to dissolution where both the periostracum has been breached and the aragonite beneath the breach is exposed to waters of Omega(Ar) &lt;= 1. Exposure of multiple layers of aragonite in areas of deep dissolution indicate that, as with many molluscs, L. helicina is able to patch up dissolution damage to the shell by secreting additional aragonite internally and maintain their shell. We conclude that, unless breached, the periostracum provides an effective shield for pteropod shells against dissolution in waters Omega(Ar) &lt;= 1, and when dissolution does occur the animal has an effective means of self-repair. We suggest that future studies of pteropod shell condition are undertaken on specimens from which the periostracum has not been removed in preparation. (C) 2016 Elsevier Ltd. All rights reserved.</t>
  </si>
  <si>
    <t>[Peck, Victoria L.; Tarling, Geraint A.; Manno, Clara] British Antarctic Survey, Madingley Rd, Cambridge CB3 0ET, England; [Harper, Elizabeth M.] Univ Cambridge, Dept Earth Sci, Downing St, Cambridge CB2 3EQ, England; [Tynan, Eithne] Univ Southampton, Natl Oceanog Ctr Southampton, Ocean &amp; Earth Sci, Waterfront Campus,European Way, Southampton SO14 3ZH, Hants, England</t>
  </si>
  <si>
    <t>UK Research &amp; Innovation (UKRI); Natural Environment Research Council (NERC); NERC British Antarctic Survey; University of Cambridge; University of Southampton; NERC National Oceanography Centre</t>
  </si>
  <si>
    <t>Peck, VL (corresponding author), British Antarctic Survey, Madingley Rd, Cambridge CB3 0ET, England.</t>
  </si>
  <si>
    <t>vlp@bas.ac.uk</t>
  </si>
  <si>
    <t>Tynan, Eithne/0000-0002-3449-5334</t>
  </si>
  <si>
    <t>NERC; Defra; DECC [NE/H017348/1*]; Natural Environment Research Council [bas0100035, NE/H017267/1, bas0100030] Funding Source: researchfish; NERC [bas0100035, bas0100030, NE/H017267/1] Funding Source: UKRI</t>
  </si>
  <si>
    <t>NERC(UK Research &amp; Innovation (UKRI)Natural Environment Research Council (NERC)); Defra(Department for Environment, Food &amp; Rural Affairs (DEFRA)); DECC; Natural Environment Research Council(UK Research &amp; Innovation (UKRI)Natural Environment Research Council (NERC)); NERC(UK Research &amp; Innovation (UKRI)Natural Environment Research Council (NERC))</t>
  </si>
  <si>
    <t>We thank the captains and crew of the RRS James Clark Ross for enabling this research to be carried out, and PSO Ray Leaky. We are grateful for funding support from NERC, Defra and DECC to the pelagic consortium of the UK Ocean Acidification programme (Grant no. NE/H017348/1*). Thank you to Alex Ball and Tomasz Goral at the Natural History Museum for assisting with SEM imaging.</t>
  </si>
  <si>
    <t>10.1016/j.dsr2.2015.12.005</t>
  </si>
  <si>
    <t>WOS:000376545500004</t>
  </si>
  <si>
    <t>Peck, VL; Tarling, GA; Manno, C; Harper, EM</t>
  </si>
  <si>
    <t>Peck, Victoria L.; Tarling, Geraint A.; Manno, Clara; Harper, Elizabeth M.</t>
  </si>
  <si>
    <t>Comment on Peck et al: Vulnerability of pteropod (Limacina helicina) to ocean acidification: shell dissolution occurs despite an intact organic layer Reply</t>
  </si>
  <si>
    <t>[Peck, Victoria L.; Tarling, Geraint A.; Manno, Clara] British Antarctic Survey, Madingley Rd, Cambridge CB5 8NP, England; [Harper, Elizabeth M.] Univ Cambridge, Dept Earth Sci, Downing St, Cambridge CB2 3EQ, England</t>
  </si>
  <si>
    <t>UK Research &amp; Innovation (UKRI); Natural Environment Research Council (NERC); NERC British Antarctic Survey; University of Cambridge</t>
  </si>
  <si>
    <t>Peck, VL (corresponding author), British Antarctic Survey, Madingley Rd, Cambridge CB5 8NP, England.</t>
  </si>
  <si>
    <t>NERC [bas0100030, bas0100035] Funding Source: UKRI; Natural Environment Research Council [bas0100035, bas0100030] Funding Source: researchfish</t>
  </si>
  <si>
    <t>10.1016/j.dsr2.2016.03.007</t>
  </si>
  <si>
    <t>WOS:000376545500006</t>
  </si>
  <si>
    <t>Tarling, GA; Peck, VL; Ward, P; Ensor, NS; Achterberg, E; Tynan, E; Poulton, AJ; Mitchell, E; Zubkov, MV</t>
  </si>
  <si>
    <t>Tarling, G. A.; Peck, V. L.; Ward, P.; Ensor, N. S.; Achterberg, E.; Tynan, E.; Poulton, A. J.; Mitchell, E.; Zubkov, M. V.</t>
  </si>
  <si>
    <t>Effects of acute ocean acidification on spatially-diverse polar pelagic foodwebs: Insights from on-deck microcosms</t>
  </si>
  <si>
    <t>Arctic; Southern Ocean; Copepod; Phytoplankton; Dinoflagellates; Bacteria; Nannoplankton; Transparent exopolymeric particles; PCO2</t>
  </si>
  <si>
    <t>TRANSPARENT EXOPOLYMER PARTICLES; DISSOLVED ORGANIC-MATTER; EGG-PRODUCTION RATE; CARBONATE CHEMISTRY; HATCHING SUCCESS; MARINE COPEPODS; FLOW-CYTOMETRY; ELEVATED CO2; PHYTOPLANKTON; TEP</t>
  </si>
  <si>
    <t>The polar oceans are experiencing some of the largest levels of ocean acidification (OA) resulting from the uptake of anthropogenic carbon dioxide (CO2). Our understanding of the impacts this is having on polar marine communities is mainly derived from studies of single species in laboratory conditions, while the consequences for food web interactions remain largely unknown. This study carried out experimental manipulations of natural pelagic communities at different high latitude sites in both the northern (Nordic Seas) and southern hemispheres (Scotia and Weddell Seas). The aim of this study was to identify more generic responses and achieve greater experimental reproducibility through implementing a series of short term (4 d), multilevel (3 treatment) carbonate chemistry manipulation experiments on unfiltered natural surface-ocean communities, including grazing copepods. The experiments were successfully executed at six different sites, covering a diverse range of environmental conditions and differing plankton community compositions. The study identified the interaction between copepods and dinoflagellate cell abundance to be significantly altered by elevated levels of dissolved CO2 (pCO(2)), with dinoflagellates decreasing relative to ambient conditions across all six experiments. A similar pattern was not observed in any other major phytoplankton group. The patterns indicate that copepods show a stronger preference for dinoflagellates when in elevated pCO(2) conditions, demonstrating that changes in food quality and altered grazing selectivity may be a major consequence of ocean acidification. The study also found that transparent exopolymeric particles (TEP) generally increased when pCO(2) levels were elevated, but the response was dependent on the exact set of environmental conditions. Bacteria and nannoplankton showed a neutral response to elevated pCO(2) and there was no significant relationship between changes in bacterial or nannoplanlcton abundance and that of TEP concentrations. Overall, the study illustrated that, although some similar responses exist, these contrasting high latitude surface ocean communities are likely to show different responses to the onset of elevated pCO(2). (C) 2016 Elsevier Ltd. All rights reserved.</t>
  </si>
  <si>
    <t>[Tarling, G. A.; Peck, V. L.; Ward, P.; Ensor, N. S.] British Antarctic Survey, Nat Environm Res Council, Madingley Rd, Cambridge CB3 0ET, England; [Ensor, N. S.] Marine Scotland Sci, Marine Lab, 375 Victoria Rd, Aberdeen AB11 9DB, Scotland; [Achterberg, E.; Tynan, E.] Univ Southampton, Natl Oceanog Ctr Southampton, Ocean &amp; Earth Sci, Southampton SO14 3ZH, Hants, England; [Achterberg, E.] GEOMAR Helmholtz Ctr Ocean Res, D-24148 Kiel, Germany; [Poulton, A. J.; Zubkov, M. V.] Natl Oceanog Ctr, Waterfront Campus,European Way, Southampton SO14 3ZH, Hants, England; [Mitchell, E.] Scottish Assoc Marine Sci, Dunstaffnage Marine Lab, Oban PA37 1QA, Argyll, Scotland</t>
  </si>
  <si>
    <t>UK Research &amp; Innovation (UKRI); Natural Environment Research Council (NERC); NERC British Antarctic Survey; Marine Scotland Science (MSS); University of Southampton; NERC National Oceanography Centre; Helmholtz Association; GEOMAR Helmholtz Center for Ocean Research Kiel; NERC National Oceanography Centre; University of Southampton; UHI Millennium Institute</t>
  </si>
  <si>
    <t>Tarling, GA (corresponding author), British Antarctic Survey, Nat Environm Res Council, Madingley Rd, Cambridge CB3 0ET, England.</t>
  </si>
  <si>
    <t>gant@bas.ac.uk</t>
  </si>
  <si>
    <t>Achterberg, Eric P/C-5820-2009; Zubkov, Mikhail/AAW-9674-2020; Poulton, Alex/A-9859-2012</t>
  </si>
  <si>
    <t>Zubkov, Mikhail/0000-0001-7723-6810; Tynan, Eithne/0000-0002-3449-5334; Poulton, Alex/0000-0002-5149-6961</t>
  </si>
  <si>
    <t>UK Ocean Acidification thematic programme (UKOA) via the UK Natural Environment Research Council (NERC) [NE/H017267/1, NE/H017348/1, NE/H017097/1, NE/H016988/1]; UK Department for Environment, Food and Rural Affairs (Defra); UK Department of Energy and Climate Change (DECC); Natural Environment Research Council [NE/H017097/1, bas0100035, noc010009, NE/H016988/1, NE/H017267/1, NE/H017348/1] Funding Source: researchfish; NERC [NE/H016988/1, bas0100035, NE/H017348/1, NE/H017097/1, NE/H017267/1, noc010009] Funding Source: UKRI</t>
  </si>
  <si>
    <t>UK Ocean Acidification thematic programme (UKOA) via the UK Natural Environment Research Council (NERC); UK Department for Environment, Food and Rural Affairs (Defra)(Department for Environment, Food &amp; Rural Affairs (DEFRA)); UK Department of Energy and Climate Change (DECC); Natural Environment Research Council(UK Research &amp; Innovation (UKRI)Natural Environment Research Council (NERC)); NERC(UK Research &amp; Innovation (UKRI)Natural Environment Research Council (NERC))</t>
  </si>
  <si>
    <t>This work was funded under the UK Ocean Acidification thematic programme (UKOA) via the UK Natural Environment Research Council (NERC) Grants NE/H017267/1 to GA Tarling, NE/H017348/1 to T Tyrrell, EP Achterberg and CM Moore, NE/H017097/1 to AJ Poulton and MV Zubkov and NE/H016988/1 to RJG Leakey. The UK Department for Environment, Food and Rural Affairs (Defra) and the UK Department of Energy and Climate Change (DECC) also contributed to funding UKOA. Our travel and work in Greenland, Iceland and Svalbard coastal and offshore waters was granted thanks to permissions provided by the Danish, Icelandic and Norwegian diplomatic authorities. We also thank the captains and crew of the RRS James Clark Ross during cruises JR271 and JR274, the technical staff from the British Antarctic Survey, National Marine Facilities, and the Scottish Association for Marine Science, Oban. Further thanks to P Enderlein for Bongo net maintenance, CM Moore for assistance with acid-base manipulations, M Esposito and R Sanders for macronutrient data, H Lawson for Lugols count data, C Georges for JR274 flow cytometry data, P Geissler for elemental analyses, T T Shi for TEP analyses and M Ribas-Ribas (NOC) and R Thomas (BODC) for data management. We are grateful to R Leakey for leading cruise JR271 and for critical comments on this work.</t>
  </si>
  <si>
    <t>10.1016/j.dsr2.2016.02.008</t>
  </si>
  <si>
    <t>WOS:000376545500008</t>
  </si>
  <si>
    <t>Rees, AP; Brown, IJ; Jayakumar, A; Ward, BB</t>
  </si>
  <si>
    <t>Rees, Andrew P.; Brown, Ian J.; Jayakumar, Amal; Ward, Bess B.</t>
  </si>
  <si>
    <t>The inhibition of N2O production by ocean acidification in cold temperate and polar waters</t>
  </si>
  <si>
    <t>Ocean acidification; Nitrous oxide; Ammonia oxidising archaea; Ammonia; Atlantic; Arctic; Antarctic</t>
  </si>
  <si>
    <t>AMMONIA-OXIDIZING ARCHAEA; NITROUS-OXIDE; COMMUNITY COMPOSITION; GENE-EXPRESSION; CARBON; NITRIFICATION; CO2; PHOTOSYNTHESIS; BACTERIA; SEAWATER</t>
  </si>
  <si>
    <t>The effects of ocean acidification (OA) on nitrous oxide (N2O) production and on the community composition of ammonium oxidizing archaea (AOA) were examined in the northern and southern sub-polar and polar Atlantic Ocean. Two research cruises were performed during June 2012 between the North Sea and Arctic Greenland and Barent Seas, and in January-February 2013 to the Antarctic Scotia Sea. Seven stations were occupied in all during which shipboard experimental manipulations of the carbonate chemistry were performed through additions of NaHCO3- + HCl in order to examine the impact of short-term (48 h for N2O and between 96 and 168 h for AOA) exposure to control and elevated conditions of OA. During each experiment, triplicate incubations were performed at ambient conditions and at 3 lowered levels of pH which varied between 0.06 and 0.4 units according to the total scale and which were targeted at CO2 partial pressures of 500, 750 and 1000 mu atm. The AOA assemblage in both Arctic and Antarctic regions was dominated by two major archetypes that represent the marine AOA clades most often detected in seawater. There were no significant changes in AOA assemblage composition between the beginning and end of the incubation experiments. N2O production was sensitive to decreasing pH(T) at all stations and decreased by between 2.4% and 44% with reduced pH(T) values of between 0.06 and 0.4. The reduction in N2O yield from nitrification was directly related to a decrease of between 28% and 67% in available NH3 as a result of the pH driven shift in the NH3:NH4+ equilibrium. The maximum reduction in N2O production at conditions projected for the end of the 21st century was estimated to be 0.82 Tg N y(-1). Crown Copyright (C) 2015 Published by Elsevier Ltd. This is an open access article under the CC BY license.</t>
  </si>
  <si>
    <t>[Rees, Andrew P.; Brown, Ian J.] Plymouth Marine Lab, Prospect Pl, Plymouth PL1 3DH, Devon, England; [Jayakumar, Amal; Ward, Bess B.] Princeton Univ, Dept Geosci, Guyot Hall, Princeton, NJ 08544 USA</t>
  </si>
  <si>
    <t>Plymouth Marine Laboratory; Princeton University</t>
  </si>
  <si>
    <t>Rees, AP (corresponding author), Plymouth Marine Lab, Prospect Pl, Plymouth PL1 3DH, Devon, England.</t>
  </si>
  <si>
    <t>apre@pml.ac.uk</t>
  </si>
  <si>
    <t>Jayakumar, Amal/AAM-1748-2020</t>
  </si>
  <si>
    <t>Jayakumar, Amal/0000-0002-3568-1403</t>
  </si>
  <si>
    <t>NERC Grant UKOA-Ocean Acidification impacts on sea-surface, biology, biogeochemistry climate [NE/H017259/1]; Natural Environment Research Council [NE/H017259/1] Funding Source: researchfish; NERC [NE/H017259/1] Funding Source: UKRI</t>
  </si>
  <si>
    <t>NERC Grant UKOA-Ocean Acidification impacts on sea-surface, biology, biogeochemistry climate; Natural Environment Research Council(UK Research &amp; Innovation (UKRI)Natural Environment Research Council (NERC)); NERC(UK Research &amp; Innovation (UKRI)Natural Environment Research Council (NERC))</t>
  </si>
  <si>
    <t>This work was funded by NERC Grant UKOA-Ocean Acidification impacts on sea-surface, biology, biogeochemistry &amp; climate (NE/H017259/1). We would like to thank Eric Acterberg, Richard Sanders and Mark Stinchcombe for nutrient measurements; Matthew Humphreys, Eithne Tynan and Mariana Ribas-Ribas for carbonate chemistry and Mark Moore and Sophie Richier for the management of bioassay manipulations and incubations. We are grateful to Steven Biller for providing the alignment of the amoA AOA sequences and to Tom Bell for discussions concerning the relationship between NH3 and NH4+.</t>
  </si>
  <si>
    <t>10.1016/j.dsr2.2015.12.006</t>
  </si>
  <si>
    <t>WOS:000376545500009</t>
  </si>
  <si>
    <t>Cox, F; Newsham, KK; Bol, R; Dungait, JAJ; Robinson, CH</t>
  </si>
  <si>
    <t>Cox, Filipa; Newsham, Kevin K.; Bol, Roland; Dungait, Jennifer A. J.; Robinson, Clare H.</t>
  </si>
  <si>
    <t>Not poles apart: Antarctic soil fungal communities show similarities to those of the distant Arctic</t>
  </si>
  <si>
    <t>ECOLOGY LETTERS</t>
  </si>
  <si>
    <t>Biogeography; dispersal; environmental filtering; polar environments; soil fungi</t>
  </si>
  <si>
    <t>DISPERSAL LIMITATION; RAPOPORTS RULE; DIVERSITY; ITS2; MICROORGANISMS; FRAMEWORK; MICROBES; RICHNESS; PATTERNS; REVEALS</t>
  </si>
  <si>
    <t>Antarctica's extreme environment and geographical isolation offers a useful platform for testing the relative roles of environmental selection and dispersal barriers influencing fungal communities. The former process should lead to convergence in community composition with other cold environments, such as those in the Arctic. Alternatively, dispersal limitations should minimise similarity between Antarctica and distant northern landmasses. Using high-throughput sequencing, we show that Antarctica shares significantly more fungi with the Arctic, and more fungi display a bipolar distribution, than would be expected in the absence of environmental filtering. In contrast to temperate and tropical regions, there is relatively little endemism, and a strongly bimodal distribution of range sizes. Increasing southerly latitude is associated with lower endemism and communities increasingly dominated by fungi with widespread ranges. These results suggest that microorganisms with well-developed dispersal capabilities can inhabit opposite poles of the Earth, and dominate extreme environments over specialised local species.</t>
  </si>
  <si>
    <t>[Cox, Filipa; Robinson, Clare H.] Univ Manchester, Sch Earth Atmospher &amp; Environm Sci, Manchester M13 9PL, Lancs, England; [Cox, Filipa; Newsham, Kevin K.] British Antarctic Survey, Nat Environm Res Council, Cambridge CB3 0ET, England; [Newsham, Kevin K.] Univ Ctr Svalbard, Dept Arctic Biol, POB 156, N-9171 Longyearbyen, Svalbard, Norway; [Bol, Roland] Forschungszentrum Julich, Inst Bio &amp; Geosci Agrosphere IBG 3, D-52425 Julich, Germany; [Dungait, Jennifer A. J.] Rothamsted Res, Sustainable Soils &amp; Grassland Syst Dept, North Wyke, Okehampton EX20 2SB, Devon, England</t>
  </si>
  <si>
    <t>University of Manchester; UK Research &amp; Innovation (UKRI); Natural Environment Research Council (NERC); NERC British Antarctic Survey; University Centre Svalbard (UNIS); Helmholtz Association; Research Center Julich; UK Research &amp; Innovation (UKRI); Biotechnology and Biological Sciences Research Council (BBSRC); Rothamsted Research</t>
  </si>
  <si>
    <t>Cox, F (corresponding author), Univ Manchester, Sch Earth Atmospher &amp; Environm Sci, Manchester M13 9PL, Lancs, England.;Cox, F (corresponding author), British Antarctic Survey, Nat Environm Res Council, Cambridge CB3 0ET, England.</t>
  </si>
  <si>
    <t>filipa.cox@manchester.ac.uk</t>
  </si>
  <si>
    <t>Bol, Roland/H-9324-2013; Dungait, Jennifer/AAV-7301-2021</t>
  </si>
  <si>
    <t>Bol, Roland/0000-0003-3015-7706; Dungait, Jennifer/0000-0001-9074-4174; Cox, Filipa/0000-0003-1405-7481</t>
  </si>
  <si>
    <t>Antarctic Funding Initiative grant from the UK Natural Environment Research Council [NE/H014098/1, NE/H014772/1, NE/H01408X/1]; NERC [NE/H01408X/1, NE/H014772/1, bas0100036, NE/H014098/1, NBAF010002] Funding Source: UKRI; Natural Environment Research Council [NBAF010002, bas0100036, NE/H014772/1, NE/H014098/1, NE/H01408X/1] Funding Source: researchfish</t>
  </si>
  <si>
    <t>Antarctic Funding Initiative grant from the UK Natural Environment Research Council; NERC(UK Research &amp; Innovation (UKRI)Natural Environment Research Council (NERC)); Natural Environment Research Council(UK Research &amp; Innovation (UKRI)Natural Environment Research Council (NERC))</t>
  </si>
  <si>
    <t>This work was funded by an Antarctic Funding Initiative grant from the UK Natural Environment Research Council, under grant numbers NE/H014098/1, NE/H014772/1 and NE/H01408X/1. The authors are grateful to the reviewers, the Editor and Richard Bardgett for helpful comments on the manuscript; to Ari Jumpponen and Alberto Orgiazzi for providing data; and for the logistical support provided by the British Antarctic Survey and in particular from the officers and crew of the RRS James Clark Ross.</t>
  </si>
  <si>
    <t>1461-023X</t>
  </si>
  <si>
    <t>1461-0248</t>
  </si>
  <si>
    <t>ECOL LETT</t>
  </si>
  <si>
    <t>Ecol. Lett.</t>
  </si>
  <si>
    <t>10.1111/ele.12587</t>
  </si>
  <si>
    <t>Ecology</t>
  </si>
  <si>
    <t>DI8YT</t>
  </si>
  <si>
    <t>WOS:000373789100004</t>
  </si>
  <si>
    <t>Hindell, MA; McMahon, CR; Bester, MN; Boehme, L; Costa, D; Fedak, MA; Guinet, C; Herraiz-Borreguero, L; Harcourt, RG; Huckstadt, L; Kovacs, KM; Lydersen, C; McIntyre, T; Muelbert, M; Patterson, T; Roquet, F; Williams, G; Charrassin, JB</t>
  </si>
  <si>
    <t>Hindell, Mark A.; McMahon, Clive R.; Bester, Marthan N.; Boehme, Lars; Costa, Daniel; Fedak, Mike A.; Guinet, Christophe; Herraiz-Borreguero, Laura; Harcourt, Robert G.; Huckstadt, Luis; Kovacs, Kit M.; Lydersen, Christian; McIntyre, Trevor; Muelbert, Monica; Patterson, Toby; Roquet, Fabien; Williams, Guy; Charrassin, Jean-Benoit</t>
  </si>
  <si>
    <t>Circumpolar habitat use in the southern elephant seal: implications for foraging success and population trajectories</t>
  </si>
  <si>
    <t>ECOSPHERE</t>
  </si>
  <si>
    <t>foraging behavior; Mirounga leonina; physical oceanography; population status; sea ice; Southern Ocean water masses</t>
  </si>
  <si>
    <t>MIROUNGA-LEONINA; CLIMATE-CHANGE; MULTIMODEL INFERENCE; BEHAVIORAL ECOLOGY; WEANING MASS; PREDATOR; TELEMETRY; PATTERNS; TRACKING; TRENDS</t>
  </si>
  <si>
    <t>In the Southern Ocean, wide-ranging predators offer the opportunity to quantify how animals respond to differences in the environment because their behavior and population trends are an integrated signal of prevailing conditions within multiple marine habitats. Southern elephant seals in particular, can provide useful insights due to their circumpolar distribution, their long and distant migrations and their performance of extended bouts of deep diving. Furthermore, across their range, elephant seal populations have very different population trends. In this study, we present a data set from the International Polar Year project; Marine Mammals Exploring the Oceans Pole to Pole for southern elephant seals, in which a large number of instruments (N = 287) deployed on animals, encompassing a broad circum-Antarctic geographic extent, collected in situ ocean data and at-sea foraging metrics that explicitly link foraging behavior and habitat structure in time and space. Broadly speaking, the seals foraged in two habitats, the relatively shallow waters of the Antarctic continental shelf and the Kerguelen Plateau and deep open water regions. Animals of both sexes were more likely to exhibit area-restricted search (ARS) behavior rather than transit in shelf habitats. While Antarctic shelf waters can be regarded as prime habitat for both sexes, female seals tend to move northwards with the advance of sea ice in the late autumn or early winter. The water masses used by the seals also influenced their behavioral mode, with female ARS behavior being most likely in modified Circumpolar Deepwater or northerly Modified Shelf Water, both of which tend to be associated with the outer reaches of the Antarctic Continental Shelf. The combined effects of (1) the differing habitat quality, (2) differing responses to encroaching ice as the winter progresses among colonies, (3) differing distances between breeding and haul-out sites and high quality habitats, and (4) differing long-term -regional trends in sea ice extent can explain the differing population trends observed among elephant seal colonies.</t>
  </si>
  <si>
    <t>[Hindell, Mark A.; McMahon, Clive R.] Univ Tasmania, Inst Marine &amp; Antarctic Studies, Hobart, Tas 7001, Australia; [Hindell, Mark A.; Herraiz-Borreguero, Laura; Williams, Guy] Univ Tasmania, Antarctic Climate &amp; Ecosyst Cooperat Res Ctr, Hobart, Tas 7001, Australia; [McMahon, Clive R.] Sydney Inst Marine Sci, 19 Chowder Bay Rd, Mosman, NSW 2088, Australia; [Bester, Marthan N.; McIntyre, Trevor] Univ Pretoria, Mammal Res Inst, Dept Zool &amp; Entomol, Private Bag X20, ZA-0028 Hatfield, South Africa; [Boehme, Lars; Fedak, Mike A.] Univ St Andrews, Scottish Oceans Inst, Sea Mammal Res Unit, St Andrews, Fife, Scotland; [Costa, Daniel; Huckstadt, Luis] Univ Calif Santa Cruz, Dept Ecol &amp; Evolutionary Biol, Santa Cruz, CA 95064 USA; [Guinet, Christophe] CNRS, Ctr Etud Biol Chize, Villiers En Bois, France; [Herraiz-Borreguero, Laura] Univ Copenhagen, Niels Bohr Inst, Ctr Ice &amp; Climate, Blegdamsvej 17, DK-2100 Copenhagen, Denmark; [Harcourt, Robert G.] Macquarie Univ, Dept Biol Sci, Sydney, NSW 2109, Australia; [Kovacs, Kit M.; Lydersen, Christian] Norwegian Polar Res Inst, Fram Ctr, N-9296 Tromso, Norway; [Muelbert, Monica] Univ Fed Rio Grande, Inst Oceanog, Porto Alegre, RS, Brazil; [Patterson, Toby] CSIRO Wealth Oceans Res Flagship &amp; Marine &amp; Atmos, GPO Box 1538, Hobart, Tas 7001, Australia; [Roquet, Fabien] Stockholm Univ, Dept Meteorol, S-10691 Stockholm, Sweden; [Charrassin, Jean-Benoit] Lab Oceanog &amp; Climat Expt &amp; Approches Numer, Paris, France</t>
  </si>
  <si>
    <t>University of Tasmania; Antarctic Climate &amp; Ecosystems Cooperative Research Centre (ACE CRC); University of Tasmania; Sydney Institute of Marine Science; University of Pretoria; University of St Andrews; University of California System; University of California Santa Cruz; Centre National de la Recherche Scientifique (CNRS); University of Copenhagen; Niels Bohr Institute; Macquarie University; Norwegian Polar Institute; Universidade Federal do Rio Grande; Commonwealth Scientific &amp; Industrial Research Organisation (CSIRO); Stockholm University; Museum National d'Histoire Naturelle (MNHN); Sorbonne Universite</t>
  </si>
  <si>
    <t>Hindell, MA (corresponding author), Univ Tasmania, Inst Marine &amp; Antarctic Studies, Hobart, Tas 7001, Australia.;Hindell, MA (corresponding author), Univ Tasmania, Antarctic Climate &amp; Ecosyst Cooperat Res Ctr, Hobart, Tas 7001, Australia.</t>
  </si>
  <si>
    <t>mark.hindell@utas.edu.au</t>
  </si>
  <si>
    <t>Guinet, Christophe/AAR-8457-2020; Muelbert, Monica/T-3935-2019; Patterson, Toby A/B-3836-2011; Hindell, Mark A/K-1131-2013; McIntyre, Trevor/E-6846-2010; Roquet, Fabien/D-4848-2013; Huckstadt, Luis/JNR-7637-2023; Huckstadt, Luis/A-5838-2018; Huckstadt, Luis A./J-8532-2019; Roquet, Fabien/N-3221-2019; Bester, Marthán N/E-5387-2010; McMahon, Clive R/D-5713-2013; Fedak, Michael/B-3987-2009; Boehme, Lars/B-6567-2009; Herraiz-Borreguero, Laura/D-5795-2015; Costa, Daniel Paul/E-2616-2013</t>
  </si>
  <si>
    <t>McIntyre, Trevor/0000-0001-8395-7550; Huckstadt, Luis/0000-0002-2453-7350; Huckstadt, Luis A./0000-0002-2453-7350; Roquet, Fabien/0000-0003-1124-4564; McMahon, Clive R/0000-0001-5241-8917; Fedak, Michael/0000-0002-9569-1128; Boehme, Lars/0000-0003-3513-6816; Herraiz-Borreguero, Laura/0000-0002-4455-801X; Harcourt, Robert/0000-0003-4666-2934; Patterson, Toby/0000-0002-7150-9205; Hindell, Mark/0000-0002-7823-7185; Costa, Daniel Paul/0000-0002-0233-5782</t>
  </si>
  <si>
    <t>Natural Environment Research Council [smru10001] Funding Source: researchfish</t>
  </si>
  <si>
    <t>2150-8925</t>
  </si>
  <si>
    <t>Ecosphere</t>
  </si>
  <si>
    <t>e01213</t>
  </si>
  <si>
    <t>10.1002/ecs2.1213</t>
  </si>
  <si>
    <t>DN6VS</t>
  </si>
  <si>
    <t>WOS:000377215200002</t>
  </si>
  <si>
    <t>Esteban, S; Moreno-Merino, L; Matellanes, R; Catalá, M; Gorga, M; Petrovic, M; de Alda, ML; Barceló, D; Silva, A; Durán, JJ; López-Martínez, J; Valcárcel, Y</t>
  </si>
  <si>
    <t>Esteban, S.; Moreno-Merino, L.; Matellanes, R.; Catala, M.; Gorga, M.; Petrovic, M.; Lopez de Alda, M.; Barcelo, D.; Silva, A.; Duran, J. J.; Lopez-Martinez, J.; Valcarcel, Y.</t>
  </si>
  <si>
    <t>Presence of endocrine disruptors in freshwater in the northern Antarctic Peninsula region</t>
  </si>
  <si>
    <t>ENVIRONMENTAL RESEARCH</t>
  </si>
  <si>
    <t>Anthropogenic pollution; Emerging contaminants; Micropollution; Continental water; Antarctica; Environmental contamination</t>
  </si>
  <si>
    <t>PERSONAL CARE PRODUCTS; TREATMENT-PLANT EFFLUENTS; KING GEORGE ISLAND; WASTE-WATER; BISPHENOL-A; ESTROGENIC ACTIVITY; SURFACE-WATER; FLAME RETARDANTS; ENVIRONMENTAL EXPOSURE; EMERGING CONTAMINANTS</t>
  </si>
  <si>
    <t>The increasing human presence in Antarctica and the waste it generates is causing an impact on the environment at local and border scale. The main sources of anthropic pollution have a mainly local effect, and include the burning of fossil fuels, waste incineration, accidental spillage and wastewater effluents, even when treated. The aim of this work is to determine the presence and origin of 30 substances of anthropogenic origin considered to be, or suspected of being, endocrine disruptors in the continental waters of the Antarctic Peninsula region. We also studied a group of toxic metals, metalloids and other elements with possible endocrine activity. Ten water samples were analyzed from a wide range of sources, including streams, ponds, glacier drain, and an urban wastewater discharge into the sea. Surprisingly, the concentrations detected are generally similar to those found in other studies on continental waters in other parts of the world. The highest concentrations of micropollutants found correspond to the group of organophosphate flame retardants (19.60-9209 ng L-1) and alkylphenols (1.14-7225 ng L-1); and among toxic elements the presence of aluminum (a possible hormonal modifier) (1.7-127 mu g L-1) is significant. The concentrations detected are very low and insufficient to cause acute or subacute toxicity in aquatic organisms. However, little is known as yet of the potential sublethal and chronic effects of this type of pollutants and their capacity for bioaccumulation. These results point to the need for an ongoing system of environmental monitoring of these substances in Antarctic continental waters, and the advisability of regulating at least the most environmentally hazardous of these in the Antarctic legislation. (C) 2016 Elsevier Inc. All rights reserved.</t>
  </si>
  <si>
    <t>[Esteban, S.; Matellanes, R.; Catala, M.; Valcarcel, Y.] Rey Juan Carlos Univ, Ecotoxicol &amp; Environm Hlth Res Grp Toxamb, Avda Atenas S-N, E-28922 Alcorcon, Madrid, Spain; [Moreno-Merino, L.; Duran, J. J.] IGME, C Rios Rosas 23, Madrid 28003, Spain; [Catala, M.] Rey Juan Carlos Univ, ESCET, Biol &amp; Geol Dept, Avda Tulipan S-N, Mostoles, Madrid, Spain; [Gorga, M.; Lopez de Alda, M.; Barcelo, D.] Inst Environm Assessment &amp; Water Res IDAEA CSIC, Dept Environm Chem, Water &amp; Soil Qual Res Grp, C Jordi Girona 18-26, Barcelona 08034, Spain; [Petrovic, M.; Barcelo, D.] Univ Girona, Catalan Inst Water Res ICRA, Parc Cient &amp; Tecnol,Edifici H2O,Emili Grahit 101, Girona 17003, Spain; [Petrovic, M.] Catalan Inst Res &amp; Adv Studies ICREA, Passeig Lluis Co 23, Barcelona 08010, Spain; [Silva, A.] Natl Inst Water, Empalme J Newbery Km 1,620, Buenos Aires, DF, Argentina; [Lopez-Martinez, J.] Autonomous Univ Madrid, Fac Sci, Dept Geol &amp; Geochem, E-28049 Madrid, Spain; [Valcarcel, Y.] Rey Juan Carlos Univ, Dept Prevent Med Publ Hlth Inmunol &amp; Med Microbio, Fac Hlth Sci, Avda Atenas S-N, E-28922 Alcorcon, Madrid, Spain</t>
  </si>
  <si>
    <t>Universidad Rey Juan Carlos; Universidad Rey Juan Carlos; Consejo Superior de Investigaciones Cientificas (CSIC); CSIC - Centro de Investigacion y Desarrollo Pascual Vila (CID-CSIC); CSIC - Instituto de Diagnostico Ambiental y Estudios del Agua (IDAEA); Institut Catala de Recerca de l'Aigua (ICRA); Universitat de Girona; ICREA; Autonomous University of Madrid; Universidad Rey Juan Carlos</t>
  </si>
  <si>
    <t>Esteban, S (corresponding author), Rey Juan Carlos Univ, Ecotoxicol &amp; Environm Hlth Res Grp Toxamb, Avda Atenas S-N, E-28922 Alcorcon, Madrid, Spain.;Valcárcel, Y (corresponding author), Rey Juan Carlos Univ, Dept Prevent Med Publ Hlth Inmunol &amp; Med Microbio, Fac Hlth Sci, Avda Atenas S-N, E-28922 Alcorcon, Madrid, Spain.</t>
  </si>
  <si>
    <t>segn82@gmail.com; yolanda.valcarcel@urjc.es</t>
  </si>
  <si>
    <t>Esteban, Sara/AAC-1778-2021; Lopez-Martinez, Jeronimo/C-5744-2011; López-de-Alda, Miren/E-3357-2014; BARCELO, DAMIA/O-4558-2016; Catala, Myriam/A-3830-2009; Petrovic, Mira/L-1789-2014</t>
  </si>
  <si>
    <t>Esteban, Sara/0000-0002-2065-578X; Lopez-Martinez, Jeronimo/0000-0002-1750-8287; López-de-Alda, Miren/0000-0002-9347-2765; BARCELO, DAMIA/0000-0002-8873-0491; Moreno Merino, Luis/0000-0002-9984-6035; VALCARCEL, YOLANDA/0000-0001-5041-2204; Catala, Myriam/0000-0002-5114-6988; Petrovic, Mira/0000-0001-9734-1933; Gorga Lopez, Marina/0000-0002-4669-5392</t>
  </si>
  <si>
    <t>Spanish National R + D Plan [CTM2011-26372, CTM2013-57119, CTM2014-57119-R]; Secretariat for Science and Technology [PICTO 2005N36155]; Argentine Antarctic Institute; Generalitat de Catalunya [2014 SGR 418, 2014 SGR 291-ICRA]; European Union [603437]; ICREA Funding Source: Custom</t>
  </si>
  <si>
    <t>Spanish National R + D Plan(Spanish Government); Secretariat for Science and Technology; Argentine Antarctic Institute; Generalitat de Catalunya(Generalitat de Catalunya); European Union(European Union (EU)); ICREA(ICREA)</t>
  </si>
  <si>
    <t>This research was supported by projects CTM2011-26372, CTM2013-57119 and CTM2014-57119-R of the Spanish National R + D Plan, and PICTO 2005N36155 of the Secretariat for Science and Technology and the Argentine Antarctic Institute. This study also received funding from the Generalitat de Catalunya (Consolidated Research Groups 2014 SGR 418-Water and Soil Quality Unit and 2014 SGR 291-ICRA) and from the European Union's Seventh Framework Programme for research, technological development and demonstration under Grant agreement no. 603437. It reflects only the author's views. The Community is not liable for any use that may be made of the information contained therein. The authors would like to thank the logistic support received from the Antarctic programs of Argentine and Spain.</t>
  </si>
  <si>
    <t>0013-9351</t>
  </si>
  <si>
    <t>1096-0953</t>
  </si>
  <si>
    <t>ENVIRON RES</t>
  </si>
  <si>
    <t>Environ. Res.</t>
  </si>
  <si>
    <t>10.1016/j.envres.2016.01.034</t>
  </si>
  <si>
    <t>Environmental Sciences; Public, Environmental &amp; Occupational Health</t>
  </si>
  <si>
    <t>Environmental Sciences &amp; Ecology; Public, Environmental &amp; Occupational Health</t>
  </si>
  <si>
    <t>DJ5UN</t>
  </si>
  <si>
    <t>WOS:000374275700023</t>
  </si>
  <si>
    <t>Thomson, ACG; York, PH; Smith, TM; Sherman, CDH; Booth, DJ; Keough, MJ; Ross, DJ; Macreadie, PI</t>
  </si>
  <si>
    <t>Thomson, Alexandra C. G.; York, Paul H.; Smith, Tim M.; Sherman, Craig D. H.; Booth, David J.; Keough, Michael J.; Ross, D. Jeff; Macreadie, Peter I.</t>
  </si>
  <si>
    <t>Response to Comment on 'Seagrass Viviparous Propagules as a Potential Long-Distance Dispersal Mechanism' by A. C. G. Thomson et al</t>
  </si>
  <si>
    <t>ESTUARIES AND COASTS</t>
  </si>
  <si>
    <t>Seagrass; Propagules; Dispersal; Zostera; Resilience</t>
  </si>
  <si>
    <t>GENE FLOW</t>
  </si>
  <si>
    <t>[Thomson, Alexandra C. G.; Macreadie, Peter I.] Univ Technol Sydney, Plant Funct Biol &amp; Climate Change Cluster C3, Sydney, NSW 2007, Australia; [York, Paul H.; Smith, Tim M.; Sherman, Craig D. H.; Macreadie, Peter I.] Deakin Univ, Geelong, Vic 3217, Australia; [York, Paul H.; Smith, Tim M.; Sherman, Craig D. H.] Ctr Integrat Ecol, Sch Life &amp; Environm Sci, Waurn Ponds Campus,Locked Bag 20000, Geelong, Vic 3220, Australia; [York, Paul H.] James Cook Univ, Ctr Trop Water &amp; Aquat Ecosyst Res TropWATER, Cairns, Qld 4870, Australia; [Smith, Tim M.; Keough, Michael J.] Univ Melbourne, Sch Biosci, Melbourne, Vic 3010, Australia; [Booth, David J.] Univ Technol Sydney, Sch Life Sci, Sydney, NSW 2007, Australia; [Ross, D. Jeff] Univ Tasmania, Inst Marine &amp; Antarctic Studies, Hobart, Tas 7001, Australia; [Macreadie, Peter I.] Ctr Integrat Ecol, Sch Life &amp; Environm Sci, Burwood Campus,221 Burwood Hwy, Burwood, Vic 3125, Australia</t>
  </si>
  <si>
    <t>University of Technology Sydney; Deakin University; James Cook University; Melbourne Genomics Health Alliance; University of Melbourne; University of Technology Sydney; University of Tasmania</t>
  </si>
  <si>
    <t>Thomson, ACG (corresponding author), Univ Technol Sydney, Plant Funct Biol &amp; Climate Change Cluster C3, Sydney, NSW 2007, Australia.</t>
  </si>
  <si>
    <t>Alexandra.C.Thomson@student.uts.edu.au</t>
  </si>
  <si>
    <t>Thomson, Alex/AAH-3926-2020; Smith, Timothy/C-9283-2013; York, Paul H./C-4120-2009; Ross, Donald/F-7607-2012; Sherman, Craig/A-2484-2010</t>
  </si>
  <si>
    <t>Smith, Timothy/0000-0001-8612-8600; York, Paul H./0000-0003-3530-4146; Ross, Donald/0000-0002-8659-3833; Thomson, Alexandra/0000-0003-0773-7665; Keough, Michael/0000-0002-3382-3068; Booth, David/0000-0002-8256-1412; Sherman, Craig/0000-0003-2099-0462</t>
  </si>
  <si>
    <t>1559-2723</t>
  </si>
  <si>
    <t>1559-2731</t>
  </si>
  <si>
    <t>ESTUAR COAST</t>
  </si>
  <si>
    <t>Estuaries Coasts</t>
  </si>
  <si>
    <t>10.1007/s12237-015-0040-6</t>
  </si>
  <si>
    <t>DI2WS</t>
  </si>
  <si>
    <t>WOS:000373360500024</t>
  </si>
  <si>
    <t>da Mota, FF; Vollú, RE; Jurelevicius, D; Seldin, L</t>
  </si>
  <si>
    <t>da Mota, Fabio Faria; Vollu, Renata Estebanez; Jurelevicius, Diogo; Seldin, Lucy</t>
  </si>
  <si>
    <t>Whole-Genome Sequence of Rummeliibacillus stabekisii Strain PP9 Isolated from Antarctic Soil</t>
  </si>
  <si>
    <t>GENOME ANNOUNCEMENTS</t>
  </si>
  <si>
    <t>The whole genome of Rummeliibacillus stabekisii PP9, isolated from a soil sample from Antarctica, consists of a circular chromosome of 3,412,092 bp and a circular plasmid of 8,647 bp, with 3,244 protein-coding genes, 12 copies of the 16S-23S-5S rRNA operon, 101 tRNA genes, and 6 noncoding RNAs (ncRNAs).</t>
  </si>
  <si>
    <t>[da Mota, Fabio Faria] Fundacao Oswaldo Cruz IOC Fiocruz, Inst Oswaldo Cruz, Lab Biol Computac &amp; Sistemas, Rio De Janeiro, Brazil; [Vollu, Renata Estebanez; Jurelevicius, Diogo; Seldin, Lucy] Univ Fed Rio de Janeiro, Inst Microbiol Paulo Goes, Rio De Janeiro, Brazil</t>
  </si>
  <si>
    <t>Fundacao Oswaldo Cruz; Universidade Federal do Rio de Janeiro</t>
  </si>
  <si>
    <t>Seldin, L (corresponding author), Univ Fed Rio de Janeiro, Inst Microbiol Paulo Goes, Rio De Janeiro, Brazil.</t>
  </si>
  <si>
    <t>lseldin@micro.ufrj.br</t>
  </si>
  <si>
    <t>Seldin, Lucy/S-2530-2019; Jurelevicius, Diogo A/I-8235-2014; Mota, Fabio/AAR-6946-2021</t>
  </si>
  <si>
    <t>Seldin, Lucy/0000-0002-4992-6395; da Mota, Fabio Faria/0000-0002-0692-4939</t>
  </si>
  <si>
    <t>MCTI \ Conselho Nacional de Desenvolvimento Cientifico e Tecnologico (CNPq); Coordenacao de Aperfeicoamento de Pessoal de Nivel Superior (CAPES); Fundacao Carlos Chagas Filho de Amparo a Pesquisa do Estado do Rio de Janeiro (FAPERJ); Petrobras</t>
  </si>
  <si>
    <t>MCTI \ Conselho Nacional de Desenvolvimento Cientifico e Tecnologico (CNPq)(Conselho Nacional de Desenvolvimento Cientifico e Tecnologico (CNPQ)Fundacao de Apoio a Pesquisa do Distrito Federal (FAPDF)); Coordenacao de Aperfeicoamento de Pessoal de Nivel Superior (CAPES)(Coordenacao de Aperfeicoamento de Pessoal de Nivel Superior (CAPES)); Fundacao Carlos Chagas Filho de Amparo a Pesquisa do Estado do Rio de Janeiro (FAPERJ)(Fundacao Carlos Chagas Filho de Amparo a Pesquisa do Estado do Rio De Janeiro (FAPERJ)); Petrobras(Fundacao de Amparo a Pesquisa do Amapa (FAPEAP)Petrobras)</t>
  </si>
  <si>
    <t>This work, including the efforts of Lucy Seldin, was funded by MCTI vertical bar Conselho Nacional de Desenvolvimento Cientifico e Tecnologico (CNPq). This work, including the efforts of Renata Estebanez Vollu and Lucy Seldin, was funded by Coordenacao de Aperfeicoamento de Pessoal de Nivel Superior (CAPES). This work, including the efforts of Diogo Jurelevicius and Lucy Seldin, was funded by Fundacao Carlos Chagas Filho de Amparo a Pesquisa do Estado do Rio de Janeiro (FAPERJ). This work, including the efforts of Diogo Jurelevicius and Lucy Seldin, was funded by Petrobras.</t>
  </si>
  <si>
    <t>AMER SOC MICROBIOLOGY</t>
  </si>
  <si>
    <t>1752 N ST NW, WASHINGTON, DC 20036-2904 USA</t>
  </si>
  <si>
    <t>2169-8287</t>
  </si>
  <si>
    <t>Genom. Ann.</t>
  </si>
  <si>
    <t>e00416-16</t>
  </si>
  <si>
    <t>10.1128/genomeA.00416-16</t>
  </si>
  <si>
    <t>VI1DQ</t>
  </si>
  <si>
    <t>WOS:000460660100103</t>
  </si>
  <si>
    <t>Presta, L; Inzucchi, I; Bosi, E; Fondi, M; Perrin, E; Miceli, E; Tutino, ML; Lo Giudice, A; de Pascale, D; Fani, R</t>
  </si>
  <si>
    <t>Presta, Luana; Inzucchi, Ilaria; Bosi, Emanuele; Fondi, Marco; Perrin, Elena; Miceli, Elisangela; Tutino, Maria Luisa; Lo Giudice, Angelina; de Pascale, Donatella; Fani, Renato</t>
  </si>
  <si>
    <t>Draft Genome Sequence of Flavobacterium sp. Strain TAB 87, Able To Inhibit the Growth of Cystic Fibrosis Bacterial Pathogens Belonging to the Burkholderia cepacia Complex</t>
  </si>
  <si>
    <t>We report here the draft genome sequence of the Flavobacterium sp. TAB 87 strain, isolated from Antarctic seawater during a summer campaign near the French Antarctic station Dumont d'Urville (60 degrees 40'S, 40 degrees 01'E). It will allow for comparative genomics and the fulfillment of both fundamental and application-oriented investigations. It allowed the recognition of genes associated with the production of bioactive compounds and antibiotic resistance.</t>
  </si>
  <si>
    <t>[Presta, Luana; Inzucchi, Ilaria; Bosi, Emanuele; Fondi, Marco; Perrin, Elena; Miceli, Elisangela; Fani, Renato] Univ Florence, Dept Biol, Florence, Italy; [de Pascale, Donatella] CNR, Inst Prot Biochem, Naples, Italy; [Tutino, Maria Luisa] Univ Naples Federico II, Dept Chem Sci, Naples, Italy; [Lo Giudice, Angelina] Natl Res Council IAMC CNR, Inst Coastal Marine Environm, Messina, Italy; [Lo Giudice, Angelina] Univ Messina, Dept Biol &amp; Environm Sci, Messina, Italy</t>
  </si>
  <si>
    <t>University of Florence; Consiglio Nazionale delle Ricerche (CNR); Istituto di Biochimica delle Proteine (IBP-CNR); University of Naples Federico II; Consiglio Nazionale delle Ricerche (CNR); L'Istituto per l'Ambiente Marino Costiero (IAMC-CNR); University of Messina</t>
  </si>
  <si>
    <t>Fani, R (corresponding author), Univ Florence, Dept Biol, Florence, Italy.;de Pascale, D (corresponding author), CNR, Inst Prot Biochem, Naples, Italy.</t>
  </si>
  <si>
    <t>d.depascale@ibp.cnr.it; renato.fani@virgilio.it</t>
  </si>
  <si>
    <t>TUTINO, MARIA LUISA/L-1834-2013; Perrin, Elena/AAX-2762-2020</t>
  </si>
  <si>
    <t>Perrin, Elena/0000-0001-5148-3178; Tutino, Maria Luisa/0000-0002-4978-6839; Presta, Luana/0000-0001-6482-6758; Bosi, Emanuele/0000-0002-4769-8667</t>
  </si>
  <si>
    <t>Italian Cystic Fibrosis Research Foundation [12/2011]; PNRA (Programma Nazionale per la Ricerca in Antartide) [PNRA 2013/B4.02, PNRA 2013/AZ1.04]; EU [312184]</t>
  </si>
  <si>
    <t>Italian Cystic Fibrosis Research Foundation(Ministry of Health, ItalyItalian Cystic Fibrosis Research Foundation); PNRA (Programma Nazionale per la Ricerca in Antartide); EU(European Union (EU))</t>
  </si>
  <si>
    <t>This work was financially supported by grants from the Italian Cystic Fibrosis Research Foundation (grant FFC#12/2011), by two PNRA (Programma Nazionale per la Ricerca in Antartide) grants (PNRA 2013/B4.02 and PNRA 2013/AZ1.04), and by the EU KBBE Project Pharmasea 2012-2016 (grant agreement no. 312184).</t>
  </si>
  <si>
    <t>e00410-16</t>
  </si>
  <si>
    <t>10.1128/genomeA.00410-16</t>
  </si>
  <si>
    <t>WOS:000460660100098</t>
  </si>
  <si>
    <t>Michaud, AB; Skidmore, ML; Mitchell, AC; Vick-Majors, TJ; Barbante, C; Turetta, C; vanGelder, W; Priscu, JC</t>
  </si>
  <si>
    <t>Michaud, Alexander B.; Skidmore, Mark L.; Mitchell, Andrew C.; Vick-Majors, Trista J.; Barbante, Carlo; Turetta, Clara; vanGelder, Will; Priscu, John C.</t>
  </si>
  <si>
    <t>Solute sources and geochemical processes in Subglacial Lake Whillans, West Antarctica</t>
  </si>
  <si>
    <t>GEOLOGY</t>
  </si>
  <si>
    <t>ICE STREAM; SEDIMENTS; BENEATH; SYSTEM; WATER; FLOW</t>
  </si>
  <si>
    <t>Subglacial Lake Whillans (SLW), West Antarctica, is an active component of the subglacial hydrological network located beneath 800 m of ice. The fill and drain behavior of SLW leads to long (years to decades) water residence times relative to those in mountain glacier systems. Here, we present the aqueous geochemistry of the SLW water column and pore waters from a 38-cm-long sediment core. Stable isotopes indicate that the water is primarily sourced from basal-ice melt with a minor contribution from seawater that reaches a maximum of similar to 6% in pore water at the bottom of the sediment core. Silicate weathering products dominate the crustal (non-seawater) component of lake-and pore-water solutes, and there is evidence for cation exchange processes within the clay-rich lake sediments. The crustal solute component ranges from 6 meq L-1 in lake waters to 17 meq L-1 in the deepest pore waters. The pore-water profiles of the major dissolved ions indicate a more concentrated solute source at depth (&gt; 38 cm). The combination of significant seawater and crustal components to SLW lake and sediment pore waters in concert with ion exchange processes result in a weathering regime that contrasts with other subglacial systems. The results also indicate cycling of marine water sourced from the sediments back to the ocean during lake drainage events.</t>
  </si>
  <si>
    <t>[Michaud, Alexander B.; Vick-Majors, Trista J.; Priscu, John C.] Montana State Univ, Dept Land Resources &amp; Environm Sci, Bozeman, MT 59717 USA; [Skidmore, Mark L.; vanGelder, Will] Montana State Univ, Dept Earth Sci, Bozeman, MT 59717 USA; [Mitchell, Andrew C.] Aberystwyth Univ, Dept Geog &amp; Earth Sci, Aberystwyth SY23 3DB, Dyfed, Wales; [Barbante, Carlo; Turetta, Clara] IDPA CNR, Inst Dynam Environm Proc, I-30172 Venice, Italy; [Barbante, Carlo] Univ Venice, Ca Foscari, Dept Environm Sci Informat &amp; Stat, I-30172 Venice, Italy</t>
  </si>
  <si>
    <t>Montana State University System; Montana State University Bozeman; Montana State University System; Montana State University Bozeman; Aberystwyth University; Consiglio Nazionale delle Ricerche (CNR); Istituto per la Dinamica dei Processi Ambientali (IDPA-CNR); Universita Ca Foscari Venezia</t>
  </si>
  <si>
    <t>Skidmore, ML (corresponding author), Montana State Univ, Dept Earth Sci, Bozeman, MT 59717 USA.</t>
  </si>
  <si>
    <t>skidmore@montana.edu</t>
  </si>
  <si>
    <t>Vick-Majors, Trista/AAQ-6258-2020; Barbante, Carlo/B-3195-2011; Turetta, Clara/O-2849-2015; Michaud, Alex/AAC-4890-2020; Skidmore, Mark L/I-4317-2018</t>
  </si>
  <si>
    <t>Vick-Majors, Trista/0000-0002-6868-4010; Turetta, Clara/0000-0003-3130-2901; Michaud, Alex/0000-0001-5714-8741; Barbante, Carlo/0000-0003-4177-2288</t>
  </si>
  <si>
    <t>National Science Foundation (NSF) [OPP-0838933, 1346250, 1439774]; Italian National Antarctic Program; NSF Integrative Graduate Education and Research Traineeship program [0654336]; NSF Center for Dark Energy Biosphere Investigations; American Association of University Women; Directorate For Geosciences; Division Of Polar Programs [1346250] Funding Source: National Science Foundation; Office of Polar Programs (OPP); Directorate For Geosciences [1439774] Funding Source: National Science Foundation</t>
  </si>
  <si>
    <t>National Science Foundation (NSF)(National Science Foundation (NSF)); Italian National Antarctic Program; NSF Integrative Graduate Education and Research Traineeship program(National Science Foundation (NSF)); NSF Center for Dark Energy Biosphere Investigations; American Association of University Women; Directorate For Geosciences; Division Of Polar Programs(National Science Foundation (NSF)NSF - Directorate for Geosciences (GEO)); Office of Polar Programs (OPP); Directorate For Geosciences(National Science Foundation (NSF)NSF - Directorate for Geosciences (GEO))</t>
  </si>
  <si>
    <t>The Whillans Ice Stream Subglacial Access Research Drilling (WISSARD) project was funded by the National Science Foundation (NSF, grants OPP-0838933, 1346250, and 1439774). We thank the WISSARD science team for assistance in sample collection; WISSARD science team members can be found at wissard.org. Partial support was provided by the Italian National Antarctic Program (Barbante); graduate fellowships from the NSF Integrative Graduate Education and Research Traineeship program (0654336) and NSF Center for Dark Energy Biosphere Investigations (Michaud); and a dissertation grant from the American Association of University Women (Vick-Majors). The University of Nebraska-Lincoln provided hot-water drill support. A. Schauer, B. vanHeuvel, and E. Steig helped with stable isotopic analyses, and C. Allen assisted with major ion analysis. M. Tranter provided valuable discussion and input. We thank the three reviewers for their constructive criticism which improved the manuscript. This is C-DEBI contribution #321.</t>
  </si>
  <si>
    <t>0091-7613</t>
  </si>
  <si>
    <t>1943-2682</t>
  </si>
  <si>
    <t>10.1130/G37639.1</t>
  </si>
  <si>
    <t>DK4HG</t>
  </si>
  <si>
    <t>WOS:000374877500005</t>
  </si>
  <si>
    <t>Siegert, MJ</t>
  </si>
  <si>
    <t>Siegert, Martin J.</t>
  </si>
  <si>
    <t>A wide variety of unique environments beneath the Antarctic ice sheet</t>
  </si>
  <si>
    <t>SUBGLACIAL LAKES; EAST ANTARCTICA; WATER; INVENTORY; STREAM</t>
  </si>
  <si>
    <t>[Siegert, Martin J.] Univ London Imperial Coll Sci Technol &amp; Med, Grantham Inst, London SW7 2AZ, England; [Siegert, Martin J.] Univ London Imperial Coll Sci Technol &amp; Med, Dept Earth Sci &amp; Engn, London SW7 2AZ, England</t>
  </si>
  <si>
    <t>Imperial College London; Imperial College London</t>
  </si>
  <si>
    <t>Siegert, MJ (corresponding author), Univ London Imperial Coll Sci Technol &amp; Med, Grantham Inst, London SW7 2AZ, England.;Siegert, MJ (corresponding author), Univ London Imperial Coll Sci Technol &amp; Med, Dept Earth Sci &amp; Engn, London SW7 2AZ, England.</t>
  </si>
  <si>
    <t>Siegert, Martin J/A-3826-2008; Siegert, Martin/M-9939-2019</t>
  </si>
  <si>
    <t>Siegert, Martin J/0000-0002-0090-4806; Siegert, Martin/0000-0002-0090-4806</t>
  </si>
  <si>
    <t>Natural Environment Research Council [NE/G00465X/3, NE/G013071/1, NE/D008638/1, NE/G00465X/2, NE/G00465X/1, NE/F016646/2] Funding Source: researchfish; The British Council [GII203] Funding Source: researchfish; NERC [NE/G00465X/2, NE/F016646/2, NE/G00465X/1, NE/G013071/1, NE/D008638/1, NE/G00465X/3] Funding Source: UKRI</t>
  </si>
  <si>
    <t>Natural Environment Research Council(UK Research &amp; Innovation (UKRI)Natural Environment Research Council (NERC)); The British Council; NERC(UK Research &amp; Innovation (UKRI)Natural Environment Research Council (NERC))</t>
  </si>
  <si>
    <t>10.1130/focus052016.1</t>
  </si>
  <si>
    <t>WOS:000374877500019</t>
  </si>
  <si>
    <t>Palkopoulou, E; Baca, M; Abramson, NI; Sablin, M; Socha, P; Nadachowski, A; Prost, S; Germonpré, M; Kosintsev, P; Smirnov, NG; Vartanyan, S; Ponomarev, D; Nyström, J; Nikolskiy, P; Jass, CN; Litvinov, YN; Kalthoff, DC; Grigoriev, S; Fadeeva, T; Douka, A; Higham, TFG; Ersmark, E; Pitulko, V; Pavlova, E; Stewart, JR; Weglenski, P; Stankovic, A; Dalén, L</t>
  </si>
  <si>
    <t>Palkopoulou, Eleftheria; Baca, Mateusz; Abramson, Natalia I.; Sablin, Mikhail; Socha, Pawel; Nadachowski, Adam; Prost, Stefan; Germonpre, Mietje; Kosintsev, Pavel; Smirnov, Nickolay G.; Vartanyan, Sergey; Ponomarev, Dmitry; Nystroem, Johanna; Nikolskiy, Pavel; Jass, Christopher N.; Litvinov, Yuriy N.; Kalthoff, Daniela C.; Grigoriev, Semyon; Fadeeva, Tatyana; Douka, Aikaterini; Higham, Thomas F. G.; Ersmark, Erik; Pitulko, Vladimir; Pavlova, Elena; Stewart, John R.; Weglenski, Piotr; Stankovic, Anna; Dalen, Love</t>
  </si>
  <si>
    <t>Synchronous genetic turnovers across Western Eurasia in Late Pleistocene collared lemmings</t>
  </si>
  <si>
    <t>biostratigraphy; climate; collared lemming; genetic replacement; palaeogenetics; refugia</t>
  </si>
  <si>
    <t>MITOCHONDRIAL-DNA DIVERSITY; POPULATION-DYNAMICS; WOOLLY MAMMOTH; DICROSTONYX; CAVE; PHYLOGEOGRAPHY; INFERENCE; RESPONSES; HISTORY; EXTINCTIONS</t>
  </si>
  <si>
    <t>Recent palaeogenetic studies indicate a highly dynamic history in collared lemmings (Dicrostonyx spp.), with several demographical changes linked to climatic fluctuations that took place during the last glaciation. At the western range margin of D.torquatus, these changes were characterized by a series of local extinctions and recolonizations. However, it is unclear whether this pattern represents a local phenomenon, possibly driven by ecological edge effects, or a global phenomenon that took place across large geographical scales. To address this, we explored the palaeogenetic history of the collared lemming using a next-generation sequencing approach for pooled mitochondrial DNA amplicons. Sequences were obtained from over 300 fossil remains sampled across Eurasia and two sites in North America. We identified five mitochondrial lineages of D.torquatus that succeeded each other through time across Europe and western Russia, indicating a history of repeated population extinctions and recolonizations, most likely from eastern Russia, during the last 50000years. The observation of repeated extinctions across such a vast geographical range indicates large-scale changes in the steppe-tundra environment in western Eurasia during the last glaciation. AllHolocene samples, from across the species' entire range, belonged to only one of the five mitochondrial lineages. Thus, extant D.torquatus populations only harbour a small fraction of the total genetic diversity that existed across different stages of the Late Pleistocene. In North American samples, haplotypes belonging to both D.groenlandicus and D.richardsoni were recovered from a Late Pleistocene site in south-western Canada. This suggests that D.groenlandicus had a more southern and D.richardsoni a more northern glacial distribution than previously thought. This study provides significant insights into the population dynamics of a small mammal at a large geographical scale and reveals a rather complex demographical history, which could have had bottom-up effects in the Late Pleistocene steppe-tundra ecosystem.</t>
  </si>
  <si>
    <t>[Palkopoulou, Eleftheria; Nystroem, Johanna; Ersmark, Erik; Dalen, Love] Swedish Museum Nat Hist, Dept Bioinformat &amp; Genet, S-10405 Stockholm, Sweden; [Palkopoulou, Eleftheria; Ersmark, Erik] Stockholm Univ, Dept Zool, S-10405 Stockholm, Sweden; [Baca, Mateusz] Univ Warsaw, Ctr Precolumbian Studies, Krakowskie Przedmiescie 26-28, PL-00927 Warsaw, Poland; [Abramson, Natalia I.; Sablin, Mikhail] Russian Acad Sci, Inst Zool, St Petersburg 199034, Russia; [Socha, Pawel] Univ Wroclaw, Dept Palaeozool, Inst Environm Biol, Sienkiewicza Str 21, PL-50335 Wroclaw, Poland; [Nadachowski, Adam] Polish Acad Sci, Inst Systemat &amp; Evolut Animals, Slawkowska Str 17, PL-31016 Krakow, Poland; [Prost, Stefan] Univ Calif Berkeley, Dept Integrat Biol, Berkeley, CA 94720 USA; [Prost, Stefan] Univ Otago, Dept Anat &amp; Struct Biol, Allan Wilson Ctr Mol Ecol &amp; Evolut, Dunedin 9054, New Zealand; [Germonpre, Mietje] Royal Belgian Inst Nat Sci, Operat Direct Earth &amp; Hist Life, B-1000 Brussels, Belgium; [Kosintsev, Pavel; Smirnov, Nickolay G.] Russian Acad Sci, Inst Plant &amp; Anim Ecol, 202 8 Marta St, Ekaterinburg 620144, Russia; [Vartanyan, Sergey] Russian Acad Sci, Northeast Interdisciplinary Res Inst, Far East Branch, Magadan 685000, Russia; [Ponomarev, Dmitry] Russian Acad Sci, Lab Paleontol, Inst Geol, Komi Sci Ctr, 54 Pervomayskaya St, Syktyvkar 167982, Russia; [Nikolskiy, Pavel] Russian Acad Sci, Inst Geol, Pyzhevsky Pereulok 7, Moscow 119017, Russia; [Jass, Christopher N.] Royal Alberta Museum, 12845 102 Ave, Edmonton, AB T5N 0M6, Canada; [Litvinov, Yuriy N.] Russian Acad Sci, Inst Systemat &amp; Ecol Anim, Siberian Branch, Frunze Str 11, Novosibirsk 630091, Russia; [Kalthoff, Daniela C.] Swedish Museum Nat Hist, Dept Zool, S-10405 Stockholm, Sweden; [Grigoriev, Semyon] North Eastern Fed Univ, Mammoth Museum, Inst Appl Ecol North, 48 Kulakovskogo St, Yakutsk 677000, Russia; [Fadeeva, Tatyana] Russian Acad Sci, Min Inst, 78A Sibirskaya St, Perm 614007, Russia; [Douka, Aikaterini; Higham, Thomas F. G.] Univ Oxford, Oxford Radiocarbon Accelerator Unit, Res Lab Archaeol &amp; Hist Art, Oxford OX1 3QY, England; [Pitulko, Vladimir] Russian Acad Sci, Inst Hist Mat Culture, Dvortsovaya Nab 18, St Petersburg 191186, Russia; [Pavlova, Elena] Arctic &amp; Antarctic Res Inst, Bering St 35, St Petersburg 199397, Russia; [Stewart, John R.] Bournemouth Univ, Fac Sci &amp; Technol, Poole BH12 5BB, Dorset, England; [Weglenski, Piotr] Univ Warsaw, Ctr New Technol, S Banacha 2c, PL-02097 Warsaw, Poland; [Stankovic, Anna] Polish Acad Sci, Inst Biochem &amp; Biophys, PL-02106 Warsaw, Poland</t>
  </si>
  <si>
    <t>Swedish Museum of Natural History; Stockholm University; University of Warsaw; Russian Academy of Sciences; Zoological Institute of the Russian Academy of Sciences; University of Wroclaw; Polish Academy of Sciences; Institute of Systematics &amp; Evolution of Animals of the Polish Academy of Sciences; University of California System; University of California Berkeley; University of Otago; Royal Belgian Institute of Natural Sciences; Russian Academy of Sciences; Institute of Plant &amp; Animal Ecology of the Russian Academy of Sciences; Russian Academy of Sciences; Russian Academy of Sciences; Paleontological Institute of the Russian Academy of Sciences; Institute of Geology, Komi Scientific Centre of the Russian Academy of Sciences; Komi Science Centre of the Ural Branch of the Russian Academy of Sciences; Geological Institute, Russian Academy of Sciences; Russian Academy of Sciences; Russian Academy of Sciences; Swedish Museum of Natural History; North-Eastern Federal University in Yakutsk; Russian Academy of Sciences; Perm Federal Research Center, Ural Branch, RAS; Mining Institute of the Ural Branch, RAS; University of Oxford; Russian Academy of Sciences; Institute for the History of Material Culture, Russian Academy of Sciences; St. Petersburg Scientific Centre of the Russian Academy of Sciences; Arctic &amp; Antarctic Research Institute; Bournemouth University; University of Warsaw; Polish Academy of Sciences; Institute of Biochemistry &amp; Biophysics - Polish Academy of Sciences</t>
  </si>
  <si>
    <t>Palkopoulou, E; Dalén, L (corresponding author), Swedish Museum Nat Hist, Dept Bioinformat &amp; Genet, S-10405 Stockholm, Sweden.;Palkopoulou, E (corresponding author), Stockholm Univ, Dept Zool, S-10405 Stockholm, Sweden.</t>
  </si>
  <si>
    <t>elle.palkopoulou@gmail.com; Love.Dalen@nrm.se</t>
  </si>
  <si>
    <t>Pitulko, Vladimir/E-2200-2015; Vartanyan, Sergey/Q-7851-2019; Litvinov, Yuri/AAO-3406-2020; Mikhail, Sablin/K-7835-2013; Nikolskiy, Pavel A/C-5041-2012; Palkopoulou, Eleftheria/JMC-5245-2023; Stewart, John R./C-1075-2011; Palkopoulou, Eleftheria/JMC-5161-2023; Nikolskiy, Pavel/JNT-4697-2023; Smirnov, Nikolay/Y-8256-2018; Fadeeva, Tatyana/AAW-9128-2020; Pitulko, Vladimir/N-4009-2019; Baca, Mateusz/ABG-8020-2020; Vartanyan, Sergey L/T-4182-2017; Abramson, Natalia/E-8001-2017; Germonpré, Mietje/O-5952-2014; Higham, Tom/JOZ-0794-2023; Pavlova, Elena/AAA-3291-2019; Grigoriev, Semyon/F-8848-2014; Ponomarev, Dmitry/F-4560-2016; Abramson, Nataliya/E-8001-2017; Dalen, Love/A-6686-2008</t>
  </si>
  <si>
    <t>Pitulko, Vladimir/0000-0001-5672-2756; Litvinov, Yuri/0000-0003-0743-5712; Mikhail, Sablin/0000-0002-2773-7454; Stewart, John R./0000-0002-3506-5264; Baca, Mateusz/0000-0003-2174-3914; Abramson, Natalia/0000-0003-3740-1388; Germonpré, Mietje/0000-0001-8865-0937; Higham, Tom/0000-0002-5949-598X; Socha, Pawel/0000-0002-6405-6201; Nadachowski, Adam/0000-0001-6452-3028; Smirnov, Nickolay/0000-0002-1076-0041; Ponomarev, Dmitry/0000-0002-0653-2759; Fadeeva, Tatyana/0000-0001-6534-4056; Abramson, Nataliya/0000-0001-7387-5455; Jass, Christopher/0000-0001-6499-5260; Dalen, Love/0000-0001-8270-7613; Pavlova, Elena/0000-0002-3010-6290; Vartanyan, Sergey/0000-0001-7806-4053; Weglenski, Piotr/0000-0002-7779-1475; Prost, Stefan/0000-0002-6229-3596</t>
  </si>
  <si>
    <t>EU FP6 ERA-NET project CLIMIGRATE; Swedish Research Council (VR); Polish National Science Centre grant [2011/01/N/NZ8/02050]; CRDF-FEB RAS [RUG1-7085-MA-13]; project 'IKY scholarships' - operational program 'Education and Lifelong Learning' of European Social Fund (ESF); NSRF</t>
  </si>
  <si>
    <t>EU FP6 ERA-NET project CLIMIGRATE(European Union (EU)Marie Curie Actions); Swedish Research Council (VR)(Swedish Research Council); Polish National Science Centre grant; CRDF-FEB RAS; project 'IKY scholarships' - operational program 'Education and Lifelong Learning' of European Social Fund (ESF); NSRF</t>
  </si>
  <si>
    <t>Funding for this study was provided by the EU FP6 ERA-NET project CLIMIGRATE, by the Swedish Research Council (VR) and by the Polish National Science Centre grant 2011/01/N/NZ8/02050. Field work for S.V. was funded by CRDF-FEB RAS, grant RUG1-7085-MA-13. L.D. acknowledges logistical support for field sampling from the Swedish Polar Research Secretariat. E.P. and L.D. would like to acknowledge Uppmax for providing assistance in massive parallel sequencing and computational infrastructure. E.P. acknowledges funding from the project 'IKY scholarships' financed by the operational program 'Education and Lifelong Learning' of the European Social Fund (ESF) and the NSRF 2007-2013. We would like to acknowledge Piroska Pazonyi and Mihaly Gasparik from the Hungarian Natural History Museum for providing samples from Hungary. We thank the Oxford Radiocarbon Accelerator Unit, University of Oxford, for their careful work on the AMS radiocarbon dating. The authors confirm no conflict of interest.</t>
  </si>
  <si>
    <t>10.1111/gcb.13214</t>
  </si>
  <si>
    <t>DH9QL</t>
  </si>
  <si>
    <t>WOS:000373130700003</t>
  </si>
  <si>
    <t>Marshall, AM; Bigg, GR; Van Leeuwen, SM; Pinnegar, JK; Wei, HL; Webb, TJ; Blanchard, JL</t>
  </si>
  <si>
    <t>Marshall, Abigail M.; Bigg, Grant R.; Van Leeuwen, Sonja M.; Pinnegar, John K.; Wei, Hua-Liang; Webb, Thomas J.; Blanchard, Julia L.</t>
  </si>
  <si>
    <t>Quantifying heterogeneous responses of fish community size structure using novel combined statistical techniques</t>
  </si>
  <si>
    <t>biophysics; body size; climate change; demersal fisheries; empirical orthogonal functions; marine environmental change; NARMAX modelling; North Sea; size-based indicators; spatial heterogeneity</t>
  </si>
  <si>
    <t>EUROPEAN CONTINENTAL-SHELF; NORTH-SEA; CLIMATE-CHANGE; BODY-SIZE; ATLANTIC COD; TIME-SERIES; TEMPERATURE; INDICATORS; TRENDS; MODEL</t>
  </si>
  <si>
    <t>To understand changes in ecosystems, the appropriate scale at which to study them must be determined. Large marine ecosystems (LMEs) cover thousands of square kilometres and are a useful classification scheme for ecosystem monitoring and assessment. However, averaging across LMEs may obscure intricate dynamics within. The purpose of this study is to mathematically determine local and regional patterns of ecological change within an LME using empirical orthogonal functions (EOFs). After using EOFs to define regions with distinct patterns of change, a statistical model originating from control theory is applied (Nonlinear AutoRegressive Moving Average with eXogenous input - NARMAX) to assess potential drivers of change within these regions. We have selected spatial data sets (0.5 degrees latitudex1 degrees longitude) of fish abundance from North Sea fisheries research surveys (spanning 1980-2008) as well as of temperature, oxygen, net primary production and a fishing pressure proxy, to which we apply the EOF and NARMAX methods. Two regions showed significant changes since 1980: the central North Sea displayed a decrease in community size structure which the NARMAX model suggested was linked to changes in fishing; and the Norwegian trench region displayed an increase in community size structure which, as indicated by NARMAX results, was primarily linked to changes in sea-bottom temperature. These regions were compared to an area of no change along the eastern Scottish coast where the model determined the community size structure was most strongly associated to net primary production. This study highlights the multifaceted effects of environmental change and fishing pressures in different regions of the North Sea. Furthermore, by highlighting this spatial heterogeneity in community size structure change, important local spatial dynamics are often overlooked when the North Sea is considered as a broad-scale, homogeneous ecosystem (as normally is the case within the political Marine Strategy Framework Directive).</t>
  </si>
  <si>
    <t>[Marshall, Abigail M.; Webb, Thomas J.] Univ Sheffield, Dept Anim &amp; Plant Sci, Sheffield S10 2TN, S Yorkshire, England; [Marshall, Abigail M.; Van Leeuwen, Sonja M.; Pinnegar, John K.] Ctr Environm Fisheries &amp; Aquaculture Sci, Lowestoft, Suffolk, England; [Bigg, Grant R.] Univ Sheffield, Dept Geog, Sheffield S10 2TN, S Yorkshire, England; [Wei, Hua-Liang] Univ Sheffield, Dept Automat Control &amp; Syst Engn, Sheffield S10 2TN, S Yorkshire, England; [Blanchard, Julia L.] Univ Tasmania, Inst Marine &amp; Antarctic Studies, Hobart, Tas, Australia</t>
  </si>
  <si>
    <t>University of Sheffield; Centre for Environment Fisheries &amp; Aquaculture Science; University of Sheffield; University of Sheffield; University of Tasmania</t>
  </si>
  <si>
    <t>Marshall, AM (corresponding author), Univ Sheffield, Dept Anim &amp; Plant Sci, Sheffield S10 2TN, S Yorkshire, England.;Marshall, AM (corresponding author), Ctr Environm Fisheries &amp; Aquaculture Sci, Lowestoft, Suffolk, England.</t>
  </si>
  <si>
    <t>bop12amm@sheffield.ac.uk</t>
  </si>
  <si>
    <t>Wei, Hua-Liang/AAX-4771-2020; Pinnegar, John K/C-4400-2012; Bigg, Grant/GXW-2219-2022; Blanchard, Julia L/E-4919-2010; Webb, Tom/D-5224-2011</t>
  </si>
  <si>
    <t>Wei, Hua-Liang/0000-0002-4704-7346; Webb, Tom/0000-0003-3183-8116; Blanchard, Julia/0000-0003-0532-4824; Pinnegar, John/0000-0001-5061-9520</t>
  </si>
  <si>
    <t>NERC CASE award [NE/K00914/1]; Cefas; EPSRC [EP/I011056/1] Funding Source: UKRI; NERC [NE/L00321X/1] Funding Source: UKRI; Engineering and Physical Sciences Research Council [EP/I011056/1] Funding Source: researchfish; Natural Environment Research Council [1233640, NE/L00321X/1] Funding Source: researchfish</t>
  </si>
  <si>
    <t>NERC CASE award(UK Research &amp; Innovation (UKRI)Natural Environment Research Council (NERC)); Cefas; EPSRC(UK Research &amp; Innovation (UKRI)Engineering &amp; Physical Sciences Research Council (EPSRC)); NERC(UK Research &amp; Innovation (UKRI)Natural Environment Research Council (NERC)); Engineering and Physical Sciences Research Council(UK Research &amp; Innovation (UKRI)Engineering &amp; Physical Sciences Research Council (EPSRC)); Natural Environment Research Council(UK Research &amp; Innovation (UKRI)Natural Environment Research Council (NERC))</t>
  </si>
  <si>
    <t>The authors are grateful to Simon Jennings for providing fishing effort data, to Jennifer Devine and Henrik Kjems-Nielsen for providing Norway fishing effort data and to Georg Engelhard, Paul Dolder and Kjell Nedreaas for discussions on data and approaches to North Sea fishing effort. JKP would like to acknowledge the Defra project 'Response of ecosystems to fisheries management in a changing environment (FIZZY-FISH)'. AM and JKP thank Cefas for providing financial support to AM as an industrial sponsor of a NERC CASE award (NE/K00914/1). TJW is a Royal Society University Research Fellow. The authors also appreciate the detailed helpful reviews and comments on this manuscript by two anonymous reviewers.</t>
  </si>
  <si>
    <t>10.1111/gcb.13190</t>
  </si>
  <si>
    <t>WOS:000373130700007</t>
  </si>
  <si>
    <t>Mardones, JI; Bolch, C; Guzmán, L; Paredes, J; Varela, D; Hallegraeff, GM</t>
  </si>
  <si>
    <t>Mardones, Jorge I.; Bolch, Chris; Guzman, Leonardo; Paredes, Javier; Varela, Daniel; Hallegraeff, Gustaaf M.</t>
  </si>
  <si>
    <t>Role of resting cysts in Chilean Alexandrium catenella dinoflagellate blooms revisited</t>
  </si>
  <si>
    <t>HARMFUL ALGAE</t>
  </si>
  <si>
    <t>Alexandrium catenella; Mating compatibility/encystment; Mandatory dormancy; Excystment; AFLPs; Chilean cysts field data</t>
  </si>
  <si>
    <t>SPECIES COMPLEX DINOPHYCEAE; GENETIC DIVERSITY; TAMARENSE; EXCYSTMENT; DNA; GERMINATION; POPULATION; FRAGMENT; DORMANCY; FJORDS</t>
  </si>
  <si>
    <t>The detection of sparse Alexandrium catenella-resting cysts in sediments of southern Chilean fjords has cast doubts on their importance in the recurrence of massive toxic dinoflagellate blooms in the region. The role of resting cysts and the existence of different regional Chilean populations was studied by culturing and genetic approaches to define: (1) cyst production; (2) dormancy period; (3) excystment success; (4) offspring viability and (5) strain mating compatibility. This study newly revealed a short cyst dormancy (minimum 69 days), the role of key abiotic factors (in decreasing order salinity, irradiance, temperature and nutrients) controlling cyst germination (max. 60%) and germling growth rates (up to 0.36-0.52 div. day(-1)). Amplified fragment length polymorphism (AFLP) characterization showed significant differences in genetic distances (GD) among A. catenella populations that were primarily determined by the geographical origin of isolates and most likely driven by oceanographic dispersal barriers. A complex heterothallic mating system pointed to variable reproductive compatibility (RCs) among Chilean strains that was high among northern (Los Lagos/North Aysen) and southern populations (Magallanes), but limited among the genetically differentiated central (South Aysen) populations. Field cyst surveys after a massive 2009 bloom event revealed the existence of exceptional high cyst densities in particular areas of the fjords (max. 14.627 cysts cm(-3)), which contrast with low cyst concentrations (&lt;221.3 cysts cm(-3)) detected by previous oceanographic campaigns. In conclusion, the present study suggests that A. catenella resting cysts play a more important role in the success of this species in Chilean fjords than previously thought. Results from in vitro experiments suggest that pelagic-benthic processes can maintain year-round low vegetative cell concentrations in the water column, but also can explain the detection of high cysts aggregations after the 2009-bloom event. Regional drivers that lead to massive outbreaks, however, are still unknown but, potential scenarios are discussed. (C) 2016 Elsevier B.V. All rights reserved.</t>
  </si>
  <si>
    <t>[Mardones, Jorge I.; Bolch, Chris; Hallegraeff, Gustaaf M.] Univ Tasmania, Inst Marine &amp; Antarctic Studies IMAS, Private Bag 129, Hobart, Tas 7001, Australia; [Guzman, Leonardo] IFOP, Balmaceda 252, Puerto Montt 5480000, Chile; [Paredes, Javier; Varela, Daniel] Univ Lagos, Ctr I Mar, Casilla 557, Puerto Montt, Chile; [Paredes, Javier] Univ Catolica Norte, Fac Ciencias Mar, Dept Biol Marina, Programa Doctorado Biol &amp; Ecol Aplicada, Antofagasta, Chile</t>
  </si>
  <si>
    <t>University of Tasmania; Universidad de Los Lagos; Universidad Catolica del Norte</t>
  </si>
  <si>
    <t>Mardones, JI (corresponding author), Univ Tasmania, Inst Marine &amp; Antarctic Studies IMAS, Private Bag 129, Hobart, Tas 7001, Australia.</t>
  </si>
  <si>
    <t>jorge.mardones@utas.edu.au</t>
  </si>
  <si>
    <t>Bolch, Christopher J/J-7619-2014; Varela, Daniel/D-7908-2013; Hallegraeff, Gustaaf/C-8351-2013</t>
  </si>
  <si>
    <t>Varela, Daniel/0000-0003-4603-4970; Hallegraeff, Gustaaf/0000-0001-8464-7343; Mardones, Jorge/0000-0003-3160-0415</t>
  </si>
  <si>
    <t>BECAS-CHILE Program of the National Commission for Scientific and Technological Research (CONICYT); Chilean Ph.D student fellowship from CONICYT; FONDECYT [1130954]; Fisheries and Aquaculture Undersecretary-Instituto de Fomento Pesquero (IFOP)</t>
  </si>
  <si>
    <t>BECAS-CHILE Program of the National Commission for Scientific and Technological Research (CONICYT); Chilean Ph.D student fellowship from CONICYT; FONDECYT(Comision Nacional de Investigacion Cientifica y Tecnologica (CONICYT)CONICYT FONDECYT); Fisheries and Aquaculture Undersecretary-Instituto de Fomento Pesquero (IFOP)</t>
  </si>
  <si>
    <t>We thank Ludmilla Untari, Helen Bond, Sarah Ugalde and Andrea Zuniga for technical assistance. This research was supported by a Ph.D. student fellowship from BECAS-CHILE Program of the National Commission for Scientific and Technological Research (CONICYT) to J. Mardones and by a Chilean Ph.D student fellowship from CONICYT to J. Paredes. Partial funding was provided by FONDECYT) grant 1130954 and agreement Fisheries and Aquaculture Undersecretary-Instituto de Fomento Pesquero (IFOP).[SS]</t>
  </si>
  <si>
    <t>1568-9883</t>
  </si>
  <si>
    <t>1878-1470</t>
  </si>
  <si>
    <t>Harmful Algae</t>
  </si>
  <si>
    <t>10.1016/j.hal.2016.03.020</t>
  </si>
  <si>
    <t>DN8IV</t>
  </si>
  <si>
    <t>WOS:000377323300023</t>
  </si>
  <si>
    <t>Ainley, DG; Eastman, JT; Brooks, CM</t>
  </si>
  <si>
    <t>Ainley, David G.; Eastman, Joseph T.; Brooks, Cassandra M.</t>
  </si>
  <si>
    <t>Comments on The Antarctic toothfish (Dissostichus mawsoni): biology, ecology, and life history in the Ross Sea region, by S. Hanchet et al.</t>
  </si>
  <si>
    <t>Antarctic toothfish; Neutral buoyancy; Axe-handle body condition; Ross Sea; Southern Ocean</t>
  </si>
  <si>
    <t>CIRCUMPOLAR CURRENT; MANAGING FISHERIES; OCEAN CIRCULATION; NOTOTHENIOID FISH; MCMURDO SOUND; ELEGINOIDES; WATERS; SLOPE; DIET; FOOD</t>
  </si>
  <si>
    <t>We expand the paper by Hanchet et al. (Hydrobiologia 761:397-414, 2015), published in Hydrobiologia, by elaborating upon neutral buoyancy, a critical aspect of Antarctic toothfish life history that was only briefly treated by those authors. Neutral buoyancy, although not common among adult notothenioid fish, is an attribute that expands the water column niche space of this species beyond that available to the bottom-dwelling toothfish that were emphasized in the review. Conversely, also not well covered in the review are the implications involved in the suspected absence of neutral buoyancy in the so-called post-spawning, fat-depleted axe-handle fish.</t>
  </si>
  <si>
    <t>[Ainley, David G.] HT Harvey &amp; Associates Ecol Consultants, Los Gatos, CA 95032 USA; [Eastman, Joseph T.] Ohio Univ, Dept Biomed Sci, Athens, OH 45701 USA; [Brooks, Cassandra M.] Stanford Univ, Emmett Interdisciplinary Program Environm &amp; Resou, Stanford, CA 94305 USA</t>
  </si>
  <si>
    <t>University System of Ohio; Ohio University; Stanford University</t>
  </si>
  <si>
    <t>Ainley, DG (corresponding author), HT Harvey &amp; Associates Ecol Consultants, Los Gatos, CA 95032 USA.</t>
  </si>
  <si>
    <t>dainley@penguinscience.com</t>
  </si>
  <si>
    <t>Eastman, Joseph T./O-6150-2019</t>
  </si>
  <si>
    <t>Eastman, Joseph T./0000-0003-3868-261X; Brooks, Cassandra/0000-0002-1397-0394</t>
  </si>
  <si>
    <t>10.1007/s10750-015-2607-4</t>
  </si>
  <si>
    <t>DH5AY</t>
  </si>
  <si>
    <t>WOS:000372798500001</t>
  </si>
  <si>
    <t>Hanchet, S; Dunn, A; Parker, S; Horn, P; Stevens, D; Mormede, S</t>
  </si>
  <si>
    <t>Hanchet, Stuart; Dunn, Alistair; Parker, Steven; Horn, Peter; Stevens, Darren; Mormede, Sophie</t>
  </si>
  <si>
    <t>Comments on The Antarctic toothfish (Dissostichus mawsoni): biology, ecology, and life history in the Ross Sea region, by S. Hanchet et al. Response</t>
  </si>
  <si>
    <t>Antarctic toothfish; Ross Sea; Fishery-dependent data; Neutral buoyancy; Vertical distribution</t>
  </si>
  <si>
    <t>ELEGINOIDES</t>
  </si>
  <si>
    <t>We respond to comments made in the opinion paper by Ainley et al. (Hydrobiologia, 10.1007/s10750-015-2607-4, 2016) regarding our recent publication on the biology, ecology and life history of Antarctic toothfish (Dissostichus mawsoni) in the Ross Sea region. We focus in particular on the spatial and temporal extent of data collected from the fishery; results of research to date on changes in abundance and size of Antarctic toothfish at McMurdo Sound; and the subject of neutral buoyancy and inferences about vertical distribution. We conclude by re-iterating the need for well-designed, standardised research programmes to address remaining uncertainties in its life history.</t>
  </si>
  <si>
    <t>[Hanchet, Stuart; Parker, Steven] Natl Inst Water &amp; Atmospher Res NIWA Ltd, POB 893, Nelson, New Zealand; [Dunn, Alistair; Horn, Peter; Stevens, Darren; Mormede, Sophie] Natl Inst Water &amp; Atmospher Res NIWA Ltd, Private Bag 14901, Wellington, New Zealand</t>
  </si>
  <si>
    <t>National Institute of Water &amp; Atmospheric Research (NIWA) - New Zealand; National Institute of Water &amp; Atmospheric Research (NIWA) - New Zealand</t>
  </si>
  <si>
    <t>Hanchet, S (corresponding author), Natl Inst Water &amp; Atmospher Res NIWA Ltd, POB 893, Nelson, New Zealand.</t>
  </si>
  <si>
    <t>s.hanchet@niwa.co.nz</t>
  </si>
  <si>
    <t>McMahon, Clive R/D-5713-2013</t>
  </si>
  <si>
    <t>McMahon, Clive R/0000-0001-5241-8917</t>
  </si>
  <si>
    <t>10.1007/s10750-016-2691-0</t>
  </si>
  <si>
    <t>WOS:000372798500002</t>
  </si>
  <si>
    <t>van Putten, IE; Frusher, S; Fulton, EA; Hobday, AJ; Jennings, SM; Metcalf, S; Pecl, GT</t>
  </si>
  <si>
    <t>van Putten, Ingrid E.; Frusher, Stewart; Fulton, Elizabeth A.; Hobday, Alistair J.; Jennings, Sarah M.; Metcalf, Sarah; Pecl, Gretta T.</t>
  </si>
  <si>
    <t>Empirical evidence for different cognitive effects in explaining the attribution of marine range shifts to climate change</t>
  </si>
  <si>
    <t>ICES JOURNAL OF MARINE SCIENCE</t>
  </si>
  <si>
    <t>3rd International Symposium on the Effects of Climate Change on the World's Oceans</t>
  </si>
  <si>
    <t>MAR, 2015</t>
  </si>
  <si>
    <t>PICES, Santos, BRAZIL</t>
  </si>
  <si>
    <t>PICES</t>
  </si>
  <si>
    <t>climate change; fisheries; perceptions; range shift</t>
  </si>
  <si>
    <t>PUBLIC PERCEPTIONS; RISK PERCEPTIONS; FISH STOCKS; ADAPTATION; CONSERVATION; FISHERIES; SCIENCE; INFORMATION; UNCERTAINTY; EXTENSION</t>
  </si>
  <si>
    <t>The changing geographical distribution of species, or range shift, is one of the better documented fingerprints of climate change in the marine environment. Range shifts may also lead to dramatic changes in the distribution of economic, social, and cultural opportunities. These challenge marine resource users' capacity to adapt to a changing climate and managers' ability to implement adaptation plans. In particular, a reluctance to attribute marine range shift to climate change can undermine the effectiveness of climate change communications and pose a potential barrier to successful adaptation. Attribution is a known powerful predictor of behavioural intention. Understanding the cognitive processes that underpin the formation of marine resource users' beliefs about the cause of observed marine range shift phenomena is therefore an important topic for research. An examination of the attribution by marine resource users of three types of range shifts experienced in a marine climate change hotspot in southeast Australia to various climate and non-climate drivers indicates the existence of at least three contributing cognitions. These are: (i) engrained mental representations of environmental phenomena, (ii) scientific complexity in the attribution pathway, and (iii) dissonance from the positive or negative nature of the impact. All three play a part in explaining the complex pattern of attribution of marine climate change range shifts, and should be considered when planning for engagement with stakeholders and managers around adaptation to climate change.</t>
  </si>
  <si>
    <t>[van Putten, Ingrid E.; Fulton, Elizabeth A.; Hobday, Alistair J.] CSIRO Oceans &amp; Atmosphere, GPO Box 1538, Hobart, Tas 7001, Australia; [van Putten, Ingrid E.; Frusher, Stewart; Pecl, Gretta T.] Univ Tasmania, Inst Marine &amp; Antarctic Studies, Hobart, Tas 7000, Australia; [van Putten, Ingrid E.; Frusher, Stewart; Fulton, Elizabeth A.; Hobday, Alistair J.; Jennings, Sarah M.; Pecl, Gretta T.] Univ Tasmania, Ctr Marine Socioecol, Hobart, Tas 7000, Australia; [Jennings, Sarah M.] Univ Tasmania, Tasmanian Sch Business &amp; Econ, Hobart, Tas 7000, Australia; [Metcalf, Sarah] Murdoch Univ, Sch Management &amp; Governance, South St, Murdoch, WA 6150, Australia</t>
  </si>
  <si>
    <t>Commonwealth Scientific &amp; Industrial Research Organisation (CSIRO); University of Tasmania; University of Tasmania; University of Tasmania; Murdoch University</t>
  </si>
  <si>
    <t>van Putten, IE (corresponding author), CSIRO Oceans &amp; Atmosphere, GPO Box 1538, Hobart, Tas 7001, Australia.;van Putten, IE (corresponding author), Univ Tasmania, Inst Marine &amp; Antarctic Studies, Hobart, Tas 7000, Australia.;van Putten, IE (corresponding author), Univ Tasmania, Ctr Marine Socioecol, Hobart, Tas 7000, Australia.</t>
  </si>
  <si>
    <t>Frusher, Stewart D/G-5117-2014; Hobday, Alistair/A-1460-2012; Fulton, Beth/A-2871-2008; Fulton, Beth/AAJ-1398-2021; Pecl, Gretta/D-7267-2011; van putten, ingrid/AAV-1301-2021; Jennings, Sarah M/J-7888-2014</t>
  </si>
  <si>
    <t>Fulton, Beth/0000-0002-5904-7917; Pecl, Gretta/0000-0003-0192-4339; van putten, ingrid/0000-0001-8397-9768;</t>
  </si>
  <si>
    <t>1054-3139</t>
  </si>
  <si>
    <t>1095-9289</t>
  </si>
  <si>
    <t>ICES J MAR SCI</t>
  </si>
  <si>
    <t>ICES J. Mar. Sci.</t>
  </si>
  <si>
    <t>10.1093/icesjms/fsv192</t>
  </si>
  <si>
    <t>Fisheries; Marine &amp; Freshwater Biology; Oceanography</t>
  </si>
  <si>
    <t>Science Citation Index Expanded (SCI-EXPANDED); Social Science Citation Index (SSCI); Conference Proceedings Citation Index - Science (CPCI-S)</t>
  </si>
  <si>
    <t>DP6WL</t>
  </si>
  <si>
    <t>WOS:000378640100005</t>
  </si>
  <si>
    <t>Andersen, KH; Blanchard, JL; Fulton, EA; Gislason, H; Jacobsen, NS; van Kooten, T</t>
  </si>
  <si>
    <t>Andersen, Ken H.; Blanchard, Julia L.; Fulton, Elizabeth A.; Gislason, Henrik; Jacobsen, Nis Sand; van Kooten, Tobias</t>
  </si>
  <si>
    <t>Assumptions behind size-based ecosystem models are realistic</t>
  </si>
  <si>
    <t>balanced harvesting; cohort biomass; size-spectrum model</t>
  </si>
  <si>
    <t>MARINE ECOSYSTEMS; BODY-SIZE; FISH; FISHERIES; CONSTRAINTS; COMMUNITY; SPECTRA</t>
  </si>
  <si>
    <t>A recent publication about balanced harvesting (Froese et al., ICES Journal of Marine Science; 73:1640-1650) contains several erroneous statements about size-spectrum models. We refute the statements by showing that the assumptions pertaining to size-spectrum models discussed by Froese et al. are realistic and consistent. We further show that the assumption about density-dependence being described by a stock recruitment relationship is responsible for determining whether a peak in the cohort biomass of a population occurs late or early in life. Finally, we argue that there is indeed a constructive role for a wide suite of ecosystem models to evaluate fishing strategies in an ecosystem context.</t>
  </si>
  <si>
    <t>[Andersen, Ken H.; Gislason, Henrik; Jacobsen, Nis Sand] Tech Univ Denmark, Ctr Ocean Life, Natl Inst Aquat Sci, Jaegersborg Alle 1, DK-2920 Charlottenlund, Denmark; [Blanchard, Julia L.] Univ Tasmania, Inst Marine &amp; Antarctic Studies, 20 Castray Esplanade, Battery Point, Tas 7004, Australia; [Fulton, Elizabeth A.] CSIRO Oceans &amp; Atmosphere, GPO Box 1538, Hobart, Tas 7001, Australia; [van Kooten, Tobias] Inst Marine Res &amp; Ecosyst Studies IMARES, POB 68, NL-1970 AB Ijmuiden, Netherlands</t>
  </si>
  <si>
    <t>Technical University of Denmark; University of Tasmania; Commonwealth Scientific &amp; Industrial Research Organisation (CSIRO); Wageningen University &amp; Research</t>
  </si>
  <si>
    <t>Andersen, KH (corresponding author), Tech Univ Denmark, Ctr Ocean Life, Natl Inst Aquat Sci, Jaegersborg Alle 1, DK-2920 Charlottenlund, Denmark.</t>
  </si>
  <si>
    <t>kha@aqua.dtu.dk</t>
  </si>
  <si>
    <t>Fulton, Beth/AAJ-1398-2021; Blanchard, Julia L/E-4919-2010; Gislason, Henrik/C-1357-2008; Gislason, Henrik/R-9567-2019; Fulton, Beth/A-2871-2008</t>
  </si>
  <si>
    <t>Fulton, Beth/0000-0002-5904-7917; Gislason, Henrik/0000-0003-0242-3333; Jacobsen, Nis Sand/0000-0001-8754-4518; Blanchard, Julia/0000-0003-0532-4824; Andersen, Ken Haste/0000-0002-8478-3430</t>
  </si>
  <si>
    <t>Villum Fonden [00007178] Funding Source: researchfish</t>
  </si>
  <si>
    <t>Villum Fonden(Villum Fonden)</t>
  </si>
  <si>
    <t>10.1093/icesjms/fsv211</t>
  </si>
  <si>
    <t>DQ7AK</t>
  </si>
  <si>
    <t>WOS:000379358600021</t>
  </si>
  <si>
    <t>Wu, AS; Xiong, XX; Cao, CY; Chiang, KF</t>
  </si>
  <si>
    <t>Wu, Aisheng; Xiong, Xiaoxiong; Cao, Changyong; Chiang, Kwo-Fu</t>
  </si>
  <si>
    <t>Assessment of SNPP VIIRS VIS/NIR Radiometric Calibration Stability Using Aqua MODIS and Invariant Surface Targets</t>
  </si>
  <si>
    <t>IEEE TRANSACTIONS ON GEOSCIENCE AND REMOTE SENSING</t>
  </si>
  <si>
    <t>Moderate Resolution Imaging Spectroradiometer (MODIS); vicarious calibration; Visible Infrared Imaging Radiometer Suite (VIIRS)</t>
  </si>
  <si>
    <t>INTERSATELLITE CALIBRATION; BIDIRECTIONAL REFLECTANCE; PERFORMANCE</t>
  </si>
  <si>
    <t>The first Visible Infrared Imaging Radiometer Suite (VIIRS) is onboard the Suomi National Polar-orbiting Partnership (SNPP) satellite. As a primary sensor, it collects imagery and radiometric measurements of the land, atmosphere, cryosphere, and oceans in the spectral regions from visible (VIS) to long-wave infrared. NASA's National Polar-orbiting Partnership (NPP) VIIRS Characterization Support Team has been actively involved in the VIIRS radiometric and geometric calibration to support its Science Team Principal Investigators for their independent quality assessment of VIIRS Environmental Data Records. This paper presents the performance assessment of the radiometric calibration stability of the VIIRS VIS and NIR spectral bands using measurements from SNPP VIIRS and AquaMODIS simultaneous nadir overpasses and over the invariant surface targets at the Libya-4 desert and Antarctic Dome Concordia snow sites. The VIIRS sensor data records (SDRs) used in this paper are reprocessed by the NASA SNPP Land Product Evaluation and Analysis Tool Element. This paper shows that the reprocessed VIIRS SDRs have been consistently calibrated from the beginning of the mission, and the calibration stability is similar to or better than MODIS. Results from different approaches indicate that the calibrations of the VIIRS VIS and NIR spectral bands are maintained to be stable to within 1% over the first three-year mission. The absolute calibration differences between VIIRS and MODIS are within 2%, with an exception for the 0.865-mu m band, after correction of their spectral response differences.</t>
  </si>
  <si>
    <t>[Wu, Aisheng; Chiang, Kwo-Fu] Sci &amp; Syst Applicat Inc, Lanham, MD 20706 USA; [Xiong, Xiaoxiong] NASA, Goddard Space Flight Ctr, Sci &amp; Explorat Directorate, Greenbelt, MD 20771 USA; [Cao, Changyong] Natl Ocean &amp; Atmospher Adm, Natl Environm Satellite Data &amp; Informat Serv, Ctr Satellite Applicat &amp; Res STAR, College Pk, MD 20740 USA</t>
  </si>
  <si>
    <t>Science Systems and Applications Inc; National Aeronautics &amp; Space Administration (NASA); NASA Goddard Space Flight Center; National Oceanic Atmospheric Admin (NOAA) - USA</t>
  </si>
  <si>
    <t>Wu, AS; Chiang, KF (corresponding author), Sci &amp; Syst Applicat Inc, Lanham, MD 20706 USA.;Xiong, XX (corresponding author), NASA, Goddard Space Flight Ctr, Sci &amp; Explorat Directorate, Greenbelt, MD 20771 USA.</t>
  </si>
  <si>
    <t>aisheng.wu@ssaihq.com; Xiaoxiong.Xiong-1@nasa.gov; vincent.chiang@ssaihq.com</t>
  </si>
  <si>
    <t>Cao, Changyong/AAP-7605-2021; Richards, Amber/K-8203-2015</t>
  </si>
  <si>
    <t>Cao, Changyong/0000-0003-3572-6525;</t>
  </si>
  <si>
    <t>IEEE-INST ELECTRICAL ELECTRONICS ENGINEERS INC</t>
  </si>
  <si>
    <t>PISCATAWAY</t>
  </si>
  <si>
    <t>445 HOES LANE, PISCATAWAY, NJ 08855-4141 USA</t>
  </si>
  <si>
    <t>0196-2892</t>
  </si>
  <si>
    <t>1558-0644</t>
  </si>
  <si>
    <t>IEEE T GEOSCI REMOTE</t>
  </si>
  <si>
    <t>IEEE Trans. Geosci. Remote Sensing</t>
  </si>
  <si>
    <t>10.1109/TGRS.2015.2508379</t>
  </si>
  <si>
    <t>Geochemistry &amp; Geophysics; Engineering, Electrical &amp; Electronic; Remote Sensing; Imaging Science &amp; Photographic Technology</t>
  </si>
  <si>
    <t>Geochemistry &amp; Geophysics; Engineering; Remote Sensing; Imaging Science &amp; Photographic Technology</t>
  </si>
  <si>
    <t>DK5OF</t>
  </si>
  <si>
    <t>WOS:000374968500034</t>
  </si>
  <si>
    <t>Negusini, M; Petkov, BH; Sarti, P; Tomasi, C</t>
  </si>
  <si>
    <t>Negusini, Monia; Petkov, Boyan H.; Sarti, Pierguido; Tomasi, Claudio</t>
  </si>
  <si>
    <t>Ground-Based Water Vapor Retrieval in Antarctica: An Assessment</t>
  </si>
  <si>
    <t>Global Positioning System (GPS); radiosounding (RS); reprocessing; troposphere; water vapor</t>
  </si>
  <si>
    <t>NUMERICAL WEATHER PREDICTION; VAISALA RS90 RADIOSONDE; MEAN VERTICAL PROFILES; SURFACE MASS-BALANCE; PRECIPITABLE WATER; HUMIDITY MEASUREMENTS; ABSOLUTE-HUMIDITY; REPROCESSED GPS; CLIMATE MODEL; OCEAN TIDES</t>
  </si>
  <si>
    <t>The atmospheric water vapor is an important indicator of the Earth's climate state and evolution. We therefore aimed at calculating the content and long-term variation of the precipitable water vapor at five coastal Antarctic stations, i.e., Casey, Davis, Mawson, McMurdo, and Mario Zucchelli. To do that, we processed the 12-year time series of GPS and radiosounding (RS) observations acquired at those stations, with the purpose of ensuring the utmost accuracy of the results adopting homogeneous, consistent, and up-to-date processing strategies for both data sets. Using the two fully independent techniques, rather consistent contents and seasonal variations of precipitable water were detected, mainly ranging from 1 (Austral winter) to 10 mm (Austral summer). At each site, correlation coefficients varying from 0.86 to 0.91 were found between the GPS and RS time series, with mean discrepancies &lt;= 0.75 mm. There is no clear indication regarding the possible dry or wet biases of one technique with respect to the other, with only a notable GPS wet bias identified at Mawson and a dry bias at Casey that, nevertheless, correspond to an average difference of &lt; 1 mm on the two series; the biases at the other sites are much smaller. Although extremely small, i.e., ranging from-0.03 to 0.04 mm/year, the linear trends of the series are not always consistent in sign. In accordance with the major climate models, the RS linear trends are mostly positive, whereas depending on the site, GPS exhibits a (very small) decrease or increase in water vapor.</t>
  </si>
  <si>
    <t>[Negusini, Monia; Sarti, Pierguido] Italian Natl Inst Astrophys, Inst Radio Astron, I-40127 Bologna, Italy; [Petkov, Boyan H.; Tomasi, Claudio] Italian Natl Res Council, Inst Atmospher Sci &amp; Climate, I-40129 Bologna, Italy</t>
  </si>
  <si>
    <t>Istituto Nazionale Astrofisica (INAF); Consiglio Nazionale delle Ricerche (CNR); Istituto di Scienze dell'Atmosfera e del Clima (ISAC-CNR)</t>
  </si>
  <si>
    <t>Negusini, M (corresponding author), Italian Natl Inst Astrophys, Inst Radio Astron, I-40127 Bologna, Italy.</t>
  </si>
  <si>
    <t>negusini@ira.inaf.it</t>
  </si>
  <si>
    <t>Negusini, Monia/N-6493-2015; Sarti, Pierguido/D-2391-2009</t>
  </si>
  <si>
    <t>Negusini, Monia/0000-0002-0064-5533; Petkov, Boyan/0000-0002-8328-340X; Sarti, Pierguido/0000-0003-1260-5587</t>
  </si>
  <si>
    <t>National Science Foundation [ANT-0537827, ANT-0838834]</t>
  </si>
  <si>
    <t>The authors would like to thank the Meteo-Climatological Observatory, Programma Nazionale di Ricerche in Antartide (PNRA) (www.climantartide.it) for providing the radiosounding and meteorological measurements at Mario Zucchelli; the University of Wisconsin-Madison Antarctic Meteorological Research Center for the McMurdo data set (National Science Foundation Grant ANT-0537827 and Grant ANT-0838834); and the Department of Atmospheric Science, University of Wyoming for the Casey, Davis, and Mawson data sets. This work was carried out in the framework of PNRA. Fig. 1 was produced using the Generic Mapping Tools [64].</t>
  </si>
  <si>
    <t>10.1109/TGRS.2015.2509059</t>
  </si>
  <si>
    <t>WOS:000374968500036</t>
  </si>
  <si>
    <t>Viehl, TP; Hoeffner, J; Lübken, FJ; Plane, JMC; Kaifler, B; Morris, RJ</t>
  </si>
  <si>
    <t>Viehl, T. P.; Hoeffner, J.; Luebken, F. J.; Plane, J. M. C.; Kaifler, B.; Morris, R. J.</t>
  </si>
  <si>
    <t>Summer time Fe depletion in the Antarctic mesopause region (vol 127, pg 97, 2015)</t>
  </si>
  <si>
    <t>[Viehl, T. P.; Hoeffner, J.; Luebken, F. J.; Kaifler, B.] Univ Rostock, Leibniz Inst Atmospher Phys IAP, Schlossstr 6, D-18225 Kuhlungsborn, Germany; [Plane, J. M. C.] Univ Leeds, Sch Chem, Leeds LS2 9JT, W Yorkshire, England; [Kaifler, B.] German Aerosp Ctr DLR, Inst Phys Atmosphere, Munchner Str 20, D-82234 Wessling, Germany; [Morris, R. J.] AAD, 203 Channel Hwy, Kingston, Tas 7050, Australia</t>
  </si>
  <si>
    <t>Leibniz Institut fur Atmospharenphysik e.V. an der Universitat Rostock (IAP); University of Rostock; University of Leeds; Helmholtz Association; German Aerospace Centre (DLR); Australian Antarctic Division</t>
  </si>
  <si>
    <t>Viehl, TP (corresponding author), Univ Rostock, Leibniz Inst Atmospher Phys IAP, Schlossstr 6, D-18225 Kuhlungsborn, Germany.</t>
  </si>
  <si>
    <t>viehl@iap-kborn.de</t>
  </si>
  <si>
    <t>Kaifler, Bernd/AAK-7237-2021; Plane, John/C-7444-2015</t>
  </si>
  <si>
    <t>Kaifler, Bernd/0000-0002-5891-242X; Plane, John/0000-0003-3648-6893</t>
  </si>
  <si>
    <t>10.1016/j.jastp.2016.02.001</t>
  </si>
  <si>
    <t>WOS:000374079700014</t>
  </si>
  <si>
    <t>Lindström, A; Alerstam, T; Bahlenberg, P; Ekblom, R; Fox, JW; Råghall, J; Klaassen, RHG</t>
  </si>
  <si>
    <t>Lindstrom, Ake; Alerstam, Thomas; Bahlenberg, Peter; Ekblom, Robert; Fox, James W.; Raghall, Johan; Klaassen, Raymond H. G.</t>
  </si>
  <si>
    <t>The migration of the great snipe Gallinago media: intriguing variations on a grand theme</t>
  </si>
  <si>
    <t>JOURNAL OF AVIAN BIOLOGY</t>
  </si>
  <si>
    <t>SATELLITE TRACKING; LONG; STRATEGIES; FLIGHTS; SWEDEN; ROUTES; ALASKA; AREAS; BIRDS</t>
  </si>
  <si>
    <t>The migration of the great snipe Gallinago media was previously poorly known. Three tracks in 2010 suggested a remarkable migratory behaviour including long and fast overland non-stop flights. Here we present the migration pattern of Swedish male great snipes, based on 19 individuals tracked by light-level geolocators in four different years. About half of the birds made stopover(s) in northern Europe in early autumn. They left the breeding area 15 d earlier than those which flew directly to sub-Sahara, suggesting two distinct autumn migration strategies. The autumn trans-Sahara flights were on average 5500 km long, lasted 64 h, and were flown at ground speeds of 25 m s(-1) (90 km h(-1)). The arrival in the Sahel zone of west Africa coincided with the wet season there, and the birds stayed for on average three weeks. The birds arrived at their wintering grounds around the lower stretches of the Congo River in late September and stayed for seven months. In spring the great snipes made trans-Sahara flights of similar length and speed as in autumn, but the remaining migration through eastern Europe was notably slow. All birds returned to the breeding grounds within one week around mid-May. The annual cycle was characterized by relaxed temporal synchronization between individuals during the autumn-winter period, with maximum variation at the arrival in the wintering area. Synchronization increased in spring, with minimum time variation at arrival in the breeding area. This suggests that arrival date in the breeding area is under strong stabilizing selection, while there is room for more flexibility in autumn and arrival to the wintering area. The details of the fast non-stop flights remain to be elucidated, but the identification of the main stopover and wintering areas is important for future conservation work on this red-listed bird species.</t>
  </si>
  <si>
    <t>[Lindstrom, Ake; Alerstam, Thomas] Lund Univ, Dept Biol, Ecol Bldg, SE-22362 Lund, Sweden; [Bahlenberg, Peter; Raghall, Johan] Lake Annsjon Bird Observ, Handol 563, SE-83015 Duved, Sweden; [Ekblom, Robert] Uppsala Univ, Evolutionary Biol Ctr, Dept Ecol &amp; Genet, Norbyvagen 18, SE-75236 Uppsala, Sweden; [Fox, James W.] British Antarctic Survey, Nat Environm Res Council, High Cross, Madingley Rd, Cambridge CB3 0ET, England; [Klaassen, Raymond H. G.] Univ Groningen, Conservat Ecol Grp, NL-9700 AB Groningen, Netherlands</t>
  </si>
  <si>
    <t>Lund University; Uppsala University; UK Research &amp; Innovation (UKRI); Natural Environment Research Council (NERC); NERC British Antarctic Survey; University of Groningen</t>
  </si>
  <si>
    <t>Lindström, A (corresponding author), Lund Univ, Dept Biol, Ecol Bldg, SE-22362 Lund, Sweden.</t>
  </si>
  <si>
    <t>ake.lindstrom@biol.lu.se</t>
  </si>
  <si>
    <t>Klaassen, Raymond/K-3027-2013</t>
  </si>
  <si>
    <t>Fox, James W./0000-0002-3107-696X</t>
  </si>
  <si>
    <t>Swedish Research Council; Centre for Animal Movement Research at Lund Univ. (CAnMove, Linnaeus grant) [349-2007-8690]; Natural Environment Research Council [bas010011] Funding Source: researchfish; NERC [bas010011] Funding Source: UKRI</t>
  </si>
  <si>
    <t>Swedish Research Council(Swedish Research Council); Centre for Animal Movement Research at Lund Univ. (CAnMove, Linnaeus grant); Natural Environment Research Council(UK Research &amp; Innovation (UKRI)Natural Environment Research Council (NERC)); NERC(UK Research &amp; Innovation (UKRI)Natural Environment Research Council (NERC))</t>
  </si>
  <si>
    <t>We are most grateful to Michel Devort for translating and making available the wealth of data on great snipes he collected in sub-Saharan Africa. We thank Michel Devort, Edouard Debayle, Yves Ferrand, Patrice Fevrier and Wlodzimierz Meissner for help with literature Debora Arit for help with providing geolocators and Ulf Ottosson, Michal Korniluk and Pavel Pinchuk for providing unpublished information. Ernesto Alvarado, Hanna Bahlenberg, Lotta Berg, Roeland Bom, Mikael Carlsson, Per Gustafsson, Peter Jonsson, Sofia Jonsson, Meera Lee Sethi, Anna Polotnicka, Anders Tengholm, Erik Tengholm, Johan Tengholm, Jennie Wadman, Bernadetta Wolczuk and Magda Zadrag assisted during field work. Financial support was received from the Swedish Research Council (to TA) and the Centre for Animal Movement Research at Lund Univ. (CAnMove, Linnaeus grant 349-2007-8690). The work was carried out under permit from the Lund/Malmo Ethical Committee for Animal Experiments (M112-09, M27-10, M470-12, M33-13).</t>
  </si>
  <si>
    <t>0908-8857</t>
  </si>
  <si>
    <t>1600-048X</t>
  </si>
  <si>
    <t>J AVIAN BIOL</t>
  </si>
  <si>
    <t>J. Avian Biol.</t>
  </si>
  <si>
    <t>10.1111/jav.00829</t>
  </si>
  <si>
    <t>Ornithology</t>
  </si>
  <si>
    <t>DX9AR</t>
  </si>
  <si>
    <t>WOS:000384685500004</t>
  </si>
  <si>
    <t>Guerrero, AI; Negrete, J; Márquez, MEI; Mennucci, J; Zaman, K; Rogers, TL</t>
  </si>
  <si>
    <t>Guerrero, A. I.; Negrete, J.; Marquez, M. E. I.; Mennucci, J.; Zaman, K.; Rogers, T. L.</t>
  </si>
  <si>
    <t>Vertical fatty acid composition in the blubber of leopard seals and the implications for dietary analysis</t>
  </si>
  <si>
    <t>JOURNAL OF EXPERIMENTAL MARINE BIOLOGY AND ECOLOGY</t>
  </si>
  <si>
    <t>Antarctic Pack Ice Seals; Feeding; Lipids; Pinnipeds; Stratification; Top Predator</t>
  </si>
  <si>
    <t>PACK-ICE SEALS; HYDRURGA-LEPTONYX; PRYDZ BAY; ANTARCTIC KRILL; EUPHAUSIA-SUPERBA; FORAGING ECOLOGY; MIROUNGA-LEONINA; SEX-DIFFERENCES; STABLE-ISOTOPE; STRATIFICATION</t>
  </si>
  <si>
    <t>The analysis of blubber fatty acids (FAs) is a useful tool to infer diet of mammals that live in remote regions where year-round studies are difficult. The FA may not be distributed uniformly within the blubber, which can have implications for dietary predictive studies. The aim of this study was to determine the FA composition in the blubber core of the Antarctic leopard seal, Hydrurga leptonyx, and evaluate the potential implications of FA stratification for dietary analysis. The blubber cores of 24 seals were sub-sectioned into outer, middle and inner layers and their FA were compared to those of their potential prey species. A vertical variation in FA composition was found across the whole blubber core of the leopard seal. 17 FAs were found at greater than trace amounts (&gt;0.5%) across all samples and the most abundant were: C18:1 omega 9, C16:1, C22:6 omega 3, C16:0 and C18:1 omega 7, which accounted for approximately 70% of the total FA. Almost all FAs had a continuous gradient through the blubber. Principal Component Analysis confirmed separation between inner and outer layers while the middle layer was a transition. The stratification of the leopard seal blubber was similar to the general pattern observed in a variety of marine species: monounsaturated FA (MUFA) dominated the three layers being more abundant in the outer layer, polyunsaturated (PUFA) and saturated FA (SFA) were more abundant in the inner layer. Polyunsaturated FAs are of dietary origin and SFAS are chemically inert so they can be used as a long-term reserve, which suggest that the inner layer is the site of deposition of the FA obtained from diet. The influence of prey on the composition of the leopard seals' blubber was clearer in the inner layer, although neither outer nor inner layers exactly matched the FA of the potential prey. This suggests that there are other components influencing the FA composition of this predator; therefore, in order to carry out dietary analysis it is important to consider the stratification of blubber and to use the inner layer, where the influence of diet is more evident. This has significant implications for sampling methods in the field. (C) 2016 The Authors. Published by Elsevier B.V.</t>
  </si>
  <si>
    <t>[Guerrero, A. I.; Rogers, T. L.] Univ New S Wales, Sch Biol Earth &amp; Environm Sci, Evolut &amp; Ecol Res Ctr, Sydney, NSW 2052, Australia; [Negrete, J.; Marquez, M. E. I.; Mennucci, J.] Inst Antartico Argentino, Cerrito 1248,C10140 AAZ, Buenos Aires, DF, Argentina; [Zaman, K.] Univ Sydney, Sch Mol Biosci, Discipline Nutr &amp; Metab, Bldg G08, Sydney, NSW 2006, Australia</t>
  </si>
  <si>
    <t>University of New South Wales Sydney; Instituto Antartico Argentino; University of Sydney</t>
  </si>
  <si>
    <t>Guerrero, AI (corresponding author), Univ New S Wales, Sch Biol Earth &amp; Environm Sci, Evolut &amp; Ecol Res Ctr, Sydney, NSW 2052, Australia.</t>
  </si>
  <si>
    <t>a.guerrero@student.unsw.edu.au</t>
  </si>
  <si>
    <t>Rogers, Tracey L/C-3419-2008</t>
  </si>
  <si>
    <t>Rogers, Tracey/0000-0002-7141-4177; Negrete, Javier/0000-0001-6853-8307</t>
  </si>
  <si>
    <t>0022-0981</t>
  </si>
  <si>
    <t>1879-1697</t>
  </si>
  <si>
    <t>J EXP MAR BIOL ECOL</t>
  </si>
  <si>
    <t>J. Exp. Mar. Biol. Ecol.</t>
  </si>
  <si>
    <t>10.1016/j.jembe.2016.02.004</t>
  </si>
  <si>
    <t>Ecology; Marine &amp; Freshwater Biology</t>
  </si>
  <si>
    <t>DJ4TF</t>
  </si>
  <si>
    <t>WOS:000374200200007</t>
  </si>
  <si>
    <t>De Rydt, J; Gudmundsson, GH</t>
  </si>
  <si>
    <t>De Rydt, J.; Gudmundsson, G. H.</t>
  </si>
  <si>
    <t>Coupled ice shelf-ocean modeling and complex grounding line retreat from a seabed ridge</t>
  </si>
  <si>
    <t>PINE ISLAND GLACIER; WEST ANTARCTICA; JAKOBSHAVN ISBRAE; SHEET; BENEATH; THWAITES; SIMULATIONS; CIRCULATION; SENSITIVITY; STABILITY</t>
  </si>
  <si>
    <t>Recent observations and modeling work have shown a complex mechanical coupling between Antarctica's floating ice shelves and the adjacent grounded ice sheet. A prime example is Pine Island Glacier, West Antarctica, which has a strong negative mass balance caused by a recent increase in ocean-induced melting of its ice shelf. The mass loss coincides with the retreat of the grounding line from a seabed ridge, on which it was at least partly grounded until the 1970s. At present, it is unclear what has caused the onset of this retreat and how feedback mechanisms between the ocean and ice shelf geometry have influenced the ice dynamics. To address these questions, we present the first results from an offline coupling between a state-of-the-art shallow-ice flow model with grounding line resolving capabilities and a three-dimensional ocean general circulation model with a static implementation of the ice shelf. A series of idealized experiments simulate the retreat from a seabed ridge in response to changes in the ocean forcing, and we show that the retreat becomes irreversible after 20 years of warm ocean conditions. A comparison to experiments with a simple depth-dependent melt rate parameterization demonstrates that such parameterizations are unable to capture the details of the retreat process, and they overestimate mass loss by more than 40% over a 50 year timescale.</t>
  </si>
  <si>
    <t>[De Rydt, J.; Gudmundsson, G. H.] British Antarctic Survey, Cambridge, England</t>
  </si>
  <si>
    <t>De Rydt, J (corresponding author), British Antarctic Survey, Cambridge, England.</t>
  </si>
  <si>
    <t>janryd69@bas.ac.uk</t>
  </si>
  <si>
    <t>Gudmundsson, Gudmundur Hilmar/F-6499-2012; Gudmundsson, Gudmundur Hilmar/AAU-5987-2020; De Rydt, Jan/H-5692-2018</t>
  </si>
  <si>
    <t>Gudmundsson, Gudmundur Hilmar/0000-0003-4236-5369; Gudmundsson, Gudmundur Hilmar/0000-0003-4236-5369; De Rydt, Jan/0000-0002-2978-8706</t>
  </si>
  <si>
    <t>European Union [PIEF-GA-2011-301268]; Natural Environment Research Council (NERC); Natural Environment Research Council [bas0100034, NE/J00569X/1] Funding Source: researchfish; NERC [bas0100034, NE/J00569X/1] Funding Source: UKRI</t>
  </si>
  <si>
    <t>European Union(European Union (EU)); Natural Environment Research Council (NERC)(UK Research &amp; Innovation (UKRI)Natural Environment Research Council (NERC)); Natural Environment Research Council(UK Research &amp; Innovation (UKRI)Natural Environment Research Council (NERC)); NERC(UK Research &amp; Innovation (UKRI)Natural Environment Research Council (NERC))</t>
  </si>
  <si>
    <t>J.D.R. was funded through a Marie Curie fellowship (European Union Seventh Framework Programme (FP7/2007-2013), grant PIEF-GA-2011-301268), and J.D.R. and G.H.G. were partly supported by core funding from the Natural Environment Research Council (NERC) to the British Antarctic Survey. We thank Adrian Jenkins, Paul Holland and two anonymous reviewers for their detailed comments that helped to improve the manuscript.</t>
  </si>
  <si>
    <t>10.1002/2015JF003791</t>
  </si>
  <si>
    <t>WOS:000382580100003</t>
  </si>
  <si>
    <t>Tamura, T; Ohshima, KI; Fraser, AD; Williams, GD</t>
  </si>
  <si>
    <t>Tamura, Takeshi; Ohshima, Kay I.; Fraser, Alexander D.; Williams, Guy D.</t>
  </si>
  <si>
    <t>Sea ice production variability in Antarctic coastal polynyas</t>
  </si>
  <si>
    <t>MERTZ GLACIER POLYNYA; WESTERN WEDDELL-SEA; LAND BOTTOM WATER; EAST ANTARCTICA; SOUTHERN-OCEAN; ROSS SEA; ADELIE DEPRESSION; HEAT-FLUX; CLIMATE; 140-DEGREES-E</t>
  </si>
  <si>
    <t>Enhanced sea ice production (SIP) in Antarctic coastal polynyas forms dense shelf water (DSW), leading to Antarctic Bottom Water (AABW) formation that ultimately drives the lower limb of the meridional overturning circulation. Some studies suggest that the variability of SIP in Antarctic coastal polynyas is driven by the influence of atmospheric forcing, i.e., surface winds and air temperature. Our previous mapping of SIP in 13 major Antarctic coastal polynyas from 1992 to 2007, using a heat flux calculation with ice thickness data derived from satellite data, is extended here to examine the interannual and seasonal variability of SIP from 1992 to 2013. The interannual variability of total ice production correlates more strongly with polynya extent than with atmospheric forcing, with the exception of the Shackleton Polynya, which correlates well with wind. There is no coherent signal in the interannual variability between the major Antarctic coastal polynyas. We find that stochastic changes to the coastal icescape, i.e., ice shelves, floating glaciers, fast ice, together with offshore first-year ice, are also important factors driving SIP variability on multiyear time scales. Both the Ross Ice Shelf Polynya and Mertz Glacier Polynya experienced a significant reduction in SIP due to calving events and the repositioning of icebergs and fast ice. Our results also show opposing trends between polynya-based SIP and sea ice extent in key regions of Antarctic sea ice change. Close monitoring of coastal icescape dynamics and change is essential to better understand the long-term impact of coastal polynya variability and its influence on regional AABW production.</t>
  </si>
  <si>
    <t>[Tamura, Takeshi] Natl Inst Polar Res, Tachikawa, Tokyo, Japan; [Tamura, Takeshi] Grad Univ Adv Studies, SOKENDAI, Tachikawa, Tokyo, Japan; [Tamura, Takeshi; Fraser, Alexander D.; Williams, Guy D.] Univ Tasmania, Antarctic Climate &amp; Ecosyst Cooperat Res Ctr, Hobart, Tas, Australia; [Ohshima, Kay I.; Fraser, Alexander D.] Hokkaido Univ, Inst Low Temp Sci, Sapporo, Hokkaido, Japan; [Williams, Guy D.] Univ Tasmania, Inst Marine &amp; Antarctic Studies, Hobart, Tas, Australia</t>
  </si>
  <si>
    <t>Research Organization of Information &amp; Systems (ROIS); National Institute of Polar Research (NIPR) - Japan; Graduate University for Advanced Studies - Japan; University of Tasmania; Antarctic Climate &amp; Ecosystems Cooperative Research Centre (ACE CRC); Hokkaido University; University of Tasmania</t>
  </si>
  <si>
    <t>Tamura, T (corresponding author), Natl Inst Polar Res, Tachikawa, Tokyo, Japan.;Tamura, T (corresponding author), Grad Univ Adv Studies, SOKENDAI, Tachikawa, Tokyo, Japan.;Tamura, T (corresponding author), Univ Tasmania, Antarctic Climate &amp; Ecosyst Cooperat Res Ctr, Hobart, Tas, Australia.</t>
  </si>
  <si>
    <t>tamura.takeshi@nipr.ac.jp</t>
  </si>
  <si>
    <t>Ohshima, Kay I/D-6909-2012; Fraser, Alexander/AFO-7186-2022</t>
  </si>
  <si>
    <t>Fraser, Alexander/0000-0003-1924-0015</t>
  </si>
  <si>
    <t>Core Research for Evolutional Science and Technology of Japan Science and Technology Agency; Japanese Ministry of Education, Culture, Sports, Science and Technology [20221001, 24810030, 2503748, 25241001, 26740007]; Center for the Promotion of Integrated Sciences of SOKENDAI; Canon Foundation; Global Change Observation Mission 1st-Water (GCOM-W1) of JAXA; National Institute of Polar Research (NIPR) [KP-14]; Institute of Low Temperature Science, Hokkaido University; NIPR; Australian Research Council [4073, 4116]; Australian Government's Cooperative Research Centers Program through the Antarctic Climate &amp; Ecosystems Cooperative Research Centre (ACE CRC); Grants-in-Aid for Scientific Research [26740007, 15H01726, 25241001, 24810030] Funding Source: KAKEN</t>
  </si>
  <si>
    <t>Core Research for Evolutional Science and Technology of Japan Science and Technology Agency(Core Research for Evolutional Science and Technology (CREST)); Japanese Ministry of Education, Culture, Sports, Science and Technology(Ministry of Education, Culture, Sports, Science and Technology, Japan (MEXT)); Center for the Promotion of Integrated Sciences of SOKENDAI; Canon Foundation(Canon Foundation); Global Change Observation Mission 1st-Water (GCOM-W1) of JAXA; National Institute of Polar Research (NIPR)(National Institute of Polar Research (NIPR) - Japan); Institute of Low Temperature Science, Hokkaido University; NIPR(National Institute of Polar Research (NIPR) - Japan); Australian Research Council(Australian Research Council); Australian Government's Cooperative Research Centers Program through the Antarctic Climate &amp; Ecosystems Cooperative Research Centre (ACE CRC)(Australian GovernmentDepartment of Industry, Innovation and ScienceCooperative Research Centres (CRC) Programme); Grants-in-Aid for Scientific Research(Ministry of Education, Culture, Sports, Science and Technology, Japan (MEXT)Japan Society for the Promotion of ScienceGrants-in-Aid for Scientific Research (KAKENHI))</t>
  </si>
  <si>
    <t>The SSM/I data were provided by the National Snow and Ice Data Center, University of Colorado. The ERA-interim data were obtained from the ECMWF Research Data Server (http://data.ecmwf.int/data/). This work was supported by funds from the Core Research for Evolutional Science and Technology of Japan Science and Technology Agency, from the Grant-in-Aids for Scientific Research (20221001, 24810030, 2503748, 25241001, and 26740007) of the Japanese Ministry of Education, Culture, Sports, Science and Technology, from the Center for the Promotion of Integrated Sciences of SOKENDAI, from the Canon Foundation, from the Global Change Observation Mission 1st-Water (GCOM-W1) of JAXA, from National Institute of Polar Research (NIPR) through Project Research KP-14, and from the grant for Joint Research Program of the Institute of Low Temperature Science, Hokkaido University. The production of this paper was supported by an NIPR publication subsidy. This work was also carried out as part of Australian Antarctic Science Projects 4073 and 4116, and was supported by the Australian Research Council and the Australian Government's Cooperative Research Centers Program through the Antarctic Climate &amp; Ecosystems Cooperative Research Centre (ACE CRC). Elephant seal data were sourced from the Integrated Marine Observing System (IMOS)-IMOS is a national collaborative research infrastructure, supported by Australian Government.</t>
  </si>
  <si>
    <t>10.1002/2015JC011537</t>
  </si>
  <si>
    <t>WOS:000383466500008</t>
  </si>
  <si>
    <t>Hutchinson, K; Swart, S; Meijers, A; Ansorge, I; Speich, S</t>
  </si>
  <si>
    <t>Hutchinson, K.; Swart, S.; Meijers, A.; Ansorge, I.; Speich, S.</t>
  </si>
  <si>
    <t>Decadal-scale thermohaline variability in the Atlantic sector of the Southern Ocean</t>
  </si>
  <si>
    <t>ANTARCTIC CIRCUMPOLAR CURRENT; GRAVEST EMPIRICAL MODE; INTERMEDIATE WATER; CLIMATE-CHANGE; ANNULAR MODE; HEMISPHERE WESTERLIES; AGULHAS LEAKAGE; SEA-LEVEL; CIRCULATION; TRANSPORT</t>
  </si>
  <si>
    <t>An enhanced Altimetry Gravest Empirical Mode (AGEM), including both adiabatic and diabatic trends, is developed for the Antarctic Circumpolar Current (ACC) south of Africa using updated hydrographic CTD sections, Argo data, and satellite altimetry. This AGEM has improved accuracy compared to traditional climatologies and other proxy methods. The AGEM for the Atlantic Southern Ocean offers an ideal technique to investigate the thermohaline variability over the past two decades in a key region for water mass exchanges and transformation. In order to assess and attribute changes in the hydrography of the region, we separate the changes into adiabatic and diabatic components. Integrated over the upper 2000 dbar of the ACC south of Africa, results show mean adiabatic changes of 0.16 +/- 0.11 degrees C decade(-1) and 0.006 +/- 0.014 decade(-1), and diabatic differences of 20.044 +/- 0.13 degrees C decade(-1) and 20.01 +/- 0.017 decade(-1) for temperature and salinity, respectively. The trends of the resultant AGEM, that include both adiabatic and diabatic variability (termed AD-AGEM), show a significant increase in the heat content of the upper 2000 dbar of the ACC with a mean warming of 0.1260.087 degrees C decade(-1). This study focuses on the Antarctic Intermediate Water (AAIW) mass where negative diabatic trends dominate positive adiabatic differences in the Subantarctic Zone (SAZ), with results indicating a cooling (-0.17 degrees C decade(-1)) and freshening (-0.032 decade(-1)) of AAIW in this area, whereas south of the SAZ positive adiabatic and diabatic trends together create a cumulative warming (0.31 degrees C decade(-1)) and salinification (0.014 decade(-1)) of AAIW.</t>
  </si>
  <si>
    <t>[Hutchinson, K.; Swart, S.; Ansorge, I.] Univ Cape Town, Marine Res Inst, Dept Oceanog, Cape Town, South Africa; [Hutchinson, K.] SAEON Egagasini Node, South African Environm Observat Network, Cape Town, South Africa; [Swart, S.] CSIR, Southern Ocean Carbon &amp; Climate Observ, Cape Town, South Africa; [Meijers, A.] British Antarctic Survey, Cambridge, England; [Speich, S.] Ecole Normale Super, Dept Geosci, Lab Meteorol Dynam, Paris, France</t>
  </si>
  <si>
    <t>University of Cape Town; National Research Foundation - South Africa; South African Environmental Observation Network (SAEON); Council for Scientific &amp; Industrial Research (CSIR) - South Africa; UK Research &amp; Innovation (UKRI); Natural Environment Research Council (NERC); NERC British Antarctic Survey; Sorbonne Universite; Universite PSL; Ecole Normale Superieure (ENS)</t>
  </si>
  <si>
    <t>Hutchinson, K (corresponding author), Univ Cape Town, Marine Res Inst, Dept Oceanog, Cape Town, South Africa.;Hutchinson, K (corresponding author), SAEON Egagasini Node, South African Environm Observat Network, Cape Town, South Africa.</t>
  </si>
  <si>
    <t>kath.hutchinson@gmail.com</t>
  </si>
  <si>
    <t>ANSORGE, ISABELLE/AAY-7396-2020; Speich, Sabrina/L-3780-2014; Swart, Sebastiaan/U-5498-2017</t>
  </si>
  <si>
    <t>Speich, Sabrina/0000-0002-5452-8287; Ansorge, Isabelle/0000-0001-7071-8147; Swart, Sebastiaan/0000-0002-2251-8826; Hutchinson, Katherine/0000-0002-3472-8273</t>
  </si>
  <si>
    <t>South African National Research Fund (NRF); South African National Antarctic Programme (SANAP) [SNA14071475720]; South Atlantic Meridional Overturning Circulation (SAMOC) group; Council for Scientific and Industrial Research (CSIR); Alfred Wegener Institute; Shirshov Institute of Oceanology; BONUS-GoodHope campaign; Natural Environment Research Council [bas0100033] Funding Source: researchfish; NERC [bas0100033] Funding Source: UKRI</t>
  </si>
  <si>
    <t>South African National Research Fund (NRF); South African National Antarctic Programme (SANAP); South Atlantic Meridional Overturning Circulation (SAMOC) group; Council for Scientific and Industrial Research (CSIR)(Council of Scientific &amp; Industrial Research (CSIR) - India); Alfred Wegener Institute; Shirshov Institute of Oceanology(Russian Academy of Sciences); BONUS-GoodHope campaign; Natural Environment Research Council(UK Research &amp; Innovation (UKRI)Natural Environment Research Council (NERC)); NERC(UK Research &amp; Innovation (UKRI)Natural Environment Research Council (NERC))</t>
  </si>
  <si>
    <t>The authors would like to acknowledge the financial support necessary to carry out this research provided by the South African National Research Fund (NRF), the South African National Antarctic Programme (SANAP; S. Swart SANAP grant SNA14071475720), the South Atlantic Meridional Overturning Circulation (SAMOC) group, and the Council for Scientific and Industrial Research (CSIR). This study would not have been possible without the data collected by the hydrographic cruises conducted under the auspices of the Alfred Wegener Institute aboard the RV Polarstern, the Shirshov Institute of Oceanology aboard the RV Akademik Sergey Vavilov, and the BONUS-GoodHope campaign aboard the RV Marion Dufresne, and the float data collected thanks to the Argo profiling float network and collected at the Coriolis Data Center. The CTD data can be obtained by contacting Associate Professor Isabelle Ansorge (isabelle.ansorge@uct.ac.za) or Professor Sabrina Speich (speech@lmd.ens.fr) and the Argo data can be found at the following web address: http://www.argodatamgt.org/Documentation/Access-via-ftp-on-GDAC, or ftp address: ftp://ftp.ifremer.fr/ifremer/argo. The satellite measurements are available from AVISO at: http://www.aviso.altimetry.fr/en/data/products/auxiliary-products/mdt.html. The authors would like to extend our thanks to the reviewers for their valuable contributions and suggestions that helped improve this paper.</t>
  </si>
  <si>
    <t>10.1002/2015JC011491</t>
  </si>
  <si>
    <t>WOS:000383466500020</t>
  </si>
  <si>
    <t>Robinson, J; Popova, EE; Srokosz, MA; Yool, A</t>
  </si>
  <si>
    <t>Robinson, J.; Popova, E. E.; Srokosz, M. A.; Yool, A.</t>
  </si>
  <si>
    <t>A tale of three islands: Downstream natural iron fertilization in the Southern Ocean</t>
  </si>
  <si>
    <t>EXPORT EXPERIMENT CROZEX; LARGE-SCALE CIRCULATION; KERGUELEN PLATEAU; PHYTOPLANKTON BLOOM; POLAR FRONT; CARBON SEQUESTRATION; ANTARCTIC PENINSULA; DISSOLVED IRON; GEORGIA; CHLOROPHYLL</t>
  </si>
  <si>
    <t>Iron limitation of primary productivity prevails across much of the Southern Ocean but there are exceptions; in particular, the phytoplankton blooms associated with the Kerguelen Plateau, Crozet Islands, and South Georgia. These blooms occur annually, fertilized by iron and nutrient-rich shelf waters that are transported downstream from the islands. Here we use a high-resolution (1/12 degrees) ocean general circulation model and Lagrangian particle tracking to investigate whether inter-annual variability in the potential lateral advection of iron could explain the inter-annual variability in the spatial extent of the blooms. Comparison with ocean color data, 1998-2007, suggests that iron fertilization via advection can explain the extent of each island's annual bloom, but only the inter-annual variability of the Crozet bloom. The area that could potentially be fertilized by iron from Kerguelen was much larger than the bloom, suggesting that there is another primary limiting factor, potentially silicate, that controls the inter-annual variability of bloom spatial extent. For South Georgia, there are differences in the year-to-year timing of advection and consequently fertilization, but no clear explanation of the inter-annual variability observed in the bloom's spatial extent has been identified. The model results suggest that the Kerguelen and Crozet blooms are terminated by nutrient exhaustion, probably iron and or silicate, whereas the deepening of the mixed layer in winter terminates the South Georgia bloom. Therefore, iron fertilization via lateral advection alone can explain the annual variability of the Crozet bloom, but not fully that of the Kerguelen and South Georgia blooms.</t>
  </si>
  <si>
    <t>[Robinson, J.; Popova, E. E.; Srokosz, M. A.; Yool, A.] Univ Southampton, Natl Oceanog Ctr, Southampton, Hants, England; [Robinson, J.] Univ Southampton, Ocean &amp; Earth Sci, Southampton, Hants, England</t>
  </si>
  <si>
    <t>NERC National Oceanography Centre; University of Southampton; University of Southampton</t>
  </si>
  <si>
    <t>Robinson, J (corresponding author), Univ Southampton, Natl Oceanog Ctr, Southampton, Hants, England.;Robinson, J (corresponding author), Univ Southampton, Ocean &amp; Earth Sci, Southampton, Hants, England.</t>
  </si>
  <si>
    <t>josie.robinson@noc.soton.ac.uk</t>
  </si>
  <si>
    <t>Popova, Ekaterina E/B-4520-2012; Yool, Andrew/B-4799-2012</t>
  </si>
  <si>
    <t>Popova, Ekaterina E/0000-0002-2012-708X; Yool, Andrew/0000-0002-9879-2776; Robinson, Josie/0000-0002-5358-2417</t>
  </si>
  <si>
    <t>UK Natural Environment Research Council [NE/K500938/1]; NERC [noc010010, NE/K500938/1] Funding Source: UKRI; Natural Environment Research Council [noc010010, noc010012, 1272559] Funding Source: researchfish</t>
  </si>
  <si>
    <t>UK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</si>
  <si>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The velocity altimeter products were produced by Ssalto/Duacs and distributed by Aviso, with support from CNES (http://www.aviso.oceanobs.com/duacs/). Ocean Colour Climate Change Initiative data set, Version 2.0, European Space Agency, available online at http://www.esa-oceancolour-cci.org/. This study was carried out using the computational tool Ariane, developed by B. Blanke and N. Grima. The 1/12 degrees S NEMO simulation used in this work was produced using the ARCHER UK National Supercomputing Service (http://www.archer.ac.uk). This work was funded by the UK Natural Environment Research Council through a PhD studentship for J.R. (NE/K500938/1), and National Capability Funding for E.E.P., M.A.S., and A.Y. The data presented in this study can be obtained by contacting the lead author. The authors would like to thank Phillip Boyd and Eugene Murphy, for their feedback which greatly improved the work.</t>
  </si>
  <si>
    <t>10.1002/2015JC011319</t>
  </si>
  <si>
    <t>WOS:000383466500031</t>
  </si>
  <si>
    <t>Weldrick, CK; Jelinski, DE</t>
  </si>
  <si>
    <t>Weldrick, C. K.; Jelinski, D. E.</t>
  </si>
  <si>
    <t>Resource subsidies from multi-trophic aquaculture affect isotopic niche width in wild blue mussels (Mytilus edulis)</t>
  </si>
  <si>
    <t>JOURNAL OF MARINE SYSTEMS</t>
  </si>
  <si>
    <t>Mytilus edulis; Integrated multi-trophic aquaculture; Isotopic niche width; Filter feeders; Spatial subsidies</t>
  </si>
  <si>
    <t>PARTICULATE ORGANIC-MATTER; SALMON SALMO-SALAR; STABLE-ISOTOPE; ATLANTIC SALMON; FOOD-WEB; DELTA-C-13; DELTA-N-15; CARBON; WASTE; CONSUMERS</t>
  </si>
  <si>
    <t>Blue mussels (Mytilus edulis) are boreo-temperate, filter-feeding bivalves common to intertidal areas. As filter feeders they have been employed in open-water, multi-tropic aquaculture systems to reduce organic benthic loading though the exploitation of suspended particulate organic materials. We compared delta C-13 and delta N-15 signatures and the isotopic niches of mussels growing in, and adjacent to, an integrated multi-trophic aquaculture (IMTA) farm in British Columbia, Canada, and using this information evaluated the contribution of aquaculture-derived effluent to their diet. Farm-sampled mussels had the least intraspecific isotopic variation compared to mussels sampled at the reference site. The interaction between time (i.e. sampling dates) and site did not significantly affect the isotopic composition of mussels; however significant variation was detected in delta N-15 values as a function of sampling date and particulate organic matter. A two-source isotopic mixing model indicated that marine particulate organic matter and IMTA farm effluent were approximately equal in importance (similar to 46 % and similar to 54 %, respectively) to the diet of IMTA-retrieved mussels. Uptake of IMTA farm waste by M. edulis supports their use as economic extractives while also mitigating farmed sablefish (Anoplopoma fimbria) nutrient loading to the aquatic environment. Crown Copyright (C) 2016 Published by Elsevier B.V. All rights reserved.</t>
  </si>
  <si>
    <t>[Weldrick, C. K.; Jelinski, D. E.] Univ Victoria, Dept Geog, Lab Ecosyst &amp; Landscape Ecol, Victoria, BC V8W 3R4, Canada; [Weldrick, C. K.] Univ Tasmania, Inst Marine &amp; Antarctic Studies, Private Bag 49, Hobart, Tas 7001, Australia</t>
  </si>
  <si>
    <t>University of Victoria; University of Tasmania</t>
  </si>
  <si>
    <t>Jelinski, DE (corresponding author), Univ Victoria, Dept Geog, Lab Ecosyst &amp; Landscape Ecol, Victoria, BC V8W 3R4, Canada.</t>
  </si>
  <si>
    <t>jelinski@mail.geog.uvic.ca</t>
  </si>
  <si>
    <t>Weldrick, Christine/N-2617-2017</t>
  </si>
  <si>
    <t>Weldrick, Christine/0000-0003-1099-438X</t>
  </si>
  <si>
    <t>National Sciences and Engineering Research Council (NSERC)</t>
  </si>
  <si>
    <t>National Sciences and Engineering Research Council (NSERC)(Natural Sciences and Engineering Research Council of Canada (NSERC))</t>
  </si>
  <si>
    <t>We are grateful to Dr. Steve F. Cross for access to the IMTA site and logistical support. C.K. Weldrick was supported in part by grants to D.E. Jelinski and S.F. Cross from the National Sciences and Engineering Research Council (NSERC). Thanks to Andrew Parnell for information related to the modeling-related parts of the paper including our use of Saber and simmr. We appreciate the editorial assistance of D. Braithwaite and T.M. Holmes. An anonymous reviewer provided a range of useful suggestions that improved the manuscript. DEJ thanks Guinesss Bell-Martin for constructive feedback during the preparation of the final version of the manuscript</t>
  </si>
  <si>
    <t>0924-7963</t>
  </si>
  <si>
    <t>1879-1573</t>
  </si>
  <si>
    <t>J MARINE SYST</t>
  </si>
  <si>
    <t>J. Mar. Syst.</t>
  </si>
  <si>
    <t>10.1016/j.jmarsys.2016.01.001</t>
  </si>
  <si>
    <t>Geosciences, Multidisciplinary; Marine &amp; Freshwater Biology; Oceanography</t>
  </si>
  <si>
    <t>Geology; Marine &amp; Freshwater Biology; Oceanography</t>
  </si>
  <si>
    <t>DG2ZE</t>
  </si>
  <si>
    <t>WOS:000371938500010</t>
  </si>
  <si>
    <t>Ivanov, V; Alexeev, V; Koldunov, NV; Repina, I; Sando, AB; Smedsrud, LH; Smirnov, A</t>
  </si>
  <si>
    <t>Ivanov, Vladimir; Alexeev, Vladimir; Koldunov, Nikolay V.; Repina, Irina; Sando, Anne Britt; Smedsrud, Lars Henrik; Smirnov, Alexander</t>
  </si>
  <si>
    <t>Arctic Ocean Heat Impact on Regional Ice Decay: A Suggested Positive Feedback</t>
  </si>
  <si>
    <t>SEA-ICE; SEASONAL VARIABILITY; MIXED-LAYER; SURFACE; WATER; FLUXES; MODEL; SHELF; PARAMETERIZATION; CONVECTION</t>
  </si>
  <si>
    <t>Broad, long-living, ice-free areas in midwinter northeast of Svalbard between 2011 and 2014 are investigated. The formation of these persistent and reemerging anomalies is linked, hypothetically, with the increased seasonality of Arctic sea ice cover, enabling an enhanced influence of oceanic heat on sea ice and, in particular, heat transported by Atlantic Water. The memory'' of ice-depleted conditions in summer is transferred to the fall season through excess heat content in the upper mixed layer, which in turn transfers to midwinter via thinner and younger ice. This thinner ice is more fragile and mobile, thus facilitating the formation of polynyas and leads. When openings in ice cover form along the Atlantic Water pathway, weak density stratification at the mixed layer base supports the development of thermohaline convection, which further entrains warm and salty water from deeper layers. Convection-induced upward heat flux from the Atlantic layer retards ice formation, either keeping ice thickness low or blocking ice formation entirely. Certain stages of this chain of events have been examined in a region north of Svalbard and Franz Joseph Land, between 80 degrees and 83 degrees N and 15 degrees and 60 degrees E, where the top hundred meters of Atlantic inflow through the Fram Strait cools and freshens rapidly. Complementary research methods, including statistical analyses of observations and numerical modeling, are used to support the basic concept that the recently observed retreat of sea ice northeast of Svalbard in winter may be explained by a positive feedback between summer ice decay and the growing influence of oceanic heat on a seasonal time scale.</t>
  </si>
  <si>
    <t>[Ivanov, Vladimir; Smirnov, Alexander] Arctic &amp; Antarctic Res Inst, 38 Bering Str, St Petersburg 199397, Russia; [Ivanov, Vladimir; Repina, Irina] Hydrometeorol Ctr Russia, Moscow, Russia; [Ivanov, Vladimir; Repina, Irina] AM Obukhov Inst Atmospher Phys, Moscow, Russia; [Ivanov, Vladimir; Alexeev, Vladimir] Univ Alaska Fairbanks, Int Arctic Res Ctr, Fairbanks, AK USA; [Koldunov, Nikolay V.] Helmholtz Zentrum Geesthacht, Climate Serv Ctr 2 0, Hamburg, Germany; [Repina, Irina] Space Res Inst, Moscow, Russia; [Sando, Anne Britt] Inst Marine Res, POB 1870, N-5024 Bergen, Norway; [Sando, Anne Britt; Smedsrud, Lars Henrik] Bjerknes Ctr Climate Res, Bergen, Norway; [Smedsrud, Lars Henrik] Univ Bergen, Inst Geophys, Bergen, Norway</t>
  </si>
  <si>
    <t>Arctic &amp; Antarctic Research Institute; Russian Academy of Sciences; Obukhov Institute of Atmospheric Physics of Russian Academy of Sciences; University of Alaska System; University of Alaska Fairbanks; Helmholtz Association; Helmholtz-Zentrum Hereon; Russian Academy of Sciences; Space Research Institute of the Russian Academy of Sciences; Institute of Marine Research - Norway; Bjerknes Centre for Climate Research; University of Bergen</t>
  </si>
  <si>
    <t>Ivanov, V (corresponding author), Arctic &amp; Antarctic Res Inst, 38 Bering Str, St Petersburg 199397, Russia.</t>
  </si>
  <si>
    <t>vladimir.ivanov@aari.ru</t>
  </si>
  <si>
    <t>Ivanov, Vladimir/J-5979-2014; alexeev, vladimir/B-2234-2010; Koldunov, Nikolay V. V./A-5439-2011; Repina, Irina A/H-3530-2016; Ivanov, Vladimir/AAX-6830-2020; Smirnov, Alexander/J-5935-2014</t>
  </si>
  <si>
    <t>Ivanov, Vladimir/0000-0003-2569-6027; alexeev, vladimir/0000-0003-3519-2797; Koldunov, Nikolay V. V./0000-0002-3365-8146; Smirnov, Alexander/0000-0003-3231-7283; Repina, Irina/0000-0001-7341-0826; Smedsrud, Lars H./0000-0001-7391-0740</t>
  </si>
  <si>
    <t>Russian Science Foundation [14-17-00647]; JAMSTEC; NSF [1204202, 1249133]; ESA/ESRIN (Sea Ice CCI); [1203473]; Russian Science Foundation [14-17-00647] Funding Source: Russian Science Foundation; Office of Polar Programs (OPP); Directorate For Geosciences [1249133, 1203473] Funding Source: National Science Foundation; Office of Polar Programs (OPP); Directorate For Geosciences [1204202] Funding Source: National Science Foundation</t>
  </si>
  <si>
    <t>Russian Science Foundation(Russian Science Foundation (RSF)); JAMSTEC; NSF(National Science Foundation (NSF)); ESA/ESRIN (Sea Ice CCI); ; Russian Science Foundation(Russian Science Foundation (RSF)); Office of Polar Programs (OPP); Directorate For Geosciences(National Science Foundation (NSF)NSF - Directorate for Geosciences (GEO)); Office of Polar Programs (OPP); Directorate For Geosciences(National Science Foundation (NSF)NSF - Directorate for Geosciences (GEO))</t>
  </si>
  <si>
    <t>This study was supported by the following research grants/programs: V. Ivanov and I. Repina, Russian Science Foundation Grant 14-17-00647; V. Alexeev, JAMSTEC, NSF 1204202; and N. V. Koldunov, ESA/ESRIN (Sea Ice CCI). Hydrographic data acquisition was carried out in the NABOS2 project (NSF 1203473). Ocean-air energy exchange analysis was supported by NSF 1249133. Authors are grateful to anonymous reviewers for their thorough reading of the manuscript and providing valuable comments.</t>
  </si>
  <si>
    <t>10.1175/JPO-D-15-0144.1</t>
  </si>
  <si>
    <t>DM2CG</t>
  </si>
  <si>
    <t>WOS:000376153300002</t>
  </si>
  <si>
    <t>Davis, PED; Lique, C; Johnson, HL; Guthrie, JD</t>
  </si>
  <si>
    <t>Davis, Peter E. D.; Lique, Camille; Johnson, Helen L.; Guthrie, John D.</t>
  </si>
  <si>
    <t>Competing Effects of Elevated Vertical Mixing and Increased Freshwater Input on the Stratification and Sea Ice Cover in a Changing Arctic Ocean</t>
  </si>
  <si>
    <t>INTERNAL WAVES; COLD HALOCLINE; CANADA BASIN; MASS-BALANCE; MIXED-LAYER; MODEL; VARIABILITY; IMPACT; FUTURE; HEAT</t>
  </si>
  <si>
    <t>The Arctic Ocean is undergoing a period of rapid transition. Freshwater input is projected to increase, and the decline in Arctic sea ice is likely to drive periodic increases in vertical mixing during ice-free periods. Here, a 1D model of the Arctic Ocean is used to explore how these competing processes will affect the stratification, the stability of the cold halocline, and the sea ice cover at the surface. Initially, stronger shear leads to elevated vertical mixing that causes the mixed layer to warm. The change in temperature, however, is too small to affect the sea ice cover. Most importantly, in the Eurasian Basin, the elevated shear also deepens the halocline and strengthens the stratification over the Atlantic Water thermocline, reducing the vertical heat flux. After about a decade this effect dominates, and the mixed layer begins to cool. The sea ice cover can only be significantly affected if the elevated mixing is sufficient to erode the stratification barrier associated with the cold halocline. While freshwater generally dominates in the Canadian Basin (further isolating the mixed layer from the Atlantic Water layer), in the Eurasian Basin elevated shear reduces the strength of the stratification barrier, potentially allowing Atlantic Water heat to be directly entrained into the mixed layer during episodic mixing events. Therefore, although most sea ice retreat to date has occurred in the Canadian Basin, the results here suggest that, in future decades, elevated vertical mixing may play a more significant role in sea ice melt in the Eurasian Basin.</t>
  </si>
  <si>
    <t>[Davis, Peter E. D.; Lique, Camille; Johnson, Helen L.] Univ Oxford, Dept Earth Sci, Oxford OX1 3PR, England; [Guthrie, John D.] Univ Washington, Appl Phys Lab, Polar Sci Ctr, Seattle, WA 98105 USA; [Davis, Peter E. D.] British Antarctic Survey, Madingley Rd, Cambridge CB3 0ET, England; [Lique, Camille] IFREMER, UMR6523, CNRS IFREMER IRD UBO, Lab Phys Oceans, Brest, France</t>
  </si>
  <si>
    <t>University of Oxford; University of Washington; University of Washington Seattle; UK Research &amp; Innovation (UKRI); Natural Environment Research Council (NERC); NERC British Antarctic Survey; Centre National de la Recherche Scientifique (CNRS); CNRS - National Institute for Earth Sciences &amp; Astronomy (INSU); Ifremer; Institut de Recherche pour le Developpement (IRD); Universite de Bretagne Occidentale</t>
  </si>
  <si>
    <t>Davis, PED (corresponding author), British Antarctic Survey, Madingley Rd, Cambridge CB3 0ET, England.</t>
  </si>
  <si>
    <t>petvis@bas.ac.uk</t>
  </si>
  <si>
    <t>Lique, Camille/L-5543-2015</t>
  </si>
  <si>
    <t>Lique, Camille/0000-0002-8357-4928; Johnson, Helen/0000-0003-1873-2085; Davis, Peter/0000-0002-6471-6310</t>
  </si>
  <si>
    <t>UK Natural Environment Research Council (NERC); NSF [ARC-1135072, ARC-0909408]; NERC [NE/I029633/1, NE/H01988X/1] Funding Source: UKRI; Natural Environment Research Council [NE/H01988X/1, NE/I029633/1, 1241935] Funding Source: researchfish</t>
  </si>
  <si>
    <t>UK Natural Environment Research Council (NERC)(UK Research &amp; Innovation (UKRI)Natural Environment Research Council (NERC)); NSF(National Science Foundation (NSF)); NERC(UK Research &amp; Innovation (UKRI)Natural Environment Research Council (NERC)); Natural Environment Research Council(UK Research &amp; Innovation (UKRI)Natural Environment Research Council (NERC))</t>
  </si>
  <si>
    <t>We thank Ilker Fer for providing access to the microstructure observations in Fig. 2 and two anonymous reviewers for their very helpful and constructive feedback. This study has been funded by the UK Natural Environment Research Council (NERC) and NSF Grants ARC-1135072 and ARC-0909408. All model data used in this study are available by contacting the corresponding author by email (petvis@bas.ac.uk).</t>
  </si>
  <si>
    <t>45 BEACON ST, BOSTON, MA 02108-3693, UNITED STATES</t>
  </si>
  <si>
    <t>10.1175/JPO-D-15-0174.1</t>
  </si>
  <si>
    <t>DM2CV</t>
  </si>
  <si>
    <t>hybrid, Green Submitted, Green Published</t>
  </si>
  <si>
    <t>WOS:000376154800001</t>
  </si>
  <si>
    <t>Bishop, SP; Gent, PR; Bryan, FO; Thompson, AF; Long, MC; Abernathey, R</t>
  </si>
  <si>
    <t>Bishop, Stuart P.; Gent, Peter R.; Bryan, Frank O.; Thompson, Andrew F.; Long, Matthew C.; Abernathey, Ryan</t>
  </si>
  <si>
    <t>Southern Ocean Overturning Compensation in an Eddy-Resolving Climate Simulation</t>
  </si>
  <si>
    <t>ANTARCTIC CIRCUMPOLAR CURRENT; WATER-MASS TRANSFORMATION; BETA-PLANE CHANNEL; WIND-DRIVEN; MOMENTUM BALANCE; ANNULAR MODE; CIRCULATION; HEAT; TRANSPORT; EDDIES</t>
  </si>
  <si>
    <t>The Southern Ocean's Antarctic Circumpolar Current (ACC) and meridional overturning circulation (MOC) response to increasing zonal wind stress is, for the first time, analyzed in a high-resolution (0.1 degrees ocean and 0.25 degrees atmosphere), fully coupled global climate simulation using the Community Earth System Model. Results from a 20-yr wind perturbation experiment, where the Southern Hemisphere zonal wind stress is increased by 50% south of 30 degrees S, show only marginal changes in the mean ACC transport through Drake Passage-an increase of 6% [136-144 Sverdrups (Sv; 1 Sv equivalent to 10(6) m(3) s-(1))] in the perturbation experiment compared with the control. However, the upper and lower circulation cells of the MOC do change. The lower cell is more affected than the upper cell with a maximum increase of 64% versus 39%, respectively. Changes in the MOC are directly linked to changes in water mass transformation from shifting surface isopycnals and sea ice melt, giving rise to changes in surface buoyancy forcing. The increase in transport of the lower cell leads to upwelling of warm and salty Circumpolar Deep Water and subsequent melting of sea ice surrounding Antarctica. The MOC is commonly supposed to be the sum of two opposing components: a wind-and transient-eddy overturning cell. Here, the transient-eddy overturning is virtually unchanged and consistent with a large-scale cancellation of localized regions of both enhancement and suppression of eddy kinetic energy along the mean path of the ACC. However, decomposing the time-mean overturning into a time-and zonal-mean component and a standing-eddy component reveals partial compensation between wind-driven and standing-eddy components of the circulation.</t>
  </si>
  <si>
    <t>[Bishop, Stuart P.] N Carolina State Univ, Raleigh, NC 27695 USA; [Gent, Peter R.; Bryan, Frank O.; Long, Matthew C.] Natl Ctr Atmospher Res, POB 3000, Boulder, CO 80307 USA; [Thompson, Andrew F.] CALTECH, Pasadena, CA 91125 USA; [Abernathey, Ryan] Columbia Univ, New York, NY USA</t>
  </si>
  <si>
    <t>North Carolina State University; National Center Atmospheric Research (NCAR) - USA; California Institute of Technology; Columbia University</t>
  </si>
  <si>
    <t>Bishop, SP (corresponding author), N Carolina State Univ, Dept Marine Earth &amp; Atmospher Sci, Campus Box 8208, Raleigh, NC 27695 USA.</t>
  </si>
  <si>
    <t>spbishop@ncsu.edu</t>
  </si>
  <si>
    <t>Gent, Peter/HGB-9457-2022; Long, Matthew C/H-4632-2016; Bryan, Frank/I-1309-2016</t>
  </si>
  <si>
    <t>Bryan, Frank/0000-0003-1672-8330; Long, Matthew/0000-0003-1273-2957</t>
  </si>
  <si>
    <t>California Institute of Technology; NSF [NSF OCE-1235488]; Division Of Ocean Sciences; Directorate For Geosciences [1235488] Funding Source: National Science Foundation; Division Of Ocean Sciences; Directorate For Geosciences [1357133] Funding Source: National Science Foundation; Office of Polar Programs (OPP); Directorate For Geosciences [1246460] Funding Source: National Science Foundation</t>
  </si>
  <si>
    <t>California Institute of Technology; NSF(National Science Foundation (NSF)); Division Of Ocean Sciences; Directorate For Geosciences(National Science Foundation (NSF)NSF - Directorate for Geosciences (GEO)); Division Of Ocean Sciences; Directorate For Geosciences(National Science Foundation (NSF)NSF - Directorate for Geosciences (GEO)); Office of Polar Programs (OPP); Directorate For Geosciences(National Science Foundation (NSF)NSF - Directorate for Geosciences (GEO))</t>
  </si>
  <si>
    <t>S.P.B. was supported by the President and Director's Fund at the California Institute of Technology. A.F.T. was supported by NSF Grant NSF OCE-1235488. This manuscript was greatly improved by comments from Andy Hogg and an anonymous reviewer. We thank Justin Small for providing the control experiment. Computational resources for the simulation analyzed here were provided by the NCAR Computational and Information Systems Lab under the Accelerated Scientific Discovery'' program. We also thank Marcus Jochum for helpful comments that improved the manuscript and technical support from Gokhan Danabasoglu.</t>
  </si>
  <si>
    <t>10.1175/JPO-D-15-0177.1</t>
  </si>
  <si>
    <t>DM2DD</t>
  </si>
  <si>
    <t>WOS:000376155600001</t>
  </si>
  <si>
    <t>Cleary, AC; Durbin, EG</t>
  </si>
  <si>
    <t>Cleary, Alison C.; Durbin, Edward G.</t>
  </si>
  <si>
    <t>Unexpected prevalence of parasite 18S rDNA sequences in winter among Antarctic marine protists</t>
  </si>
  <si>
    <t>18s rDNA; parasites; protists; plankton; West Antarctic Peninsula; Syndiniales</t>
  </si>
  <si>
    <t>EUKARYOTIC DIVERSITY; COMMUNITY STRUCTURE; GENETIC DIVERSITY; SOUTHERN-OCEAN; DEEP-SEA; ECOSYSTEMS; SEDIMENT; ASSEMBLAGES; MORPHOLOGY; BACTERIAL</t>
  </si>
  <si>
    <t>Parasites are not typically considered to be important components of polar marine ecosystems. It was therefore surprising when 18S rDNA surveys of protists in the West Antarctic Peninsula in winter revealed high abundances of parasite sequences. Parasite sequences made up, on average, over half (52%) of sequence reads in samples from deep water in winter. Winter surface water and sediment samples contained relatively fewer, but still strikingly high, parasite sequence reads (13 and 9%, respectively), while surface water samples in summer contained fewer parasite sequences (1.8%). A total of 1028 distinct parasite Operational Taxonomic Units were observed in winter, with the largest abundances and diversities within Syndiniales groups I and II, including Amoebophrya. Less abundant parasite sequence groups included Apicomplexa, Blastodinium, Chytriodinium, Cryptocaryon, Paradinium, Perkinsidae, Pirsonia and Ichthyophonae. Parasite sequence distributions suggested interactions with known hosts, such as diatom parasites which were mainly in the sediments, where resting spores of Chaetoceros spp. diatoms were abundant. Syndiniales sequences were correlated with radiolarian sequences, suggesting parasite-host interactions. The abundant proportions of parasite sequences indicate a potentially important role for parasites in the Antarctic marine ecosystem, with implications for plankton population dynamics, the role of the microbial loop, carbon flows and ecosystem responses to ongoing anthropogenic climate change.</t>
  </si>
  <si>
    <t>[Cleary, Alison C.; Durbin, Edward G.] Univ Rhode Isl, Grad Sch Oceanog, Narragansett, RI 02882 USA; [Cleary, Alison C.] Univ Ctr Svalbard, Longyearbyen, Svalbard, Norway; [Cleary, Alison C.] Marine Biol Assoc UK, Plymouth, Devon, England</t>
  </si>
  <si>
    <t>University of Rhode Island; University Centre Svalbard (UNIS); Marine Biological Association United Kingdom</t>
  </si>
  <si>
    <t>Cleary, AC (corresponding author), Univ Rhode Isl, Grad Sch Oceanog, Narragansett, RI 02882 USA.;Cleary, AC (corresponding author), Univ Ctr Svalbard, Longyearbyen, Svalbard, Norway.;Cleary, AC (corresponding author), Marine Biol Assoc UK, Plymouth, Devon, England.</t>
  </si>
  <si>
    <t>alison_cleary@my.uri.edu</t>
  </si>
  <si>
    <t>National Science Foundation under EPSCoR [0554548, EPS-1004057]; National Science Foundation Office of Polar Programs [ANT-1142107]; Office of Integrative Activities; Office Of The Director [1004057] Funding Source: National Science Foundation; Office of Polar Programs (OPP); Directorate For Geosciences [1142107] Funding Source: National Science Foundation</t>
  </si>
  <si>
    <t>National Science Foundation under EPSCoR; National Science Foundation Office of Polar Programs(National Science Foundation (NSF)NSF - Directorate for Geosciences (GEO)); Office of Integrative Activities; Office Of The Director(National Science Foundation (NSF)NSF - Office of the Director (OD)NSF - Office of Integrative Activities (OIA)); Office of Polar Programs (OPP); Directorate For Geosciences(National Science Foundation (NSF)NSF - Directorate for Geosciences (GEO))</t>
  </si>
  <si>
    <t>This research is based in part upon work conducted using the Rhode Island Genomics and Sequencing Center, URI, which is supported in part by the National Science Foundation under EPSCoR Grants Nos. 0554548 and EPS-1004057, and based in part using resources and services at the Center for Computation and Visualization, Brown University. This research was supported by National Science Foundation Office of Polar Programs grant #ANT-1142107 to E.G.D.</t>
  </si>
  <si>
    <t>10.1093/plankt/fbw005</t>
  </si>
  <si>
    <t>WOS:000377299000002</t>
  </si>
  <si>
    <t>Chiswell, SM; Calil, PHR; Boyd, PW</t>
  </si>
  <si>
    <t>Chiswell, Stephen M.; Calil, Paulo H. R.; Boyd, Philip W.</t>
  </si>
  <si>
    <t>Reply to Comment on 'Spring blooms and annual cycles of phytoplankton: a unified perspective', by Chiswell et al.</t>
  </si>
  <si>
    <t>[Chiswell, Stephen M.] Natl Inst Water &amp; Atmospher Res, POB 14901, Wellington, New Zealand; [Calil, Paulo H. R.] Univ Fed Rio Grande FURG, Inst Oceanog, Lab Dinam &amp; Modelagem Ocean Dinamo, Av Italia Km 08, BR-96201900 Rio Grande, Brazil; [Boyd, Philip W.] Univ Tasmania, Inst Marine &amp; Antarctic Studies, Hobart, Tas 7005, Australia</t>
  </si>
  <si>
    <t>National Institute of Water &amp; Atmospheric Research (NIWA) - New Zealand; Universidade Federal do Rio Grande; University of Tasmania</t>
  </si>
  <si>
    <t>Chiswell, SM (corresponding author), Natl Inst Water &amp; Atmospher Res, POB 14901, Wellington, New Zealand.</t>
  </si>
  <si>
    <t>s.chiswell@niwa.cri.nz</t>
  </si>
  <si>
    <t>Boyd, Philip W/J-7624-2014; Calil, Paulo Henrique R./N-8055-2019</t>
  </si>
  <si>
    <t>Calil, Paulo Henrique R./0000-0001-6361-1747</t>
  </si>
  <si>
    <t>10.1093/plankt/fbw027</t>
  </si>
  <si>
    <t>WOS:000377299000026</t>
  </si>
  <si>
    <t>Belcher, A; Iversen, M; Manno, C; Henson, SA; Tarling, GA; Sanders, R</t>
  </si>
  <si>
    <t>Belcher, Anna; Iversen, Morten; Manno, Clara; Henson, Stephanie A.; Tarling, Geraint A.; Sanders, Richard</t>
  </si>
  <si>
    <t>The role of particle associated microbes in remineralization of fecal pellets in the upper mesopelagic of the Scotia Sea, Antarctica</t>
  </si>
  <si>
    <t>LIMNOLOGY AND OCEANOGRAPHY</t>
  </si>
  <si>
    <t>OCEANS TWILIGHT ZONE; ORGANIC-CARBON EXPORT; MARGINAL ICE-ZONE; SOUTHERN-OCEAN; SINKING VELOCITY; MARINE SNOW; CALANUS-FINMARCHICUS; PHYTOPLANKTON BLOOMS; NORTHEAST PACIFIC; AGGREGATE SIZE</t>
  </si>
  <si>
    <t>Fecal pellets (FP) are a key component of the biological carbon pump, as they can, under some circumstances, efficiently transfer carbon to depth. Like other forms of particulate organic carbon (POC), they can be remineralized in the ocean interior (particularly in the upper 200 m), or alternatively they can be preserved in the sediments. The controls on the attenuation of FP flux with depth are not fully understood, in particular, the relative contributions of zooplankton fragmentation and microbial/zooplankton respiration to FP loss. Collection of sinking particles using Marine Snow Catchers at three ecologically contrasting sites in the Scotia Sea, Antarctica, revealed large differences in POC flux composition (5-96% FP) and flux attenuation despite similar temperatures. To determine the importance of microbial respiration on FP loss in the upper mesopelagic, we made the first ever measurements of small scale oxygen gradients through the boundary layer at the interface of krill FP collected from the Scotia Sea. Estimated carbon-specific respiration rates of microbes within FP (0.010-0.065 d(-1)) were too low to account for the observed large decreases in FP flux over the upper 200 m. Therefore, the observed rapid declines in downward FP flux in the upper mesopelagic are more likely to be caused by zooplankton, through coprophagy, coprorhexy, and coprochaly. Microbial respiration is likely to be more important in regions of higher temperatures, and at times of the year, or in depths of the ocean, where zooplankton abundances are low and therefore grazing and fragmentation processes are reduced.</t>
  </si>
  <si>
    <t>[Belcher, Anna; Henson, Stephanie A.; Sanders, Richard] Natl Oceanog Ctr, Ocean Biogeochem &amp; Ecosyst, European Way, Southampton, Hants, England; [Belcher, Anna] Univ Southampton, Southampton, Hants, England; [Iversen, Morten] Alfred Wegener Inst Polar &amp; Marine Res, Helmholtz Young Investigator Grp SEAPUMP, Bremerhaven, Germany; [Iversen, Morten] Univ Bremen, MARUM, D-28359 Bremen, Germany; [Manno, Clara; Tarling, Geraint A.] British Antarctic Survey, Nat Environm Res Council, Ecosyst, Cambridge CB3 0ET, England</t>
  </si>
  <si>
    <t>University of Southampton; NERC National Oceanography Centre; University of Southampton; Helmholtz Association; Alfred Wegener Institute, Helmholtz Centre for Polar &amp; Marine Research; University of Bremen; UK Research &amp; Innovation (UKRI); Natural Environment Research Council (NERC); NERC British Antarctic Survey</t>
  </si>
  <si>
    <t>Belcher, A (corresponding author), Natl Oceanog Ctr, Ocean Biogeochem &amp; Ecosyst, European Way, Southampton, Hants, England.;Belcher, A (corresponding author), Univ Southampton, Southampton, Hants, England.</t>
  </si>
  <si>
    <t>A.belcher@noc.soton.ac.uk</t>
  </si>
  <si>
    <t>Iversen, Morten H/C-7741-2013; Henson, Stephanie/AAC-9709-2019; Sanders, Richard J/B-8717-2012; Iversen, Morten Hvitfeldt/Q-3774-2016</t>
  </si>
  <si>
    <t>Sanders, Richard J/0000-0002-6884-7131; Belcher, Anna/0000-0002-9583-5910; Iversen, Morten Hvitfeldt/0000-0002-5287-1110</t>
  </si>
  <si>
    <t>Natural Environment Research Council National Capability funding; National Oceanography Centre; British Antarctic Survey; NERC [bas0100035, noc010009] Funding Source: UKRI; Natural Environment Research Council [1362197, noc010009, bas0100035] Funding Source: researchfish</t>
  </si>
  <si>
    <t>Natural Environment Research Council National Capability funding; National Oceanography Centre; British Antarctic Survey; NERC(UK Research &amp; Innovation (UKRI)Natural Environment Research Council (NERC)); Natural Environment Research Council(UK Research &amp; Innovation (UKRI)Natural Environment Research Council (NERC))</t>
  </si>
  <si>
    <t>We thank the officers and crew of the RRS James Clark Ross for their help and support at all hours during cruise JR304. In addition, we would like to thank the scientific party aboard the cruise, in particular Manon Duret for her help with deployments, Sophie Fielding for her assistance with CTD processing and Jenny Thomas for data management. Thank you all for your words of encouragement, technical expertise and friendship during long shifts on station. We would also like to thank the three anonymous reviewers for their insights and suggestions. This work supported through Natural Environment Research Council National Capability funding to Stephanie Henson and Richard Sanders, National Oceanography Centre and to Geraint Tarling and Clara Manno, British Antarctic Survey. Fieldwork was supported by a Collaborative Gearing Scheme grant to Stephanie Henson.</t>
  </si>
  <si>
    <t>0024-3590</t>
  </si>
  <si>
    <t>1939-5590</t>
  </si>
  <si>
    <t>LIMNOL OCEANOGR</t>
  </si>
  <si>
    <t>Limnol. Oceanogr.</t>
  </si>
  <si>
    <t>10.1002/lno.10269</t>
  </si>
  <si>
    <t>DL6KP</t>
  </si>
  <si>
    <t>WOS:000375748400017</t>
  </si>
  <si>
    <t>Juáres, MA; Santos, M; Mennucci, JA; Coria, NR; Mariano-Jelicich, R</t>
  </si>
  <si>
    <t>Juares, Mariana A.; Santos, Mercedes; Mennucci, Jorge A.; Coria, Nestor R.; Mariano-Jelicich, Rocio</t>
  </si>
  <si>
    <t>Diet composition and foraging habitats of Adelie and gentoo penguins in three different stages of their annual cycle</t>
  </si>
  <si>
    <t>STABLE-ISOTOPE SIGNATURES; SOUTH SHETLAND ISLANDS; ANTARCTIC PENINSULA; CHINSTRAP PENGUINS; POPULATION-CHANGES; PYGOSCELIS-PAPUA; SEA-ICE; PREDATORS; AREAS; BLOOD</t>
  </si>
  <si>
    <t>We evaluated the diet of Adelie (Pygoscelis adeliae) and gentoo (P. papua) penguins at Stranger Point colony (25 de Mayo/King George Island) during different stages of their annual cycle using the stable isotope method and the conventional dietary analyses (i. e. stomach contents). Antarctic krill (Euphausia superba) dominated the diet of Adelie and gentoo penguins in all three studied stages (pre-breeding, breeding and post-breeding). Nevertheless, only in gentoo penguins a shift in the diet was evident from mainly krill during the breeding stage to mixed diet (i.e. krill and fish/squids) during the pre-and post-breeding stages. Results from stable isotopes suggest that Adelie penguins might be foraging in southern localities compared to their congener during the inter-breeding period. Moreover, Adelie penguins showed a large individual variability in foraging habitat during the post-breeding stage. However, our model has predicted that both species exploited similar areas during the breeding season. The results obtained during the chick-rearing stage were compared with the stomach contents of both species obtained during the same season (2011/2012). Our findings provide new knowledge on the feeding ecology and foraging habitats of pygoscelid penguins. They confirm the importance of Antarctic krill during the annual cycle and improve the understanding of life strategies and predator-prey interactions essentially out of the reproductive period, in which the information is very limited. These results can help to establish new management strategies, particularly considering the potential overlap between predators and fisheries.</t>
  </si>
  <si>
    <t>[Juares, Mariana A.; Santos, Mercedes; Mennucci, Jorge A.; Coria, Nestor R.] Inst Antartico Argentino, Dept Biol Predadores Tope, Balcarce 290,C1064AAF, Buenos Aires, DF, Argentina; [Mariano-Jelicich, Rocio] Univ Nacl Mar del Plata, CONICET, Inst Invest Marinas &amp; Costeras IIMyC, Lab Vertebrados, Funes 3250,B7602AYJ, Mar Del Plata, Buenos Aires, Argentina</t>
  </si>
  <si>
    <t>Instituto Antartico Argentino; National University of Mar del Plata; Consejo Nacional de Investigaciones Cientificas y Tecnicas (CONICET)</t>
  </si>
  <si>
    <t>Juáres, MA (corresponding author), Inst Antartico Argentino, Dept Biol Predadores Tope, Balcarce 290,C1064AAF, Buenos Aires, DF, Argentina.</t>
  </si>
  <si>
    <t>marianajuares@hotmail.com</t>
  </si>
  <si>
    <t>Juares, Mariana A./0000-0002-6763-0416</t>
  </si>
  <si>
    <t>FONCYT-Agencia Nacional de Promocion Cientifica y Tecnologica [PICTO 2010-0111]; Instituto Antartico Argentino-Direccion Nacional del Antartico</t>
  </si>
  <si>
    <t>FONCYT-Agencia Nacional de Promocion Cientifica y Tecnologica(ANPCyTFONCyT); Instituto Antartico Argentino-Direccion Nacional del Antartico</t>
  </si>
  <si>
    <t>We want to thank Lucrecia Longarzo, Martin Gray y Paula Moran, for their help in collecting samples associated with this study. The permit for this work was granted by the Direccion Nacional del Antartico (Environmental Office). The FONCYT-Agencia Nacional de Promocion Cientifica y Tecnologica (Grant: PICTO 2010-0111) and the Instituto Antartico Argentino-Direccion Nacional del Antartico provided financial and logistical support. We also thank the two anonymous reviewers and the editors for their helpful comments and suggestions on improving the manuscript. Finally, we are very grateful to Ana Gentile who improved the English.</t>
  </si>
  <si>
    <t>10.1007/s00227-016-2886-y</t>
  </si>
  <si>
    <t>WOS:000375330500012</t>
  </si>
  <si>
    <t>Tedesco, P; Maida, I; Esposito, FP; Tortorella, E; Subko, K; Ezeofor, CC; Zhang, Y; Tabudravu, J; Jaspars, M; Fani, R; de Pascale, D</t>
  </si>
  <si>
    <t>Tedesco, Pietro; Maida, Isabel; Esposito, Fortunato Palma; Tortorella, Emiliana; Subko, Karolina; Ezeofor, Chidinma Christiana; Zhang, Ying; Tabudravu, Jioji; Jaspars, Marcel; Fani, Renato; de Pascale, Donatella</t>
  </si>
  <si>
    <t>Antimicrobial Activity of Monoramnholipids Produced by Bacterial Strains Isolated from the Ross Sea (Antarctica)</t>
  </si>
  <si>
    <t>MARINE DRUGS</t>
  </si>
  <si>
    <t>antimicrobials; ramnholipids; Antarctic; Bcc; microorganisms</t>
  </si>
  <si>
    <t>RHAMNOLIPIDS; DIVERSITY; PCR</t>
  </si>
  <si>
    <t>Microorganisms living in extreme environments represent a huge reservoir of novel antimicrobial compounds and possibly of novel chemical families. Antarctica is one of the most extraordinary places on Earth and exhibits many distinctive features. Antarctic microorganisms are well known producers of valuable secondary metabolites. Specifically, several Antarctic strains have been reported to inhibit opportunistic human pathogens strains belonging to Burkholderia cepacia complex (Bcc). Herein, we applied a biodiscovery pipeline for the identification of anti-Bcc compounds. Antarctic sub-sea sediments were collected from the Ross Sea, and used to isolate 25 microorganisms, which were phylogenetically affiliated to three bacterial genera (Psychrobacter, Arthrobacter, and Pseudomonas) via sequencing and analysis of 16S rRNA genes. They were then subjected to a primary cell-based screening to determine their bioactivity against Bcc strains. Positive isolates were used to produce crude extracts from microbial spent culture media, to perform the secondary screening. Strain Pseudomonas BNT1 was then selected for bioassay-guided purification employing SPE and HPLC. Finally, LC-MS and NMR structurally resolved the purified bioactive compounds. With this strategy, we achieved the isolation of three rhamnolipids, two of which were new, endowed with high (MIC &lt; 1 g/mL) and unreported antimicrobial activity against Bcc strains.</t>
  </si>
  <si>
    <t>[Tedesco, Pietro; Esposito, Fortunato Palma; Tortorella, Emiliana; de Pascale, Donatella] CNR, Inst Prot Biochem, Via P Castellino 111, I-80131 Naples, Italy; [Maida, Isabel; Fani, Renato] Univ Florence, Dept Biol, Via Madonna del Piano 6, I-50019 Sesto Fiorentino, FI, Italy; [Subko, Karolina; Ezeofor, Chidinma Christiana; Zhang, Ying; Tabudravu, Jioji; Jaspars, Marcel] Univ Aberdeen, Dept Chem, Marine Biodiscovery Ctr, Old Aberdeen AB24 3UE, Scotland</t>
  </si>
  <si>
    <t>Consiglio Nazionale delle Ricerche (CNR); Istituto di Biochimica delle Proteine (IBP-CNR); University of Florence; University of Aberdeen</t>
  </si>
  <si>
    <t>de Pascale, D (corresponding author), CNR, Inst Prot Biochem, Via P Castellino 111, I-80131 Naples, Italy.</t>
  </si>
  <si>
    <t>p.tedesco@ibp.cnr.it; isabel.maida@unifi.it; f.palma@ibp.cnr.it; e.tortorella@ibp.cnr.it; k.subko.11@aberdeen.ac.uk; chidinma.christiana.ezeofor.14@aberdeen.ac.uk; ying.zhang.14@aberdeen.ac.uk; j.tabudravu@abdn.ac.uk; m.jaspars@abdn.ac.uk; renato.fani@unifi.it; d.depascale@ibp.cnr.it</t>
  </si>
  <si>
    <t>Tedesco, Pietro/AAB-5740-2021</t>
  </si>
  <si>
    <t>Jaspars, Marcel/0000-0002-2426-6028; Subko, Karolina/0000-0002-9993-8386; Tedesco, Pietro/0000-0003-0165-5386; Tabudravu, Jioji/0000-0002-6930-6572; de Pascale, Donatella/0000-0002-6732-0901</t>
  </si>
  <si>
    <t>EU [312184]; Italian Cystic Fibrosis Research foundation [12/2011]</t>
  </si>
  <si>
    <t>EU(European Union (EU)); Italian Cystic Fibrosis Research foundation(Ministry of Health, ItalyItalian Cystic Fibrosis Research Foundation)</t>
  </si>
  <si>
    <t>This work was supported by the EU FP7 KBBE 2012-2016 project PharmaSea, grant No 312184 and from the Italian Cystic Fibrosis Research foundation (Grant FFC#12/2011).</t>
  </si>
  <si>
    <t>1660-3397</t>
  </si>
  <si>
    <t>MAR DRUGS</t>
  </si>
  <si>
    <t>Mar. Drugs</t>
  </si>
  <si>
    <t>10.3390/md14050083</t>
  </si>
  <si>
    <t>Chemistry, Medicinal; Pharmacology &amp; Pharmacy</t>
  </si>
  <si>
    <t>Pharmacology &amp; Pharmacy</t>
  </si>
  <si>
    <t>DO7RV</t>
  </si>
  <si>
    <t>gold, Green Accepted, Green Submitted, Green Published</t>
  </si>
  <si>
    <t>WOS:000377981400002</t>
  </si>
  <si>
    <t>Thomas, AC; Deagle, BE; Eveson, JP; Harsch, CH; Trites, AW</t>
  </si>
  <si>
    <t>Thomas, Austen C.; Deagle, Bruce E.; Eveson, J. Paige; Harsch, Corie H.; Trites, Andrew W.</t>
  </si>
  <si>
    <t>Quantitative DNA metabarcoding: improved estimates of species proportional biomass using correction factors derived from control material</t>
  </si>
  <si>
    <t>MOLECULAR ECOLOGY RESOURCES</t>
  </si>
  <si>
    <t>diet analysis; DNA barcoding; environmental DNA; predator prey interactions</t>
  </si>
  <si>
    <t>PREY DNA; DIET; COMMUNITIES; CONSUMPTION; PRIMERS; SEARCH</t>
  </si>
  <si>
    <t>DNA metabarcoding is a powerful new tool allowing characterization of species assemblages using high-throughput amplicon sequencing. The utility of DNA metabarcoding for quantifying relative species abundances is currently limited by both biological and technical biases which influence sequence read counts. We tested the idea of sequencing 50/50 mixtures of target species and a control species in order to generate relative correction factors (RCFs) that account for multiple sources of bias and are applicable to field studies. RCFs will be most effective if they are not affected by input mass ratio or co-occurring species. In a model experiment involving three target fish species and a fixed control, we found RCFs did vary with input ratio but in a consistent fashion, and that 50/50 RCFs applied to DNA sequence counts from various mixtures of the target species still greatly improved relative abundance estimates (e.g. average per species error of 19 +/- 8% for uncorrected vs. 3 +/- 1% for corrected estimates). To demonstrate the use of correction factors in a field setting, we calculated 50/50 RCFs for 18 harbour seal (Phoca vitulina) prey species (RCFs ranging from 0.68 to 3.68). Applying these corrections to field-collected seal scats affected species percentages from individual samples ( 6.7 +/- 6.6%) more than population-level species estimates ( 1.7 +/- 1.2%). Our results indicate that the 50/50 RCF approach is an effective tool for evaluating and correcting biases in DNA metabarcoding studies. The decision to apply correction factors will be influenced by the feasibility of creating tissue mixtures for the target species, and the level of accuracy needed to meet research objectives.</t>
  </si>
  <si>
    <t>[Thomas, Austen C.; Harsch, Corie H.; Trites, Andrew W.] Univ British Columbia, Marine Mammal Res Unit, Vancouver, BC V5Z 1M9, Canada; [Thomas, Austen C.] Smith Root Inc, Dept Sci, Vancouver, WA USA; [Deagle, Bruce E.] Australian Antarctic Div, Channel Highway, Kingston, Tas, Australia; [Eveson, J. Paige] CSIRO, Oceans &amp; Atmosphere, GPO Box 1538, Hobart, Tas 7001, Australia</t>
  </si>
  <si>
    <t>University of British Columbia; Australian Antarctic Division; Commonwealth Scientific &amp; Industrial Research Organisation (CSIRO)</t>
  </si>
  <si>
    <t>Thomas, AC (corresponding author), Univ British Columbia, Marine Mammal Res Unit, Vancouver, BC V5Z 1M9, Canada.;Thomas, AC (corresponding author), Smith Root Inc, Dept Sci, Vancouver, WA USA.</t>
  </si>
  <si>
    <t>athomas@smith-root.com</t>
  </si>
  <si>
    <t>Trites, Andrew/K-5648-2012; Eveson, Paige/A-1472-2012; Deagle, Bruce E/R-2999-2019</t>
  </si>
  <si>
    <t>Deagle, Bruce E/0000-0001-7651-3687; Eveson, Paige/0000-0002-1560-2093; Trites, Andrew/0000-0003-0342-5322</t>
  </si>
  <si>
    <t>Pacific Salmon Foundation</t>
  </si>
  <si>
    <t>The authors thank Dr. Carl Walters, Dr. Anthony Sinclair and Monique Lance for providing reviews on early drafts of this manuscript. We are also thankful for manuscript feedback from three anonymous reviewers and MER Editor Dr. Eric Coissac. The harbour seal scats were collected under an approved Canadian Department of Fisheries and Oceans Marine Mammal Research License (MML 2011-10), and a University of British Columbia Animal Care Permit (A11-0072). Financial support the project was provided by the Pacific Salmon Foundation.</t>
  </si>
  <si>
    <t>1755-098X</t>
  </si>
  <si>
    <t>1755-0998</t>
  </si>
  <si>
    <t>MOL ECOL RESOUR</t>
  </si>
  <si>
    <t>Mol. Ecol. Resour.</t>
  </si>
  <si>
    <t>10.1111/1755-0998.12490</t>
  </si>
  <si>
    <t>Biochemistry &amp; Molecular Biology; Ecology; Evolutionary Biology</t>
  </si>
  <si>
    <t>Biochemistry &amp; Molecular Biology; Environmental Sciences &amp; Ecology; Evolutionary Biology</t>
  </si>
  <si>
    <t>DJ1HO</t>
  </si>
  <si>
    <t>WOS:000373954100012</t>
  </si>
  <si>
    <t>Oppenheimer, M; Little, CM; Cooke, RM</t>
  </si>
  <si>
    <t>Oppenheimer, Michael; Little, Christopher M.; Cooke, Roger M.</t>
  </si>
  <si>
    <t>Expert judgement and uncertainty quantification for climate change</t>
  </si>
  <si>
    <t>NATURE CLIMATE CHANGE</t>
  </si>
  <si>
    <t>ANTARCTIC ICE-SHEET; FUTURE SEA-LEVEL; ELICITATION; PROJECTIONS; MORTALITY; SENSITIVITIES; PERFORMANCE; ENSEMBLE; COLLAPSE; THWAITES</t>
  </si>
  <si>
    <t>Expert judgement is an unavoidable element of the process-based numerical models used for climate change projections, and the statistical approaches used to characterize uncertainty across model ensembles. Here, we highlight the need for formalized approaches to unifying numerical modelling with expert judgement in order to facilitate characterization of uncertainty in a reproducible, consistent and transparent fashion. As an example, we use probabilistic inversion, a well-established technique used in many other applications outside of climate change, to fuse two recent analyses of twenty-first century Antarctic ice loss. Probabilistic inversion is but one of many possible approaches to formalizing the role of expert judgement, and the Antarctic ice sheet is only one possible climate-related application. We recommend indicators or signposts that characterize successful science-based uncertainty quantification.</t>
  </si>
  <si>
    <t>[Oppenheimer, Michael] Princeton Univ, Dept Geosci, Princeton, NJ 08544 USA; [Oppenheimer, Michael] Princeton Univ, Woodrow Wilson Sch Publ &amp; Int Affairs, Princeton, NJ 08544 USA; [Little, Christopher M.] Atmospher &amp; Environm Res Inc, Lexington, MA 02421 USA; [Cooke, Roger M.] Resources Future Inc, 1616 P St NW, Washington, DC 20036 USA; [Cooke, Roger M.] Univ Strathclyde, Strathclyde Business Sch, 199 Cathedral St, Glasgow G4 0QU, Lanark, Scotland</t>
  </si>
  <si>
    <t>Princeton University; Princeton University; Atmospheric &amp; Environmental Research; Resources for the Future; University of Strathclyde</t>
  </si>
  <si>
    <t>Oppenheimer, M (corresponding author), Princeton Univ, Dept Geosci, Princeton, NJ 08544 USA.;Oppenheimer, M (corresponding author), Princeton Univ, Woodrow Wilson Sch Publ &amp; Int Affairs, Princeton, NJ 08544 USA.</t>
  </si>
  <si>
    <t>omichael@princeton.edu</t>
  </si>
  <si>
    <t>cooke, roger/AGS-4583-2022</t>
  </si>
  <si>
    <t>cooke, roger/0000-0003-0643-1971; Oppenheimer, Michael/0000-0002-9708-5914</t>
  </si>
  <si>
    <t>1758-678X</t>
  </si>
  <si>
    <t>1758-6798</t>
  </si>
  <si>
    <t>NAT CLIM CHANGE</t>
  </si>
  <si>
    <t>Nat. Clim. Chang.</t>
  </si>
  <si>
    <t>10.1038/NCLIMATE2959</t>
  </si>
  <si>
    <t>Environmental Sciences; Environmental Studies; Meteorology &amp; Atmospheric Sciences</t>
  </si>
  <si>
    <t>Environmental Sciences &amp; Ecology; Meteorology &amp; Atmospheric Sciences</t>
  </si>
  <si>
    <t>DK7SE</t>
  </si>
  <si>
    <t>WOS:000375125200010</t>
  </si>
  <si>
    <t>Fürst, JJ; Durand, G; Gillet-Chaulet, F; Tavard, L; Rankl, M; Braun, M; Gagliardini, O</t>
  </si>
  <si>
    <t>Fuerst, Johannes Jakob; Durand, Gael; Gillet-Chaulet, Fabien; Tavard, Laure; Rankl, Melanie; Braun, Matthias; Gagliardini, Olivier</t>
  </si>
  <si>
    <t>The safety band of Antarctic ice shelves</t>
  </si>
  <si>
    <t>STABILITY; DISCHARGE; COLLAPSE</t>
  </si>
  <si>
    <t>The floating ice shelves along the seaboard of the Antarctic ice sheet restrain the outflow of upstream grounded ice(1,2). Removal of these ice shelves, as shown by past ice-shelf recession and break-up, accelerates the outflow(3,4), which adds to sea-level rise. A key question in predicting future outflow is to quantify the extent of calving that might precondition other dynamic consequences and lead to loss of ice-shelf restraint. Here we delineate frontal areas that we label as 'passive shelf ice' and that can be removed without major dynamic implications, with contrasting results across the continent. The ice shelves in the Amundsen and Bellingshausen seas have limited or almost no 'passive' portion, which implies that further retreat of current ice-shelf fronts will yield important dynamic consequences. This region is particularly vulnerable as ice shelves have been thinning at high rates for two decades' and as upstream grounded ice rests on a backward sloping bed, a precondition to marine ice-sheet instability(6,7). In contrast to these ice shelves, Larsen C Ice Shelf, in the Weddell Sea, exhibits a large 'passive' frontal area, suggesting that the imminent calving of a vast tabular iceberg(8) will be unlikely to instantly produce much dynamic change.</t>
  </si>
  <si>
    <t>[Fuerst, Johannes Jakob; Durand, Gael; Gillet-Chaulet, Fabien; Tavard, Laure; Gagliardini, Olivier] CNRS, LGGE, UMR 5183, Grenoble, France; [Fuerst, Johannes Jakob; Durand, Gael; Gillet-Chaulet, Fabien; Tavard, Laure; Gagliardini, Olivier] Univ Grenoble Alpes, LGGE, UMR 5183, Grenoble, France; [Rankl, Melanie; Braun, Matthias] Univ Erlangen Nurnberg, Inst Geog, Erlangen, Germany; [Gagliardini, Olivier] Inst Univ France, Paris, France</t>
  </si>
  <si>
    <t>Centre National de la Recherche Scientifique (CNRS); Communaute Universite Grenoble Alpes; Universite Grenoble Alpes (UGA); Communaute Universite Grenoble Alpes; Universite Grenoble Alpes (UGA); University of Erlangen Nuremberg; Institut Universitaire de France</t>
  </si>
  <si>
    <t>Fürst, JJ (corresponding author), CNRS, LGGE, UMR 5183, Grenoble, France.;Fürst, JJ (corresponding author), Univ Grenoble Alpes, LGGE, UMR 5183, Grenoble, France.</t>
  </si>
  <si>
    <t>johannes.fuerst@lgge.obs.ujf-grenoble.fr</t>
  </si>
  <si>
    <t>Braun, Matthias H/S-4693-2016; Braun, Matthias/A-4968-2009; Gagliardini, Olivier/GQQ-1222-2022</t>
  </si>
  <si>
    <t>Braun, Matthias/0000-0001-5169-1567; Gagliardini, Olivier/0000-0001-9162-3518; Durand, Gael/0000-0001-8979-2355</t>
  </si>
  <si>
    <t>French National Research Agency (ANR) under the SUMER [Blanc SIMI 6, ANR-12-BS06-0018]; German Research Foundation (DFG) [1158, BR2105/8-1]; DFG [FU1032/1-1]; CIRA project (Calcul intensif en Rhone Alpes); Agence Nationale de la Recherche (ANR) [ANR-12-BS06-0018] Funding Source: Agence Nationale de la Recherche (ANR)</t>
  </si>
  <si>
    <t>French National Research Agency (ANR) under the SUMER(Agence Nationale de la Recherche (ANR)); German Research Foundation (DFG)(German Research Foundation (DFG)); DFG(German Research Foundation (DFG)); CIRA project (Calcul intensif en Rhone Alpes); Agence Nationale de la Recherche (ANR)(Agence Nationale de la Recherche (ANR))</t>
  </si>
  <si>
    <t>This study received primary funding from the French National Research Agency (ANR) under the SUMER (Blanc SIMI 6)2012 project referenced as ANR-12-BS06-0018. Results presented in this publication are based on numerical simulations conducted either at CIMENT (Calcul Intensif Modelisation Experimentation Numerique et Technologique), the high-performance computing centre of the Grenoble University, which is supported on local, county and regional levels via the CIRA project (Calcul intensif en Rhone Alpes), or at the CINES (Centre Informatique National de l'Enseignement Superieur) computing centre under allocation 2015-016066 from GENCI (Grand Equipement National de Calcul Intensif). Results presented here also received support and benefited from the Elmer/Ice development team at the CSC-IT Center for Science lid (Finland). The velocity analysis on Wilkins was funded by the German Research Foundation (DFG) within the priority programme 1158 Antarctic Research under contract number BR2105/8-1 and as co-fund action to the HGF Alliance Remote Sensing and Earth System Dynamics. During the revision phase of the manuscript, the first author received funding from the DFG-project FU1032/1-1.</t>
  </si>
  <si>
    <t>10.1038/NCLIMATE2912</t>
  </si>
  <si>
    <t>WOS:000375125200014</t>
  </si>
  <si>
    <t>Gottschalk, J; Skinner, LC; Lippold, J; Vogel, H; Frank, N; Jaccard, SL; Waelbroeck, C</t>
  </si>
  <si>
    <t>Gottschalk, Julia; Skinner, Luke C.; Lippold, Joerg; Vogel, Hendrik; Frank, Norbert; Jaccard, Samuel L.; Waelbroeck, Claire</t>
  </si>
  <si>
    <t>Biological and physical controls in the Southern Ocean on past millennial-scale atmospheric CO2 changes</t>
  </si>
  <si>
    <t>CARBON ISOTOPIC COMPOSITION; DEEP-WATER CIRCULATION; AGE CALIBRATION CURVES; ANTARCTIC SEA-ICE; BENTHIC FORAMINIFERA; LAST DEGLACIATION; LATE QUATERNARY; BIOGENIC OPAL; 2 MODES; CYCLE</t>
  </si>
  <si>
    <t>Millennial-scale climate changes during the last glacial period and deglaciation were accompanied by rapid changes in atmospheric CO2 that remain unexplained. While the role of the Southern Ocean as a ' control valve' on ocean-atmosphere CO2 exchange has been emphasized, the exact nature of this role, in particular the relative contributions of physical (for example, ocean dynamics and air-sea gas exchange) versus biological processes (for example, export productivity), remains poorly constrained. Here we combine reconstructions of bottom-water [O-2], export production and 14C ventilation ages in the sub-Antarctic Atlantic, and show that atmospheric CO2 pulses during the last glacial-and deglacial periods were consistently accompanied by decreases in the biological export of carbon and increases in deep-ocean ventilation via southern-sourced water masses. These findings demonstrate how the Southern Ocean's 'organic carbon pump' has exerted a tight control on atmospheric CO2, and thus global climate, specifically via a synergy of both physical and biological processes.</t>
  </si>
  <si>
    <t>[Gottschalk, Julia; Skinner, Luke C.] Univ Cambridge, Dept Earth Sci, Godwin Lab Palaeoclimate Res, Downing St, Cambridge CB2 3EQ, England; [Lippold, Joerg; Vogel, Hendrik; Jaccard, Samuel L.] Univ Bern, Inst Geol Sci, Baltzerstr 1-3, CH-3012 Bern, Switzerland; [Lippold, Joerg; Vogel, Hendrik; Jaccard, Samuel L.] Univ Bern, Oeschger Ctr Climate Change Res, Baltzerstr 1-3, CH-3012 Bern, Switzerland; [Frank, Norbert] Heidelberg Univ, Inst Environm Phys, Neuenheimer Feld 229, D-69120 Heidelberg, Germany; [Waelbroeck, Claire] Univ Paris Saclay, Lab Sci Climat &amp; Environm, LSCE IPSL, CNRS CEA UVSQ,Domaine CNRS, Bat 12, F-91198 Gif Sur Yvette, France</t>
  </si>
  <si>
    <t>University of Cambridge; University of Bern; University of Bern; Ruprecht Karls University Heidelberg; Universite Paris Cite; CEA; Centre National de la Recherche Scientifique (CNRS); Universite Paris Saclay</t>
  </si>
  <si>
    <t>Gottschalk, J (corresponding author), Univ Cambridge, Dept Earth Sci, Godwin Lab Palaeoclimate Res, Downing St, Cambridge CB2 3EQ, England.</t>
  </si>
  <si>
    <t>jg619@cam.ac.uk</t>
  </si>
  <si>
    <t>Jaccard, Samuel/IZP-9669-2023; Vogel, Hendrik/C-6148-2014; Jaccard, Samuel/G-3447-2014; Vogel, Hendrik/ABG-1123-2020; Frank, Norbert/D-6486-2016</t>
  </si>
  <si>
    <t>Vogel, Hendrik/0000-0002-9902-8120; Jaccard, Samuel/0000-0002-5793-0896; Gottschalk, Julia/0000-0002-0403-3059; Frank, Norbert/0000-0002-0416-9546; waelbroeck, claire/0000-0002-7256-5727</t>
  </si>
  <si>
    <t>Gates Cambridge Trust; Royal Society; Cambridge Newton Trust; NERC [NE/J010545/1]; Marie Curie Fellowship FP7-PEOPLE-IEF [622483]; Swiss National Science Foundation [PP00P2-144811]; European Research Council grant ACCLIMATE [339108]; NERC [NE/J010545/1, NE/L006421/1] Funding Source: UKRI; Natural Environment Research Council [NE/L006421/1, NE/J010545/1] Funding Source: researchfish; European Research Council (ERC) [339108] Funding Source: European Research Council (ERC)</t>
  </si>
  <si>
    <t>Gates Cambridge Trust; Royal Society(Royal Society); Cambridge Newton Trust(National Institutes of Health Research (NIHR)); NERC(UK Research &amp; Innovation (UKRI)Natural Environment Research Council (NERC)); Marie Curie Fellowship FP7-PEOPLE-IEF(Marie Curie ActionsEuropean Union (EU)); Swiss National Science Foundation(Swiss National Science Foundation (SNSF)); European Research Council grant ACCLIMATE(European Research Council (ERC)); NERC(UK Research &amp; Innovation (UKRI)Natural Environment Research Council (NERC)); Natural Environment Research Council(UK Research &amp; Innovation (UKRI)Natural Environment Research Council (NERC)); European Research Council (ERC)(European Research Council (ERC)Spanish Government)</t>
  </si>
  <si>
    <t>We are very indebted to Sambuddha Misra, Stephen Barker and Emma Freeman for fruitful discussions. Fabien Dewilde, Gulay Isguder, Margret Bayer, Verena Lanny, Lena Thole, Emma Freeman, Ron Reimer, Maria de la Fuente and Benny Antz are thanked for the technical support. We also acknowledge Andreas Mackensen and Rainer Gersonde for sharing their expertise in South Atlantic coring locations. J.G. and L.C.S. acknowledge support from the Gates Cambridge Trust, the Royal Society, the Cambridge Newton Trust and NERC grant NE/J010545/1. J.L. was supported by Marie Curie Fellowship FP7-PEOPLE-2013-IEF (Marie Curie proposal 622483). S.L.J. was funded through the Swiss National Science Foundation (grant PP00P2-144811). C.W. acknowledges support from the European Research Council grant ACCLIMATE/no 339108. This is LSCE contribution no. 4488.</t>
  </si>
  <si>
    <t>10.1038/ncomms11539</t>
  </si>
  <si>
    <t>DL9BY</t>
  </si>
  <si>
    <t>WOS:000375937600001</t>
  </si>
  <si>
    <t>Witts, JD; Whittle, RJ; Wignall, PB; Crame, JA; Francis, JE; Newton, RJ; Bowman, VC</t>
  </si>
  <si>
    <t>Witts, James D.; Whittle, Rowan J.; Wignall, Paul B.; Crame, J. Alistair; Francis, Jane E.; Newton, Robert J.; Bowman, Vanessa C.</t>
  </si>
  <si>
    <t>Macrofossil evidence for a rapid and severe Cretaceous-Paleogene mass extinction in Antarctica</t>
  </si>
  <si>
    <t>JAMES-ROSS BASIN; SEYMOUR-ISLAND; TERTIARY BOUNDARY; ISOTOPE PROFILES; END; EVOLUTION; PATTERNS; CLIMATE; STRATIGRAPHY; DIVERSITY</t>
  </si>
  <si>
    <t>Debate continues about the nature of the Cretaceous-Paleogene (K-Pg) mass extinction event. An abrupt crisis triggered by a bolide impact contrasts with ideas of a more gradual extinction involving flood volcanism or climatic changes. Evidence from high latitudes has also been used to suggest that the severity of the extinction decreased from low latitudes towards the poles. Here we present a record of the K-Pg extinction based on extensive assemblages of marine macrofossils (primarily new data from benthic molluscs) from a highly expanded Cretaceous-Paleogene succession: the Lopez de Bertodano Formation of Seymour Island, Antarctica. We show that the extinction was rapid and severe in Antarctica, with no significant biotic decline during the latest Cretaceous, contrary to previous studies. These data are consistent with a catastrophic driver for the extinction, such as bolide impact, rather than a significant contribution from Deccan Traps volcanism during the late Maastrichtian.</t>
  </si>
  <si>
    <t>[Witts, James D.; Wignall, Paul B.; Newton, Robert J.] Univ Leeds, Sch Earth &amp; Environm, Leeds LS2 9JT, W Yorkshire, England; [Whittle, Rowan J.; Crame, J. Alistair; Francis, Jane E.; Bowman, Vanessa C.] British Antarctic Survey, Madingley Rd, Cambridge CB3 OET, England</t>
  </si>
  <si>
    <t>University of Leeds; UK Research &amp; Innovation (UKRI); Natural Environment Research Council (NERC); NERC British Antarctic Survey</t>
  </si>
  <si>
    <t>Witts, JD (corresponding author), Univ Leeds, Sch Earth &amp; Environm, Leeds LS2 9JT, W Yorkshire, England.</t>
  </si>
  <si>
    <t>J.Witts@leeds.ac.uk</t>
  </si>
  <si>
    <t>Newton, Robert/B-2599-2009; Wignall, Paul/HPE-6256-2023</t>
  </si>
  <si>
    <t>Newton, Robert/0000-0003-0144-6867; Witts, James/0000-0002-4002-415X</t>
  </si>
  <si>
    <t>University of Leeds; UK Natural Environment Research Council (NERC) (Antarctic Funding Initiative) (PALEOPOLAR) [NE/C506399/1, NE/I00582X/1]; British Antarctic Survey; Natural Environment Research Council [bas0100030, bas0100036, NE/I00582X/2, NE/I005803/1, NE/I00582X/1, NE/C506399/1] Funding Source: researchfish; NERC [NE/I005803/1, bas0100030, NE/I00582X/1, bas0100036, NE/I00582X/2] Funding Source: UKRI</t>
  </si>
  <si>
    <t>University of Leeds; UK Natural Environment Research Council (NERC) (Antarctic Funding Initiative) (PALEOPOLAR); British Antarctic Survey; Natural Environment Research Council(UK Research &amp; Innovation (UKRI)Natural Environment Research Council (NERC)); NERC(UK Research &amp; Innovation (UKRI)Natural Environment Research Council (NERC))</t>
  </si>
  <si>
    <t>Funding for this study was provided by a PhD scholarship from the University of Leeds to J.D.W., and UK Natural Environment Research Council (NERC) grants NE/C506399/1 (Antarctic Funding Initiative) (to J.E.F.) and NE/I00582X/1 (PALEOPOLAR) (to J.A.C.). Fieldwork to Seymour Island was supported logistically by the British Antarctic Survey, and we thank Hilary Blagbrough (BAS, Cambridge, UK) for subsequent laboratory and technical support. We also acknowledge the help of staff at the Paleontological Research Institute (PRI, Ithaca, New York, USA) for assisting with access to the Zinsmeister Fossil Collection. We thank Cris Little and Alex Dunhill (University of Leeds, UK) for their constructive comments on an earlier version of this manuscript, and Jon Ineson (GEUS, Copenhagen, Denmark) as well as other members of the PALEOPOLAR research team, for useful discussions regarding the sedimentology and stratigraphy of Seymour Island.</t>
  </si>
  <si>
    <t>10.1038/ncomms11738</t>
  </si>
  <si>
    <t>DM9GG</t>
  </si>
  <si>
    <t>Green Published, gold, Green Submitted, Green Accepted</t>
  </si>
  <si>
    <t>WOS:000376672500001</t>
  </si>
  <si>
    <t>Lynch-Stieglitz, J; Ito, T; Michel, E</t>
  </si>
  <si>
    <t>Lynch-Stieglitz, Jean; Ito, Takamitsu; Michel, Elisabeth</t>
  </si>
  <si>
    <t>Antarctic density stratification and the strength of the circumpolar current during the Last Glacial Maximum</t>
  </si>
  <si>
    <t>Antarctic Circumpolar Current; Last Glacial Maximum; oxygen isotopes; benthic foraminifera</t>
  </si>
  <si>
    <t>LATE QUATERNARY PALEOCEANOGRAPHY; OXYGEN ISOTOPIC COMPOSITION; GLOBAL OCEAN CIRCULATION; SEA-SURFACE TEMPERATURE; SOUTHERN-OCEAN; OVERTURNING CIRCULATION; INTERMEDIATE WATER; ATLANTIC-OCEAN; COUPLED MODEL; DEEP-WATER</t>
  </si>
  <si>
    <t>The interaction between ocean circulation and biological processes in the Southern Ocean is thought to be a major control on atmospheric carbon dioxide content over glacial cycles. A better understanding of stratification and circulation in the Southern Ocean during the Last Glacial Maximum (LGM) provides information that will help us to assess these scenarios. First, we evaluate the link between Southern Ocean stratification and circulation states in a suite of climate model simulations. While simulated Antarctic Circumpolar Current (ACC) transport varies widely (80-350Sverdrup (Sv)), it co-varies with horizontal and vertical stratification and the formation of the southern deep water. We then test the LGM simulations against available data from paleoceanographic proxies, which can be used to assess the density stratification and ACC transport south of Australia. The paleoceanographic data suggest a moderate increase in the Southern Ocean stratification and the ACC strength during the LGM. Even with the relatively large uncertainty in the proxy-based estimates, extreme scenarios exhibited by some climate models with ACC transports of greater than 250Sv and highly saline Antarctic Bottom Water are highly unlikely.</t>
  </si>
  <si>
    <t>[Lynch-Stieglitz, Jean; Ito, Takamitsu] Georgia Inst Technol, Sch Earth &amp; Atmospher Sci, Atlanta, GA 30332 USA; [Michel, Elisabeth] CEA CNRS INSU UVSQ, Lab Sci Climat &amp; Environm, Gif Sur Yvette, France</t>
  </si>
  <si>
    <t>University System of Georgia; Georgia Institute of Technology; Universite Paris Saclay; CEA; Centre National de la Recherche Scientifique (CNRS)</t>
  </si>
  <si>
    <t>Lynch-Stieglitz, J (corresponding author), Georgia Inst Technol, Sch Earth &amp; Atmospher Sci, Atlanta, GA 30332 USA.</t>
  </si>
  <si>
    <t>jean@eas.gatech.edu</t>
  </si>
  <si>
    <t>Lynch-Stieglitz, Jean/J-2277-2018; Ito, Takamitsu/F-3856-2010</t>
  </si>
  <si>
    <t>Lynch-Stieglitz, Jean/0000-0002-9353-1972; Ito, Takamitsu/0000-0001-9873-099X; Michel, Elisabeth/0000-0001-7810-8888</t>
  </si>
  <si>
    <t>10.1002/2015PA002915</t>
  </si>
  <si>
    <t>WOS:000378699900003</t>
  </si>
  <si>
    <t>Korff, L; von Dobeneck, T; Frederichs, T; Kasten, S; Kuhn, G; Gersonde, R; Diekmann, B</t>
  </si>
  <si>
    <t>Korff, Lucia; von Dobeneck, Tilo; Frederichs, Thomas; Kasten, Sabine; Kuhn, Gerhard; Gersonde, Rainer; Diekmann, Bernhard</t>
  </si>
  <si>
    <t>Cyclic magnetite dissolution in Pleistocene sediments of the abyssal northwest Pacific Ocean: Evidence for glacial oxygen depletion and carbon trapping</t>
  </si>
  <si>
    <t>northwest Pacific Ocean; carbon trapping; magnetite dissolution; mid-Pleistocene transition; tephra layers; abyssal sediments</t>
  </si>
  <si>
    <t>MIDPLEISTOCENE CLIMATE TRANSITION; SUB-ARCTIC PACIFIC; DEEP-SEA SEDIMENTS; RELATIVE PALEOINTENSITY; GEOMAGNETIC-FIELD; ATMOSPHERIC CO2; REMANENCE ACQUISITION; INTERMEDIATE WATER; EQUATORIAL PACIFIC; SURFACE SEDIMENTS</t>
  </si>
  <si>
    <t>The carbonate-free abyss of the North Pacific defies most paleoceanographic proxy methods and hence remains a blank spot in ocean and climate history. Paleomagnetic and rock magnetic, geochemical, and sedimentological methods were combined to date and analyze seven middle to late Pleistocene northwest Pacific sediment cores from water depths of 5100 to 5700m. Besides largely coherent tephra layers, the most striking features of these records are nearly magnetite-free zones corresponding to glacial marine isotope stages (MISs) 22, 12, 10, 8, 6, and 2. Magnetite depletion is correlated with organic carbon and quartz content and anticorrelated with biogenic barite and opal content. Within interglacial sections and mid-Pleistocene transition glacial stages MIS 20, 18, 16, and 14, magnetite fractions of detrital, volcanic, and bacterial origin are all well preserved. Such alternating successions of magnetic iron mineral preservation and depletion are known from sapropel-marl cycles, which accumulated under periodically changing bottom water oxygen and redox conditions. In the open central northwest Pacific Ocean, the only conceivable mechanism to cause such abrupt change is a modified glacial bottom water circulation. During all major glaciations since MIS 12, oxygen-depleted Antarctic Bottom Water (AABW)-sourced bottom water seems to have crept into the abyssal northwest Pacific below similar to 5000m depth, thereby changing redox conditions in the sediment, trapping and preserving dissolved and particulate organic matter and, in consequence, reducing and dissolving both, biogenic and detrital magnetite. At deglaciation, a downward progressing oxidation front apparently remineralized and released these sedimentary carbon reservoirs without replenishing the magnetite losses.</t>
  </si>
  <si>
    <t>[Korff, Lucia; von Dobeneck, Tilo; Frederichs, Thomas; Kasten, Sabine; Kuhn, Gerhard; Gersonde, Rainer] Univ Bremen, MARUM Ctr Marine Environm Sci, Bremen, Germany; [Korff, Lucia; von Dobeneck, Tilo; Frederichs, Thomas; Kasten, Sabine; Kuhn, Gerhard; Gersonde, Rainer] Univ Bremen, Fac Geosci, Bremen, Germany; [Kasten, Sabine; Kuhn, Gerhard; Gersonde, Rainer] Helmholtz Ctr Polar &amp; Marine Res, Alfred Wegener Inst, Bremerhaven, Germany; [Diekmann, Bernhard] Helmholtz Ctr Polar &amp; Marine Res, Alfred Wegener Inst, Potsdam, Germany</t>
  </si>
  <si>
    <t>University of Bremen; University of Bremen; Helmholtz Association; Alfred Wegener Institute, Helmholtz Centre for Polar &amp; Marine Research; Helmholtz Association; Alfred Wegener Institute, Helmholtz Centre for Polar &amp; Marine Research</t>
  </si>
  <si>
    <t>von Dobeneck, T (corresponding author), Univ Bremen, MARUM Ctr Marine Environm Sci, Bremen, Germany.;von Dobeneck, T (corresponding author), Univ Bremen, Fac Geosci, Bremen, Germany.</t>
  </si>
  <si>
    <t>dobeneck@uni-bremen.de</t>
  </si>
  <si>
    <t>Kasten, Sabine/0000-0001-7453-5137; von Dobeneck, Tilo/0000-0002-0087-4053; Diekmann, Bernhard/0000-0001-5129-3649</t>
  </si>
  <si>
    <t>Federal Ministry of Education and Research (BMBF, Germany) [03G0202A]; MARUM, Center for Marine Environmental Sciences, Bremen</t>
  </si>
  <si>
    <t>Federal Ministry of Education and Research (BMBF, Germany)(Federal Ministry of Education &amp; Research (BMBF)); MARUM, Center for Marine Environmental Sciences, Bremen</t>
  </si>
  <si>
    <t>The work of L. Korff was funded by the Federal Ministry of Education and Research (BMBF, Germany) project 03G0202A (INOPEX) and special funds of MARUM, Center for Marine Environmental Sciences, Bremen. We thank the captain, crew, and scientific party of R/V Sonne cruise SO202 for their excellent support during sample collection. We also owe many thanks to L. Bruck, C. Hilgenfeldt H. Piero, and M. Castex (UB), as well as to O. Kreft, L. Baumann, J. Hansen, S. Wiebe and R. Frohlking (AWI), for laboratory assistance. T. Yamazaki, S. Jaccard, F. Bassinot, and I. Hall kindly provided published data for comparison and correlation. Comments by B. Maher, B. Honisch, and an unknown reviewer greatly helped to improve this publication and were highly appreciated. All new data of this study are made available at Pangaea data base (www.pangaea.de).</t>
  </si>
  <si>
    <t>10.1002/2015PA002882</t>
  </si>
  <si>
    <t>WOS:000378699900007</t>
  </si>
  <si>
    <t>Gutt, J; David, B; Isla, E; Piepenburg, D</t>
  </si>
  <si>
    <t>Gutt, Julian; David, Bruno; Isla, Enrique; Piepenburg, Dieter</t>
  </si>
  <si>
    <t>High environmental variability and steep biological gradients in the waters off the northern Antarctic Peninsula: Polarstern expedition PS81 (ANT-XXIX/3)</t>
  </si>
  <si>
    <t>SHELF</t>
  </si>
  <si>
    <t>[Gutt, Julian] Helmholtz Ctr Polar &amp; Marine Res, Alfred Wegener Inst, Alten Hafen 26, D-27568 Bremerhaven, Germany; [David, Bruno] Univ Bourgogne France Comte, UMR CNRS Biogeosci 6282, 6 Blvd Gabriel, F-21000 Dijon, France; [David, Bruno] Museum Natl Hist Nat, 57 Rue Cuvier, F-75005 Paris, France; [Isla, Enrique] Inst Ciencias Mar, Passeig Maritim Barceloneta 37-49, Barcelona, Spain; [Piepenburg, Dieter] Helmholtz Ctr Polar &amp; Marine Res, Alfred Wegener Inst, Handelshafen 12, D-27570 Bremerhaven, Germany</t>
  </si>
  <si>
    <t>Helmholtz Association; Alfred Wegener Institute, Helmholtz Centre for Polar &amp; Marine Research; Universite de Bourgogne; Museum National d'Histoire Naturelle (MNHN); Consejo Superior de Investigaciones Cientificas (CSIC); CSIC - Centro Mediterraneo de Investigaciones Marinas y Ambientales (CMIMA); CSIC - Instituto de Ciencias del Mar (ICM); Helmholtz Association; Alfred Wegener Institute, Helmholtz Centre for Polar &amp; Marine Research</t>
  </si>
  <si>
    <t>julian.gutt@awi.de; bruno.david@u-bourgogne.fr; isla@icm.csic.es; dieter.piepenburg@awi.de</t>
  </si>
  <si>
    <t>Piepenburg, Dieter/H-3251-2019; Piepenburg, Dieter/GQP-9916-2022</t>
  </si>
  <si>
    <t>Piepenburg, Dieter/0000-0003-3977-2860; Isla, Enrique/0000-0003-4959-6936; Gutt, Julian/0000-0003-3773-9370</t>
  </si>
  <si>
    <t>10.1007/s00300-016-1937-7</t>
  </si>
  <si>
    <t>WOS:000374662500001</t>
  </si>
  <si>
    <t>Huneke, WGC; Huhn, O; Schröder, M</t>
  </si>
  <si>
    <t>Huneke, Wilma Gertrud Charlotte; Huhn, Oliver; Schroeder, Michael</t>
  </si>
  <si>
    <t>Water masses in the Bransfield Strait and adjacent seas, austral summer 2013</t>
  </si>
  <si>
    <t>Bransfield Strait; Weddell Sea; Water masses; Antarctic Sound</t>
  </si>
  <si>
    <t>WEDDELL SEA; ANTHROPOGENIC CARBON; ANTARCTIC PENINSULA; BOTTOM WATER; CIRCULATION; REGION; DEEP; VENTILATION; TRANSPORT; CURRENTS</t>
  </si>
  <si>
    <t>The Bransfield Strait is a semi-enclosed sea located in the northern part of the West Antarctic Peninsula region, which is subject to strong climatic changes. The bathymetry is complex and comprises three basins that are separated from each other by shallow sills. Oceanographic measurements of the Bransfield Strait region are available since the first half of the twentieth century. In this study, hydrographic data from the ANT-XXIX/3 expedition of RV Polarstern in 2013 are presented to describe the actual physical state of the art, particularly for biological work done during that cruise. The general hydrographic situation of the Bransfield Strait in 2013 is found to be similar to observations from the early twentieth century. The Bransfield Strait's water masses are modified versions of the water masses from the adjacent seas. The different water masses within the Bransfield Strait are separated by two fronts, the so-called Bransfield and Peninsula Front. While the Bransfield Front is most pronounced in the central and southwestern Bransfield Strait, the Peninsula Front can be identified from the northeastern to the central part of the study domain. Based on an analysis of water mass properties around the Antarctic Peninsula and close to the Antarctic Sound, a notable inflow of Shelf Water from the Weddell Sea through the Antarctic Sound appears unlikely.</t>
  </si>
  <si>
    <t>[Huneke, Wilma Gertrud Charlotte; Schroeder, Michael] Helmholtz Ctr Polar &amp; Marine Res, Alfred Wegener Inst, Bussestr 24, D-27570 Bremerhaven, Germany; [Huhn, Oliver] Univ Bremen, Inst Environm Phys IUP, Dept Oceanog, Otto Hahn Allee, D-28359 Bremen, Germany</t>
  </si>
  <si>
    <t>Helmholtz Association; Alfred Wegener Institute, Helmholtz Centre for Polar &amp; Marine Research; University of Bremen</t>
  </si>
  <si>
    <t>Huneke, WGC (corresponding author), Helmholtz Ctr Polar &amp; Marine Res, Alfred Wegener Inst, Bussestr 24, D-27570 Bremerhaven, Germany.</t>
  </si>
  <si>
    <t>w.huneke@gmail.com</t>
  </si>
  <si>
    <t>Huneke, Wilma/GSE-1332-2022</t>
  </si>
  <si>
    <t>Huneke, Wilma/0000-0001-8624-365X; Huhn, Oliver/0000-0003-3626-9135</t>
  </si>
  <si>
    <t>10.1007/s00300-016-1936-8</t>
  </si>
  <si>
    <t>WOS:000374662500003</t>
  </si>
  <si>
    <t>Herr, H; Viquerat, S; Siegel, V; Kock, KH; Dorschel, B; Huneke, WGC; Bracher, A; Schröder, M; Gutt, J</t>
  </si>
  <si>
    <t>Herr, Helena; Viquerat, Sacha; Siegel, Volker; Kock, Karl-Hermann; Dorschel, Boris; Huneke, Wilma G. C.; Bracher, Astrid; Schroeder, Michael; Gutt, Julian</t>
  </si>
  <si>
    <t>Horizontal niche partitioning of humpback and fin whales around the West Antarctic Peninsula: evidence from a concurrent whale and krill survey</t>
  </si>
  <si>
    <t>Aerial cetacean survey; Distance sampling; Krill survey; Southern Ocean; Euphausia superba; Thysanoessa macrura</t>
  </si>
  <si>
    <t>EUPHAUSIA-SUPERBA; SOUTHERN-OCEAN; SEA-ICE; MEGAPTERA-NOVAEANGLIAE; BALEEN WHALES; MINKE WHALES; ABUNDANCE; PHYTOPLANKTON; DISTRIBUTIONS; CETACEANS</t>
  </si>
  <si>
    <t>A dedicated aerial cetacean survey was conducted concurrently to a standardised net trawl survey for krill in order to investigate distribution patterns of large whales and different krill species and to investigate relationships of these. Distance sampling data were used to produce density surface models for humpback (Megaptera novaeangliae) and fin whales (Balaenoptera physalus) around the West Antarctic Peninsula (WAP). Abundance for both species was estimated over two strata in the Bransfield Strait and Drake Passage. Distinct distribution patterns suggest horizontal niche partitioning of the two whale species around the WAP, with fin whales aggregating at the shelf edge of the South Shetland Islands in the Drake Passage and humpback whales in the Bransfield Strait. Krill biomass estimated from the concurrent krill survey was used along with CTD data from the same expedition, bathymetric parameters and satellite data on chlorophyll-a and ice concentration to model krill distribution. Comparisons of the predicted distributions of both whale species with the predicted distributions of Euphausia superba, Euphausia crystallorophias and Thysanoessa macrura suggest a complex relationship rather than a straightforward correlation between krill and whales. However, results indicate that fin whales were feeding in an area dominated by T. macrura, while humpback whales were found in areas of higher E. superba biomass. Our results provide abundance estimates for humpback whales and, for the first time, fin whales in the WAP and contribute important information on feeding ecology and habitat use of these two species in the Southern Ocean.</t>
  </si>
  <si>
    <t>[Herr, Helena; Viquerat, Sacha] Univ Vet Med Hannover, Inst Terr &amp; Aquat Wildlife Res, Werftstr 6, D-25761 Busum, Germany; [Siegel, Volker; Kock, Karl-Hermann] Thunen Inst Sea Fisheries, Palmaille 9, D-22767 Hamburg, Germany; [Dorschel, Boris; Huneke, Wilma G. C.; Bracher, Astrid; Schroeder, Michael; Gutt, Julian] Helmholtz Ctr Polar &amp; Marine Res, Alfred Wegener Inst, D-27568 Bremerhaven, Germany; [Bracher, Astrid] Univ Bremen, Inst Environm Phys, Otto Hahn Allee 1, D-28359 Bremen, Germany</t>
  </si>
  <si>
    <t>University of Veterinary Medicine Hannover; Johann Heinrich von Thunen Institute; Helmholtz Association; Alfred Wegener Institute, Helmholtz Centre for Polar &amp; Marine Research; University of Bremen</t>
  </si>
  <si>
    <t>Herr, H (corresponding author), Univ Vet Med Hannover, Inst Terr &amp; Aquat Wildlife Res, Werftstr 6, D-25761 Busum, Germany.</t>
  </si>
  <si>
    <t>helena.herr@tiho-hannover.de</t>
  </si>
  <si>
    <t>Herr, Helena/H-3585-2019; Bracher, Astrid/B-7805-2013; Bracher, Astrid/I-2672-2013; Herr, Helena/JAC-6808-2023; Huneke, Wilma/GSE-1332-2022</t>
  </si>
  <si>
    <t>Bracher, Astrid/0000-0003-3025-5517; Herr, Helena/0000-0002-5028-2419; Huneke, Wilma/0000-0001-8624-365X; Gutt, Julian/0000-0003-3773-9370; Viquerat, Sacha/0000-0002-2519-7319</t>
  </si>
  <si>
    <t>German Federal Ministry of Food and Agriculture [2811HS015]</t>
  </si>
  <si>
    <t>German Federal Ministry of Food and Agriculture</t>
  </si>
  <si>
    <t>We thank Captain Pahl and the R/V Polarstern crew for their support, cooperation and facilitation of our work throughout the expedition ANT29-3. Our survey could not have been conducted without the excellent work and support of the helicopter crew of Heliservice International, Klaus Hammrich, Lars Vaupel, Carsten Mollendorf and Thomas Muller. Very big thanks go to our dedicated observer Carsten Rocholl. We are grateful to the meteorological office on board, Manfred Gebauer and Hartmut Sonnabend. Their weather forecasts made it possible to conduct this survey in very variable weather conditions. We are also grateful to the krill team Ryan Driscoll, Annika Elsheimer, Christina Fromm and Ute Muhlenhardt-Siegel for working long hours and under harsh weather and difficult ice conditions to make the RMT net sampling programme a successful exercise. Finally, we thank the Oceanography team on board of ANT29-3, with special thanks to Andreas Wisotzki for processing the oceanographic data (CTD data: doi: 10.1594/PANGEA.811907 and bottle data: doi: 10.1594/PANGEA.811818). This study was partly funded by the German Federal Ministry of Food and Agriculture within the project: 'Modellierungen zu Populationsgrossen und raumlicher Verteilung von Zwergwalen im antarktischen Packeis auf der Grundlage von see- und luftgestutzten Tiersichtungen (Project 2811HS015)'.</t>
  </si>
  <si>
    <t>10.1007/s00300-016-1927-9</t>
  </si>
  <si>
    <t>WOS:000374662500004</t>
  </si>
  <si>
    <t>Berne, S; Kalauz, M; Lapat, M; Savin, L; Janussen, D; Kersken, D; Avgutin, JA; Jokhadar, SZ; Jaklic, D; Gunde-Cimerman, N; Lunder, M; Roskar, I; Elersek, T; Turk, T; Sepcic, K</t>
  </si>
  <si>
    <t>Berne, Sabina; Kalauz, Martina; Lapat, Marko; Savin, Lora; Janussen, Dorte; Kersken, Daniel; Avgutin, Jerneja Ambrozic; Jokhadar, Spela Zemljic; Jaklic, Domen; Gunde-Cimerman, Nina; Lunder, Mojca; Roskar, Irena; Elersek, Tina; Turk, Tom; Sepcic, Kristina</t>
  </si>
  <si>
    <t>Screening of the Antarctic marine sponges (Porifera) as a source of bioactive compounds</t>
  </si>
  <si>
    <t>Antarctic marine sponges; Antibacterial activity; Antifungal activity; Antialgal activity; Enzyme inhibition; Cytotoxicity</t>
  </si>
  <si>
    <t>POTENT CYTOTOXIC MACROLIDE; BIOLOGICAL-ACTIVITIES; ALPHA-AMYLASE; VARIOLIN-B; METABOLITES; DEMOSPONGIAE; VARIABILITY; DISCOVERY; ALKALOIDS; DYNAMICS</t>
  </si>
  <si>
    <t>Sponges (Porifera) currently represent one of the richest sources of natural products and account for almost half of the pharmacologically active compounds of marine origin. However, to date very little is known about the pharmacological potential of the sponges from polar regions. In this work we report on screening of ethanolic extracts from 24 Antarctic marine sponges for different biological activities. The extracts were tested for cytotoxic effects against normal and transformed cell lines, red blood cells, and algae, for modulation of the activities of selected physiologically important enzymes (acetylcholinesterase, butyrylcholinesterase, and alpha-amylase), and for inhibition of growth of pathogenic and ecologically relevant bacteria and fungi. An extract from Tedania (Tedaniopsis) oxeata was selectively cytotoxic against the cancer cell lines and showed growth inhibition of all of the tested ecologically relevant and potentially pathogenic fungal isolates. The sponge extracts from Isodictya erinacea and Kirkpatrickia variolosa inhibited the activities of the cholinesterase enzymes, while the sponge extracts from Isodictya lankesteri and Inflatella belli reduced the activity of alpha-amylase. Several sponge extracts inhibited the growth of multiresistant pathogenic bacterial isolates of different origins, including extended-spectrum beta-lactamase and carbapenem-resistant strains, while sponge extracts from K. variolosa and Myxilla (Myxilla) mollis were active against a human methicillin-resistant Staphylococcus aureus strain. We conclude that Antarctic marine sponges represent a valuable source of biologically active compounds with pharmacological potential.</t>
  </si>
  <si>
    <t>[Berne, Sabina; Kalauz, Martina; Lapat, Marko; Savin, Lora; Avgutin, Jerneja Ambrozic; Gunde-Cimerman, Nina; Turk, Tom; Sepcic, Kristina] Univ Ljubljana, Dept Biol, Biotech Fac, Ljubljana, Slovenia; [Kalauz, Martina; Lapat, Marko; Savin, Lora] Univ Rijeka, Dept Biotechnol, Rijeka, Croatia; [Janussen, Dorte; Kersken, Daniel] Senckenberg Res Inst, Frankfurt, Germany; [Janussen, Dorte; Kersken, Daniel] Natl Museum, Frankfurt, Germany; [Jokhadar, Spela Zemljic] Univ Ljubljana, Inst Biophys, Fac Med, Ljubljana, Slovenia; [Jaklic, Domen] Medex Doo, Ljubljana, Slovenia; [Gunde-Cimerman, Nina] Ctr Excellence Integrated Approaches Chem &amp; Biol, Jamova 39, Ljubljana 1000, Slovenia; [Lunder, Mojca; Roskar, Irena] Univ Ljubljana, Chair Pharmaceut Biol, Fac Pharm, Ljubljana, Slovenia; [Elersek, Tina] Natl Inst Biol, Ljubljana, Slovenia</t>
  </si>
  <si>
    <t>University of Ljubljana; University of Rijeka; Senckenberg Gesellschaft fur Naturforschung (SGN); University of Ljubljana; University of Ljubljana; National Institute of Biology - Slovenia</t>
  </si>
  <si>
    <t>Sepcic, K (corresponding author), Univ Ljubljana, Dept Biol, Biotech Fac, Ljubljana, Slovenia.</t>
  </si>
  <si>
    <t>kristina.sepcic@bf.uni-lj.si</t>
  </si>
  <si>
    <t>Berne, Sabina/A-2206-2016; Sepcic, Kristina/S-5533-2018</t>
  </si>
  <si>
    <t>Berne, Sabina/0000-0002-0441-4142; Ambrozic Avgustin, Jerneja/0009-0000-5215-6275; Gunde-Cimerman, Nina/0000-0002-9464-3263; Lunder, Mojca/0000-0001-9448-789X</t>
  </si>
  <si>
    <t>Slovenian Research Agency [P1-0207, P4-0127, P1-0055, P1-0198]; ERASMUS Student Mobility Programme; Deutsche Forschungsgemeinschaft [JA-1063/17-1]; Ministry of Education, Science and Sport; University of Ljubljana; Slovenian Research Agency through the Infrastructural Centre Mycosmo, MRIC UL; Centre of Excellence for Integrated Approaches in Chemistry and Biology of Proteins (CIPKeBiP)</t>
  </si>
  <si>
    <t>Slovenian Research Agency(Slovenian Research Agency - Slovenia); ERASMUS Student Mobility Programme; Deutsche Forschungsgemeinschaft(German Research Foundation (DFG)); Ministry of Education, Science and Sport; University of Ljubljana; Slovenian Research Agency through the Infrastructural Centre Mycosmo, MRIC UL; Centre of Excellence for Integrated Approaches in Chemistry and Biology of Proteins (CIPKeBiP)</t>
  </si>
  <si>
    <t>The authors gratefully acknowledge the Slovenian Research Agency (Research Programmes P1-0207, P4-0127, P1-0055, and P1-0198), the ERASMUS Student Mobility Programme for financial support to MK, LS and ML, and Deutsche Forschungsgemeinschaft for financial support for the Antarctic sponge research project by DJ (JA-1063/17-1). We acknowledge the financial support received from the Ministry of Education, Science and Sport and the University of Ljubljana via the Innovative scheme for co-financing of doctoral studies, the Slovenian Research Agency through the Infrastructural Centre Mycosmo, MRIC UL, and the Centre of Excellence for Integrated Approaches in Chemistry and Biology of Proteins (CIPKeBiP). Dr. Chris Berrie is greatly acknowledged for editing and appraisal of the manuscript.</t>
  </si>
  <si>
    <t>10.1007/s00300-015-1835-4</t>
  </si>
  <si>
    <t>WOS:000374662500013</t>
  </si>
  <si>
    <t>Brandt, A; Linse, K; Ellingsen, KE; Somerfield, PJ</t>
  </si>
  <si>
    <t>Brandt, Angelika; Linse, Katrin; Ellingsen, Kari E.; Somerfield, Paul J.</t>
  </si>
  <si>
    <t>Depth-related gradients in community structure and relatedness of bivalves and isopods in the Southern Ocean</t>
  </si>
  <si>
    <t>MARINE BENTHIC COMMUNITIES; MEASURING BETA-DIVERSITY; NORTHEAST WATER POLYNYA; DEEP-SEA ISOPODA; 75 DEGREES N; SPECIES-DIVERSITY; PERACARID CRUSTACEANS; SHETLAND ISLANDS; ROSS SEA; TAXONOMIC DISTINCTNESS</t>
  </si>
  <si>
    <t>Despite increased research over the last decade, diversity patterns in Antarctic deep-sea benthic taxa and their driving forces are only marginally known. Depth-related patterns of diversity and distribution of isopods and bivalves collected in the Atlantic sector of the Southern Ocean are analysed. The data, sampled by epibenthic sledge at 40 deep-sea stations from the upper continental slope to the hadal zone (774-6348 m) over a wide area of the Southern Ocean, comprises 619 species of isopods and 81 species of bivalves. There were more species of isopods than bivalves in all samples, and species per station varied from 2 to 85 for isopods and from 0 to 18 for bivalves. Most species were rare, with 72% of isopod species restricted to one or two stations, and 45% of bivalves. Among less-rare species bivalves tended to have wider distributions than isopods. The species richness of isopods varied with depth, showing a weak unimodal curve with a peak at 2000-4000 m, while the richness of bivalves did not. Multivariate analyses indicate that there are two main assemblages in the Southern Ocean, one shallow and one deep. These overlap over a large depth-range (2000-4000 m). Comparing analyses based on the Sorensen resemblance measure and Gamma(+) (incorporating relatedness among species) indicates that rare species tend to have other closely related species within the same depth band. Analysis of relatedness among species indicates that the taxonomic variety of bivalves tends to decline at depth, whereas that of isopods is maintained. This, it is speculated, may indicate that the available energy at depth is insufficient to maintain a range of bivalve life-history strategies. (C) 2016 Elsevier Ltd. All rights reserved.</t>
  </si>
  <si>
    <t>[Brandt, Angelika] Univ Hamburg, Ctr Nat Hist, Zool Museum, Martin Luther King Pl 3, D-20146 Hamburg, Germany; [Linse, Katrin] British Antarctic Survey, Nat Environm Res Council, Madlingley Rd, Cambridge CB3 0ET, England; [Ellingsen, Kari E.] Norwegian Inst Nat Res, Fram Ctr, POB 6606, N-9296 Tromso, Norway; [Somerfield, Paul J.] Plymouth Marine Lab, Prospect Pl, Plymouth PL1 3DH, Devon, England</t>
  </si>
  <si>
    <t>University of Hamburg; UK Research &amp; Innovation (UKRI); Natural Environment Research Council (NERC); NERC British Antarctic Survey; Norwegian Institute Nature Research; Plymouth Marine Laboratory</t>
  </si>
  <si>
    <t>Brandt, A (corresponding author), Univ Hamburg, Ctr Nat Hist, Zool Museum, Martin Luther King Pl 3, D-20146 Hamburg, Germany.</t>
  </si>
  <si>
    <t>abrandt@zoologie.uni-hamburg.de; kl@bas.ac.uk; kari.ellingsen@nina.no; pjso@pml.ac.uk</t>
  </si>
  <si>
    <t>Somerfield, Paul J/J-9189-2014; Brandt, Angelika/C-1630-2018</t>
  </si>
  <si>
    <t>Ellingsen, Kari Elsa/0000-0002-2321-8278; Linse, Katrin/0000-0003-3477-3047</t>
  </si>
  <si>
    <t>German Science Foundation, Germany; Research Council of Norway - Norway; UK Natural Environment Research Council, United Kingdom; NERC [bas0100036] Funding Source: UKRI; Natural Environment Research Council [bas0100036] Funding Source: researchfish</t>
  </si>
  <si>
    <t>German Science Foundation, Germany(German Research Foundation (DFG)); Research Council of Norway - Norway(Research Council of Norway); UK Natural Environment Research Council, United Kingdom; NERC(UK Research &amp; Innovation (UKRI)Natural Environment Research Council (NERC)); Natural Environment Research Council(UK Research &amp; Innovation (UKRI)Natural Environment Research Council (NERC))</t>
  </si>
  <si>
    <t>Financial support for the ANDEEP expeditions was provided by the German Science Foundation, Germany. KEE acknowledges the support of the Research Council of Norway - Norway and PJS acknowledges support from the UK Natural Environment Research Council, United Kingdom. We are grateful to Saskia Brix, Stefanie Kaiser, Wiebke Brokeland, Madhumita Choudhury and Marina Malyutina for help in sorting and identification of isopods. This is ANDEEP publication # 200.</t>
  </si>
  <si>
    <t>10.1016/j.pocean.2016.03.003</t>
  </si>
  <si>
    <t>WOS:000376214200003</t>
  </si>
  <si>
    <t>Chen, XC; Lorentzen, DA; Moen, JI; Oksavik, K; Baddeley, LJ; Lester, M</t>
  </si>
  <si>
    <t>Chen, X-C.; Lorentzen, D. A.; Moen, J. I.; Oksavik, K.; Baddeley, L. J.; Lester, M.</t>
  </si>
  <si>
    <t>F region ionosphere effects on the mapping accuracy of SuperDARN HF radar echoes</t>
  </si>
  <si>
    <t>RADIO SCIENCE</t>
  </si>
  <si>
    <t>OI 630; 0nm auroral emission; open-closed field line boundary; SuperDARN spectral width; HF radio wave propagation; solar activity; solar EUV</t>
  </si>
  <si>
    <t>POLAR-CAP PATCH; PARTICLE-PRECIPITATION BOUNDARIES; SPECTRAL WIDTH BOUNDARIES; ELECTRON-DENSITY; NETWORK SUPERDARN; EISCAT SVALBARD; AURORAL FORMS; CUSP; CONVECTION; PLASMA</t>
  </si>
  <si>
    <t>Structured particle precipitation in the cusp is an important source for the generation of F region ionospheric irregularities. The equatorward boundaries of broad Doppler spectral width in Super Dual Auroral Radar Network (SuperDARN) data and the concurrent OI 630.0nm auroral emission are good empirical proxies for the dayside open-closed field line boundary. However, SuperDARN currently employs a simple virtual model to determine the location of its echoes, instead of a direct calculation of the radio wave path. The varying ionospheric conditions could influence the final mapping accuracy of SuperDARN echoes. A statistical comparison of the offsets between the SuperDARN Finland radar spectral width boundary (SWB) and the OI 630.0nm auroral emission boundary (AEB) from a meridian-scanning photometer (MSP) on Svalbard is performed in this paper. By restricting the location of the 630.0nm data to be near local zenith where the MSP has the highest spatial resolution, the optical mapping errors were significantly reduced. The variation of the SWB-AEB offset confirms that there is a close relationship between the mapping accuracy of the HF radar echoes and solar activity. The asymmetric variation of the SWB-AEB offset versus magnetic local time suggests that the intake of high-density solar extreme ultraviolet ionized plasma from postnoon at subauroral latitudes could result in a stronger refraction of the HF radar signals in the noon sector, while changing the HF radar operating frequency also has a refraction effect that contributes to the final location of the HF radar echoes.</t>
  </si>
  <si>
    <t>[Chen, X-C.; Lorentzen, D. A.; Moen, J. I.; Oksavik, K.; Baddeley, L. J.] Univ Ctr Svalbard, Dept Arctic Geophys, Longyearbyen, Norway; [Chen, X-C.; Lorentzen, D. A.; Oksavik, K.; Baddeley, L. J.] Univ Bergen, Dept Phys &amp; Technol, Birkeland Ctr Space Sci, Bergen, Norway; [Chen, X-C.; Moen, J. I.] Univ Oslo, Dept Phys, Oslo, Norway; [Lorentzen, D. A.; Baddeley, L. J.] British Antarctic Survey, Cambridge, England; [Lester, M.] Univ Leicester, Dept Phys &amp; Astron, Leicester, Leics, England</t>
  </si>
  <si>
    <t>University Centre Svalbard (UNIS); University of Bergen; University of Oslo; UK Research &amp; Innovation (UKRI); Natural Environment Research Council (NERC); NERC British Antarctic Survey; University of Leicester</t>
  </si>
  <si>
    <t>Chen, XC (corresponding author), Univ Ctr Svalbard, Dept Arctic Geophys, Longyearbyen, Norway.;Chen, XC (corresponding author), Univ Bergen, Dept Phys &amp; Technol, Birkeland Ctr Space Sci, Bergen, Norway.;Chen, XC (corresponding author), Univ Oslo, Dept Phys, Oslo, Norway.</t>
  </si>
  <si>
    <t>xiangcai.chen@unis.no</t>
  </si>
  <si>
    <t>Chen, Xiangcai/S-9746-2019; Moen, Joeran I/I-1349-2017; Baddeley, Lisa/ABD-4414-2020; Oksavik, Kjellmar/GWZ-7781-2022; Lester, Mark/C-9657-2016</t>
  </si>
  <si>
    <t>Chen, Xiangcai/0000-0002-6325-5049; Baddeley, Lisa/0000-0003-1246-0488; Oksavik, Kjellmar/0000-0003-4312-6992; Lester, Mark/0000-0001-7353-5549</t>
  </si>
  <si>
    <t>Research Council of Norway [223252, 208006, 230996]; RSPP group at the University of Leicester; Swedish Institute of Space Physics; Finnish Meteorological Institute in Helsinki; NERC [NE/K011766/1]; Directorate For Geosciences; Div Atmospheric &amp; Geospace Sciences [1242204] Funding Source: National Science Foundation; NERC [bas0100031, NE/K011766/1] Funding Source: UKRI; STFC [ST/K001000/1] Funding Source: UKRI; Natural Environment Research Council [NE/K011766/1, bas0100031] Funding Source: researchfish; Science and Technology Facilities Council [ST/K001000/1] Funding Source: researchfish</t>
  </si>
  <si>
    <t>Research Council of Norway(Research Council of Norway); RSPP group at the University of Leicester; Swedish Institute of Space Physics; Finnish Meteorological Institute in Helsinki; NERC(UK Research &amp; Innovation (UKRI)Natural Environment Research Council (NERC)); Directorate For Geosciences; Div Atmospheric &amp; Geospace Sciences(National Science Foundation (NSF)NSF - Directorate for Geosciences (GEO)); NERC(UK Research &amp; Innovation (UKRI)Natural Environment Research Council (NERC)); STFC(UK Research &amp; Innovation (UKRI)Science &amp; Technology Facilities Council (STFC)); Natural Environment Research Council(UK Research &amp; Innovation (UKRI)Natural Environment Research Council (NERC)); Science and Technology Facilities Council(UK Research &amp; Innovation (UKRI)Science &amp; Technology Facilities Council (STFC))</t>
  </si>
  <si>
    <t>This study has been supported by the Research Council of Norway under contracts 223252, 208006, and 230996. The CUTLASS Finland radar is part of SuperDARN and is supported by the RSPP group at the University of Leicester, the Swedish Institute of Space Physics, and the Finnish Meteorological Institute in Helsinki. The SuperDARN data can be retrieved from Virginia Tech. The Longyearbyen MSP is owned and operated by UNIS; the data can be obtained from Dag Lorentzen. The IRI2012 model can be accessed through the website http://iri.gsfc.nasa.gov/. The monthly averaged F10.7 solar flux data were downloaded from Natural Resources Canada (ftp://ftp.geolab.nrcan.gc.ca/data/solar_flux/). We also thank the MIT Haystack Observatory for providing GPS TEC data which can be accessed through the website http://madrigal.haystack.mit.edu/madrigal/. The NASA CDAWeb site supplies the solar wind and IMF data from the ACE spacecraft (http://cdaweb.gsfc.nasa.gov/). M.L. acknowledges support from NERC via grant NE/K011766/1.</t>
  </si>
  <si>
    <t>0048-6604</t>
  </si>
  <si>
    <t>1944-799X</t>
  </si>
  <si>
    <t>RADIO SCI</t>
  </si>
  <si>
    <t>Radio Sci.</t>
  </si>
  <si>
    <t>10.1002/2016RS005957</t>
  </si>
  <si>
    <t>Astronomy &amp; Astrophysics; Geochemistry &amp; Geophysics; Meteorology &amp; Atmospheric Sciences; Remote Sensing; Telecommunications</t>
  </si>
  <si>
    <t>DQ4AO</t>
  </si>
  <si>
    <t>Green Accepted, Bronze, Green Published</t>
  </si>
  <si>
    <t>WOS:000379145600012</t>
  </si>
  <si>
    <t>Soppa, MA; Völker, C; Bracher, A</t>
  </si>
  <si>
    <t>Soppa, Mariana A.; Voelker, Christoph; Bracher, Astrid</t>
  </si>
  <si>
    <t>Diatom Phenology in the Southern Ocean: Mean Patterns, Trends and the Role of Climate Oscillations</t>
  </si>
  <si>
    <t>diatom; phenology; phytoplankton; SAM; ENSO; ocean colour; Southern Ocean</t>
  </si>
  <si>
    <t>ANTARCTIC CIRCUMPOLAR CURRENT; SEA-ICE; PHYTOPLANKTON BLOOMS; ATMOSPHERIC CORRECTION; CHLOROPHYLL-A; ANNULAR MODE; DISSOLVED IRON; SILICA CYCLE; VARIABILITY; IMPACT</t>
  </si>
  <si>
    <t>Diatoms are the major marine primary producers in the Southern Ocean and a key component of the carbon and silicate biogeochemical cycle. Using 15 years of satellite-derived diatom concentration from September to April (1997-2012), we examine the mean patterns and the interannual variability of the diatom bloom phenology in the Southern Ocean. Mean spatial patterns of timing and duration of diatom blooms are generally associated with the position of the Southern Antarctic Circumpolar Current Front and of the maximum sea ice extent. In several areas the anomalies of phenological indices are found to be correlated with ENSO and SAM. Composite maps of the anomalies reveal distinct spatial patterns and opposite events of ENSO and SAM have similar effects on the diatom phenology. For example, in the Ross Sea region, a later start of the bloom and lower diatom biomass were observed associated with El Nino and negative SAM events; likely influenced by an increase in sea ice concentration during these events.</t>
  </si>
  <si>
    <t>[Soppa, Mariana A.; Bracher, Astrid] Alfred Wegener Inst, Bussestr 24, D-27570 Bremerhaven, Germany; [Voelker, Christoph] Alfred Wegener Inst, Handelshafen 12, D-27570 Bremerhaven, Germany; [Bracher, Astrid] Univ Bremen, Inst Environm Phys, D-28334 Bremen, Germany</t>
  </si>
  <si>
    <t>Helmholtz Association; Alfred Wegener Institute, Helmholtz Centre for Polar &amp; Marine Research; Helmholtz Association; Alfred Wegener Institute, Helmholtz Centre for Polar &amp; Marine Research; University of Bremen</t>
  </si>
  <si>
    <t>Soppa, MA (corresponding author), Alfred Wegener Inst, Bussestr 24, D-27570 Bremerhaven, Germany.</t>
  </si>
  <si>
    <t>msoppa@awi.de; christoph.voelker@awi.de; abracher@awi.de</t>
  </si>
  <si>
    <t>Bracher, Astrid/B-7805-2013; Voelker, Christoph/I-7891-2012; Bracher, Astrid/I-2672-2013; Soppa, Mariana A./F-3878-2011</t>
  </si>
  <si>
    <t>Voelker, Christoph/0000-0003-3032-114X; Bracher, Astrid/0000-0003-3025-5517; Altenburg Soppa, Mariana/0000-0002-5100-8809</t>
  </si>
  <si>
    <t>Alfred-Wegener-Institute; Total Foundation Project Phytoscope; ESA-SEOM SY-4SCI SYNERGY project SynSenPFT</t>
  </si>
  <si>
    <t>We would like to acknowledge the Ocean Colour CCI project for the production and distribution of the chlorophyll data. This work was partially supported by the Alfred-Wegener-Institute, the Total Foundation Project Phytoscope and the ESA-SEOM SY-4SCI SYNERGY project SynSenPFT.</t>
  </si>
  <si>
    <t>10.3390/rs8050420</t>
  </si>
  <si>
    <t>WOS:000378406400064</t>
  </si>
  <si>
    <t>Paolo, FS; Flicker, HA; Padman, L</t>
  </si>
  <si>
    <t>Paolo, Fernando S.; Flicker, Helen A.; Padman, Laurie</t>
  </si>
  <si>
    <t>Constructing improved decadal records of Antarctic ice shelf height change from multiple satellite radar altimeters</t>
  </si>
  <si>
    <t>REMOTE SENSING OF ENVIRONMENT</t>
  </si>
  <si>
    <t>satellite radar altimetry; ice shelves; change detection; time series; trend analysis; uncertainty analysis</t>
  </si>
  <si>
    <t>SEA-LEVEL RISE; ELEVATION CHANGES; GROUNDING ZONE; ACCURACY ASSESSMENT; SURFACE-PROPERTIES; WEST ANTARCTICA; MASS CHANGES; PINE ISLAND; SHEET; GLACIERS</t>
  </si>
  <si>
    <t>Antarctica's ice shelves, the floating extensions of the ice sheet, exert an important dynamic constraint on the flow of ice from the grounded ice sheet to the ocean and, therefore, on changes in global sea level. Thinning of an ice shelf reduces its ability to restrain the ice discharge from the grounded ice sheet. However, our understanding of how ice shelf processes couple ice-sheet changes to climate variability is still rudimentary. In part, this is due to the brevity and low temporal resolution of surveys of ice shelf thickness relative to the broad range of time scales on which ice-sheet mass fluctuates. Here, we present improved procedures to construct 18-year (1994-2012) time series of Antarctic ice shelf surface height at high spatial resolution (similar to 30 km) by merging data from three overlapping satellite radar altimeter missions (ERS-1, ERS-2, and Envisat). We apply an averaging scheme to enhance the signal-to-noise ratio of height changes over the floating ice shelves, and extract low-order polynomial trends using a robust approach (regularized regression with cross-validation) that accounts for both bias and variance in the fit. We construct formal confidence intervals by bootstrap resampling of the residuals of the fit. The largest source of height error arises from the interaction of the radar signal with the snow and firn surface; on annual time scales, changes in surface and sub-surface scattering and radar penetration lead to apparent height changes that are larger than the true surface-height change arising from densification. Our 18-year time series of surface height provide an insight into how ice shelves respond to the changing atmospheric and oceanic conditions. Our methods could also be applied to grounded portions of the ice sheets, both in Antarctica and Greenland. (C) 2016 Elsevier Inc All rights reserved.</t>
  </si>
  <si>
    <t>[Paolo, Fernando S.; Flicker, Helen A.] Univ Calif San Diego, Scripps Inst Oceanog, San Diego, CA 92103 USA; [Padman, Laurie] Earth &amp; Space Res, Corvallis, OR USA</t>
  </si>
  <si>
    <t>Paolo, FS (corresponding author), Univ Calif San Diego, Scripps Inst Oceanog, San Diego, CA 92103 USA.</t>
  </si>
  <si>
    <t>fpaolo@ucsd.edu</t>
  </si>
  <si>
    <t>Paolo, Fernando/AGQ-9348-2022; Padman, Laurence/AAH-3808-2021</t>
  </si>
  <si>
    <t>Paolo, Fernando/0000-0002-6439-2918; Padman, Laurence/0000-0003-2010-642X; Fricker, Helen Amanda/0000-0002-0921-1432</t>
  </si>
  <si>
    <t>NASA [NNX12AN50H 002 (93735A), NNX10AG19G, NNX13AP60G]; NASA [134135, NNX10AG19G, 466837, NNX13AP60G] Funding Source: Federal RePORTER</t>
  </si>
  <si>
    <t>NASA(National Aeronautics &amp; Space Administration (NASA)); NASA(National Aeronautics &amp; Space Administration (NASA))</t>
  </si>
  <si>
    <t>This work was funded by NASA (awards NNX12AN50H 002 (93735A), NNX10AG19G and NNX13AP60G). This is ESR contribution 156. We thank J. Zwally's Ice Altimetry group at the NASA Goddard Space Flight Center for distributing their RA data sets for all satellite radar altimeter missions (http://icesat4.gsfc.nasa.gov). We are grateful to Glenn Hyland of the Australian Antarctic Division in Hobart for running the Davis S/V algorithm used to make Fig. 4. We thank C. Davis and D. Wingham for RA processing advice. We thank A. Shepherd and two anonymous reviewers for helpful comments that improved the manuscript. We also thank the San Diego Supercomputer Center for providing computational resources used in this study.</t>
  </si>
  <si>
    <t>0034-4257</t>
  </si>
  <si>
    <t>1879-0704</t>
  </si>
  <si>
    <t>REMOTE SENS ENVIRON</t>
  </si>
  <si>
    <t>Remote Sens. Environ.</t>
  </si>
  <si>
    <t>10.1016/j.rse.2016.01.026</t>
  </si>
  <si>
    <t>Environmental Sciences; Remote Sensing; Imaging Science &amp; Photographic Technology</t>
  </si>
  <si>
    <t>Environmental Sciences &amp; Ecology; Remote Sensing; Imaging Science &amp; Photographic Technology</t>
  </si>
  <si>
    <t>DI5PC</t>
  </si>
  <si>
    <t>WOS:000373550100017</t>
  </si>
  <si>
    <t>Taburets, OV; Morgaienko, OO; Kondratiuk, TO; Beregova, TV; Ostapchenko, LI</t>
  </si>
  <si>
    <t>Taburets, O. V.; Morgaienko, O. O.; Kondratiuk, T. O.; Beregova, T. V.; Ostapchenko, L. I.</t>
  </si>
  <si>
    <t>The Effect of Melanin-Gel on the Wound Healing.</t>
  </si>
  <si>
    <t>RESEARCH JOURNAL OF PHARMACEUTICAL BIOLOGICAL AND CHEMICAL SCIENCES</t>
  </si>
  <si>
    <t>wound; Melanin-gel; full-thickness skin wound; purulent necrotic wound; thermal burn</t>
  </si>
  <si>
    <t>Despite advances in traumatic wound care and management, infections remain a leading cause of mortality, morbidity and economic disruption in millions of wound patients around the world. Animal models have become standard tools for studying a wide array of external traumatic wound infections and testing new antimicrobial strategies. Study of wound-healing action was conducted on model of full-thickness skin wound, purulent necrotic wound and thermal burns. The efficiency of wounds treatment with Melanin that is produced by Antarctic black yeast-like fungi Nadsoniella nigra strain X1-M was studied. Melanin-gel (0.05% melanin dissolved in 0.5% carbopol) had antimicrobial property against Staphylococcus aureus, Pseudomonas aeruginosa, Candida albicans, that is one of the mechanisms of wound healing. Application of the Melanin-gel on wound area enhanced wound cleaning from dead tissue and reduced eschar, stimulated the early growth of granulation tissue, and improved epithelialization of the wound.</t>
  </si>
  <si>
    <t>[Taburets, O. V.; Morgaienko, O. O.; Kondratiuk, T. O.; Beregova, T. V.; Ostapchenko, L. I.] Taras Shevchenko Natl Univ Kyiv, Kiev, Ukraine</t>
  </si>
  <si>
    <t>Ministry of Education &amp; Science of Ukraine; Taras Shevchenko National University of Kyiv</t>
  </si>
  <si>
    <t>Taburets, OV (corresponding author), Taras Shevchenko Natl Univ Kyiv, Kiev, Ukraine.</t>
  </si>
  <si>
    <t>Ostapchenko, Liudmyla/ISV-1878-2023; Beregova, Tetyana V./P-9379-2018</t>
  </si>
  <si>
    <t>Ostapchenko, Liudmyla/0000-0001-7181-6048; Beregova, Tetyana/0009-0001-9976-1891</t>
  </si>
  <si>
    <t>RJPBCS RESEARCH JOURNAL PHARMACEUTICAL, BIOLOGICAL &amp; CHEMICAL SCIENCES</t>
  </si>
  <si>
    <t>PRODDATUR</t>
  </si>
  <si>
    <t>RJPBCS RESEARCH JOURNAL PHARMACEUTICAL, BIOLOGICAL &amp; CHEMICAL SCIENCES, PRODDATUR, 00000, INDIA</t>
  </si>
  <si>
    <t>0975-8585</t>
  </si>
  <si>
    <t>RES J PHARM BIOL CHE</t>
  </si>
  <si>
    <t>Res. J. Pharm. Biol. Chem. Sci.</t>
  </si>
  <si>
    <t>FG8CH</t>
  </si>
  <si>
    <t>WOS:000410653000245</t>
  </si>
  <si>
    <t>Miles, BWJ; Stokes, CR; Jamieson, SSR</t>
  </si>
  <si>
    <t>Miles, Bertie W. J.; Stokes, Chris R.; Jamieson, Stewart S. R.</t>
  </si>
  <si>
    <t>Pan-ice-sheet glacier terminus change in East Antarctica reveals sensitivity of Wilkes Land to sea-ice changes</t>
  </si>
  <si>
    <t>TOTTEN GLACIER; MELT RATES; DRIVEN; RETREAT; TEMPERATURE; REANALYSIS; POLYNYA</t>
  </si>
  <si>
    <t>The dynamics of ocean-terminating outlet glaciers are an important component of ice-sheet mass balance. Using satellite imagery for the past 40 years, we compile an approximately decadal record of outlet-glacier terminus position change around the entire East Antarctic Ice Sheet (EAIS) marine margin. We find that most outlet glaciers retreated during the period 1974-1990, before switching to advance in every drainage basin during the two most recent periods, 1990-2000 and 2000-2012. The only exception to this trend was in Wilkes Land, where the majority of glaciers (74%) retreated between 2000 and 2012. We hypothesize that this anomalous retreat is linked to a reduction in sea ice and associated impacts on ocean stratification, which increases the incursion of warm deep water toward glacier termini. Because Wilkes Land overlies a large marine basin, it raises the possibility of a future sea level contribution from this sector of East Antarctica.</t>
  </si>
  <si>
    <t>[Miles, Bertie W. J.; Stokes, Chris R.; Jamieson, Stewart S. R.] Univ Durham, Dept Geog, Sci Site,South Rd, Durham DH1 3LE, England</t>
  </si>
  <si>
    <t>Durham University</t>
  </si>
  <si>
    <t>Miles, BWJ (corresponding author), Univ Durham, Dept Geog, Sci Site,South Rd, Durham DH1 3LE, England.</t>
  </si>
  <si>
    <t>a.w.j.miles@durham.ac.uk</t>
  </si>
  <si>
    <t>Jamieson, Stewart S.R./B-8330-2013; Stokes, Chris/A-1957-2011</t>
  </si>
  <si>
    <t>Jamieson, Stewart S.R./0000-0002-9036-2317; Stokes, Chris/0000-0003-3355-1573; Miles, Bertie/0000-0002-3388-4688</t>
  </si>
  <si>
    <t>Durham University; Natural Environment Research Council [NE/J018333/1]; NERC [NE/J018333/1] Funding Source: UKRI</t>
  </si>
  <si>
    <t>Durham University; Natural Environment Research Council(UK Research &amp; Innovation (UKRI)Natural Environment Research Council (NERC)); NERC(UK Research &amp; Innovation (UKRI)Natural Environment Research Council (NERC))</t>
  </si>
  <si>
    <t>B.W.J.M was funded by a Durham University Doctoral Scholarship program. S.S.R.J. was supported by Natural Environment Research Council Fellowship NE/J018333/1.</t>
  </si>
  <si>
    <t>e1501350</t>
  </si>
  <si>
    <t>10.1126/sciadv.1501350</t>
  </si>
  <si>
    <t>DR7IK</t>
  </si>
  <si>
    <t>WOS:000380073000005</t>
  </si>
  <si>
    <t>Tashyreva, D; Elster, J</t>
  </si>
  <si>
    <t>Tashyreva, Daria; Elster, Josef</t>
  </si>
  <si>
    <t>Annual Cycles of Two Cyanobacterial Mat Communities in Hydro-Terrestrial Habitats of the High Arctic</t>
  </si>
  <si>
    <t>MICROBIAL ECOLOGY</t>
  </si>
  <si>
    <t>Phormidium; Life cycle; Overwintering; Polar Regions; Viability; Hormogonia</t>
  </si>
  <si>
    <t>GROWTH; ISLAND; OSCILLATORIALES; CLASSIFICATION; ECOSYSTEMS; PHORMIDIUM; STARVATION; DIVERSITY; DYNAMICS; SURVIVAL</t>
  </si>
  <si>
    <t>Cyanobacteria form extensive macroscopic mats in shallow freshwater environments in the High Arctic and Antarctic. In these habitats, the communities are exposed to seasonal freezing and desiccation as well as to freeze-thawing and drying-rewetting cycles. Here, we characterized the annual cycles of two Phormidium communities in very shallow seepages located in central Svalbard. We observed the structure of the communities and the morphology, ultrastructure, metabolic activity, and viability of filaments and single cells. The communities overwintered as frozen mats, which were formed by long filaments enclosed in thick multilayered polysaccharide sheaths. No morphologically and/or ultrastructurally distinct spore-like cells were produced for surviving the winter, and the winter survival of the communities was not provided by a few resistant cells, which did not undergo visible morphological and ultrastructural transformations. Instead, a high proportion of cells in samples (85 %) remained viable after prolonged freezing. The sheaths were the only morphological adaption, which seemed to protect the trichomes from damage due to freezing and freeze-associated dehydration. The cells in the overwintering communities were not dormant, as all viable cells rapidly resumed respiration after thawing, and their nucleoids were not condensed. During the whole vegetative season, defined by the presence of water in a liquid state, the communities were constantly metabolically active and contained &lt; 1 % of dead and injured cells. The morphology and ultrastructure of the cells remained unaltered during observations throughout the year, except for light-induced changes in thylakoids. The dissemination events are likely to occur in spring as most of the trichomes were split into short fragments (hormogonia), a substantial proportion of which were released into the environment by gliding out of their sheaths, as well as by cracking and dissolving their sheaths. The short fragments subsequently grew longer and gradually produced new polysaccharide sheaths.</t>
  </si>
  <si>
    <t>[Tashyreva, Daria; Elster, Josef] Univ South Bohemia, Fac Sci, Ctr Polar Ecol, Ceske Budejovice, Czech Republic; [Tashyreva, Daria] Univ South Bohemia, Fac Sci, Dept Bot, Ceske Budejovice, Czech Republic; [Elster, Josef] Acad Sci Czech Republ, Inst Bot, Trebon, Czech Republic</t>
  </si>
  <si>
    <t>University of South Bohemia Ceske Budejovice; University of South Bohemia Ceske Budejovice; Czech Academy of Sciences; Institute of Botany of the Czech Academy of Sciences</t>
  </si>
  <si>
    <t>Tashyreva, D (corresponding author), Univ South Bohemia, Fac Sci, Ctr Polar Ecol, Ceske Budejovice, Czech Republic.;Tashyreva, D (corresponding author), Univ South Bohemia, Fac Sci, Dept Bot, Ceske Budejovice, Czech Republic.</t>
  </si>
  <si>
    <t>tashyreva@butbn.cas.cz</t>
  </si>
  <si>
    <t>Tashyreva, Daria/Q-6880-2016; Elster, Josef/B-1031-2008; Tashyreva, Daria/AAD-6325-2021</t>
  </si>
  <si>
    <t>Elster, Josef/0000-0002-4535-5636</t>
  </si>
  <si>
    <t>Ministry of Education of the Czech Republic [KONTAKT ME 934, INGO LA 341, LM2010009 CzechPolar]; European Social Fund [CZ.1.07/2.2.00/28.0190]; government budget of the Czech Republic; long-term research development project of the Academy of Sciences of the Czech Republic [RVO 67985939]</t>
  </si>
  <si>
    <t>Ministry of Education of the Czech Republic(Ministry of Education, Youth &amp; Sports - Czech Republic); European Social Fund(European Social Fund (ESF)); government budget of the Czech Republic; long-term research development project of the Academy of Sciences of the Czech Republic</t>
  </si>
  <si>
    <t>This research was supported by projects from the Ministry of Education of the Czech Republic (KONTAKT ME 934, INGO LA 341, and LM2010009 CzechPolar), by project reg. no. CZ.1.07/2.2.00/28.0190 funded by the European Social Fund and from the government budget of the Czech Republic, and as a long-term research development project of the Academy of Sciences of the Czech Republic RVO 67985939. We thank Dr. Lenka Bucinska for assistance with electron microscopy, Drs. Anne Jungblut, Jiri Komarek, Linda Nedbalova and Warwick Vincent for helpful discussions, and the anonymous reviewers for improving the manuscript.</t>
  </si>
  <si>
    <t>0095-3628</t>
  </si>
  <si>
    <t>1432-184X</t>
  </si>
  <si>
    <t>MICROB ECOL</t>
  </si>
  <si>
    <t>Microb. Ecol.</t>
  </si>
  <si>
    <t>10.1007/s00248-016-0732-x</t>
  </si>
  <si>
    <t>Ecology; Marine &amp; Freshwater Biology; Microbiology</t>
  </si>
  <si>
    <t>Environmental Sciences &amp; Ecology; Marine &amp; Freshwater Biology; Microbiology</t>
  </si>
  <si>
    <t>DI7LY</t>
  </si>
  <si>
    <t>WOS:000373683000009</t>
  </si>
  <si>
    <t>Samanta, M; Ellwood, MJ; Mortimer, GE</t>
  </si>
  <si>
    <t>Samanta, Moneesha; Ellwood, Michael J.; Mortimer, Graham E.</t>
  </si>
  <si>
    <t>A method for determining the isotopic composition of dissolved zinc in seawater by MC-ICP-MS with a 67Zn-68Zn double spike</t>
  </si>
  <si>
    <t>MICROCHEMICAL JOURNAL</t>
  </si>
  <si>
    <t>Zinc isotopes; Double spike; Chemical oceanography; GEOTRACES</t>
  </si>
  <si>
    <t>SOURCE-MASS SPECTROMETRY; FLOW-INJECTION; ZN; CU; PB; CD; COPPER; NI; SEA; CO</t>
  </si>
  <si>
    <t>The biogeochemical cycling of dissolved zinc in seawater is dominated by biological uptake in the surface ocean and its regeneration at depth leading to a large concentration gradient between the surface and deep ocean. The advent of multi-collector inductively coupled mass spectrometry (MC-ICP-MS) provides the marine community with a new way of probing the biogeochemical zinc cycle through changes in its isotope composition. In this paper we document the mathematical and analytical procedures involved in determining the dissolved zinc isotopic composition of seawater using the double spike technique. Seawater samples were spiked with a Zn-67-Zn-68 double spike, before processing. Measurement of zinc by the MC-ICP-MS requires the sample to be free of the seawater matrix and other interfering elements; for this purpose Toyopearl AF-Chelate 650 M and AG1X8 resins were used to pre-concentrate zinc from seawater and separate it from major cations and anions. The optimum pH range for loading zinc for affinity chromatography was between 5 and 8. After pre-concentration, zinc was purified from other trace element by anion exchange chromatography. The reproducibility of the procedure was excellent for a deep water sample [6.55 +/- 0.34 nmol L-1 and 0.59 +/- 0.02 parts per thousand (n = 9) w.r.t. JMC-Lyon] and a shallow water sample [0.05 +/- 0.01 nmol L-1 and 0.08 +/- 0.02 parts per thousand (n = 3). w.r.t. JMC-Lyon] analyzed over a period of 1 year. Analysis of GEOTRACES IC1 BATS and SAFe inter-calibration samples produced data in good agreement with data published by other groups. As a further test of the methodology, we determined the isotopic composition of dissolved zinc for samples collected at various depths from station 40 degrees S, 162 degrees E located in the Tasman Sea, SW Pacific Ocean. The delta Zn-66 vs. depth profile showed isotope variability in the upper water column (0-200 m) with values ranging between -0.03 parts per thousand and 0.53 parts per thousand. These variations were attributed to biological activity. In deep waters the isotope composition of dissolved zinc (0.50 +/- 0.10 parts per thousand) is comparable to other data published. (C) 2016 Elsevier B.V. All rights reserved.</t>
  </si>
  <si>
    <t>[Samanta, Moneesha; Ellwood, Michael J.; Mortimer, Graham E.] Australian Natl Univ, Res Sch Earth Sci, GPO Box 4, Canberra, ACT 2601, Australia</t>
  </si>
  <si>
    <t>Samanta, M (corresponding author), Australian Natl Univ, Res Sch Earth Sci, GPO Box 4, Canberra, ACT 2601, Australia.</t>
  </si>
  <si>
    <t>moneesha.samanta@anu.edu.au; michael.ellwood@anu.edu.au; graham.mortimer@anu.edu.au</t>
  </si>
  <si>
    <t>Ellwood, Michael J/G-7390-2011</t>
  </si>
  <si>
    <t>Ellwood, Michael/0000-0003-4288-8530; samanta, moneesha/0000-0001-8310-0696</t>
  </si>
  <si>
    <t>Australian Research Council [DP110100108]; Australian Antarctic Division [3120]</t>
  </si>
  <si>
    <t>Australian Research Council(Australian Research Council); Australian Antarctic Division</t>
  </si>
  <si>
    <t>Thanks to Leslie Kinsley, Steve Eggins and Claire Thompson for their help and advice. We extend our gratitude to the captain and crew of RV Southern Surveyor for help with seawater sample collection during the PINTS voyage. Funding from Australian Research Council (DP110100108) and Australian Antarctic Division (project 3120) is appreciated. ANU and RSES scholarships to the lead author are also appreciated. Finally we would like to thank Ed Boyle for providing the GEOTRACES IC1 BATS, Micha Rijkenberg for the North Atlantic Sample and Geoffrey Smith and Ken Bruland for the SAFe samples. The authors would like to thank an anonymous reviewer for the helpful comments.</t>
  </si>
  <si>
    <t>0026-265X</t>
  </si>
  <si>
    <t>1095-9149</t>
  </si>
  <si>
    <t>MICROCHEM J</t>
  </si>
  <si>
    <t>Microchem J.</t>
  </si>
  <si>
    <t>10.1016/j.microc.2016.01.014</t>
  </si>
  <si>
    <t>DI6YZ</t>
  </si>
  <si>
    <t>WOS:000373647500065</t>
  </si>
  <si>
    <t>Halpin, JA; Reid, AJ</t>
  </si>
  <si>
    <t>Halpin, Jacqueline A.; Reid, Anthony J.</t>
  </si>
  <si>
    <t>Earliest Paleoproterozoic high-grade metamorphism and orogenesis in the Gawler Craton, South Australia: The southern cousin in the Rae family?</t>
  </si>
  <si>
    <t>PRECAMBRIAN RESEARCH</t>
  </si>
  <si>
    <t>Gawler Craton; Mawson Continent; Metamorphic phase equilibria modelling; THERMOCALC; Early Paleoproterozoic orogenesis</t>
  </si>
  <si>
    <t>U-PB ZIRCON; GRANULITE-FACIES METAMORPHISM; CHALLENGER AU DEPOSIT; EAST-ANTARCTICA; GOLD DEPOSIT; BROKEN-HILL; MINERAL ASSEMBLAGES; TECTONIC EVOLUTION; ISOTOPIC EVIDENCE; THERMAL REGIMES</t>
  </si>
  <si>
    <t>Neoarchean-earliest Paleoproterozoic rocks of the Gawler Craton preserved within the Mulgathing Complex, South Australia, record metamorphism and deformation during an earliest Paleoproterozoic tectonothermal event known as the Sleafordian Orogeny. We present metamorphic data from pelitic gneisses of the Mulgathing Complex from three locations (Challenger, Mt Christie and Blackfellow Hill) in order to constrain the pressure-temperature-time (P-T-t) evolution of this orogeny. In situ U-Pb dating via laser ablation-inductively coupled plasma mass spectrometry, shows that monazites within garnet porphyroblasts have ages ca. 2470 Ma, providing an estimate of the timing peak P-T conditions. Monazite crystallisation from melt occurred at ca. 2460 Ma in the presence of peritectic garnet either late on the prograde path during biotite-dehydration melting, or immediately following peak-T. Lobate and patchy rims in leucosome-hosted monazite suggest a dissolution-reprecipitation process occurred during cooling across the elevated dry solidus at ca. 2440 Ma. Monazite younger than ca. 2430-2420 Ma that is located at grain boundaries between matrix minerals likely reflects monazite crystallisation during cooling across the dry solidus and/or subsolidus mineral breakdown during the waning stages of the thermal event. Phase diagram modelling of pelitic gneisses suggests peak metamorphic conditions at the three localities overlap at similar to 7 kbar and 850 degrees C with apparent thermal gradients in the order of 125-135 degrees C/kbar (similar to 35-45 degrees C/km). Metamorphism involved a tight anticlockwise P-T-t path based on mineral assemblage paragenesis and indicates a slow, shallow decompressive-cooling path, sub-parallel to the apparent thermal gradient, in the order of few degrees per Myr. A protracted magmatic history involving bimodal magmatism associated with a thinned and underplated extensional basin in the Mulgathing Complex was likely a thermal precursor to the high thermal gradient metamorphism and convergent (transpressive) deformation. A significant period of post 2.4 Ga quiescence in the Gawler Craton subsequent to basin inversion suggests that this orogenesis may have occurred interior to a plate margin. The similarity in timing and style between the Sleafordian Orogeny in the Gawler Craton and the 2.5-2.28 Ga Arrowsmith Orogeny of the Rae Craton supports the notion that these terranes, together with the broader Gawler-Adelie Craton of the Mawson Continent, the North Australia Craton, elements of the North China, Sino-Korean and Dharwar cratons formed part of a family of Neoarchean terranes, described as the Rae family of cratons, with a distinctive tectono-metamorphic record as compared with other Archean cratons. We suggest the Mawson Continent is the southern member of this family, dominated as it is by terranes now present in the northern hemisphere. (C) 2016 Elsevier B.V. All rights reserved.</t>
  </si>
  <si>
    <t>[Halpin, Jacqueline A.] Univ Tasmania, ARC Ctr Excellence Ore Deposits CODES, Sch Phys Sci, Private Bag 79, Hobart, Tas 7001, Australia; [Reid, Anthony J.] Geol Survey South Australia, Dept State Dev, Adelaide, SA 5001, Australia; [Reid, Anthony J.] Univ Adelaide, Dept Earth Sci, Adelaide, SA 5005, Australia; [Halpin, Jacqueline A.] Univ Tasmania, Inst Marine &amp; Antarctic Studies, Hobart, Tas 7001, Australia</t>
  </si>
  <si>
    <t>University of Tasmania; University of Adelaide; University of Tasmania</t>
  </si>
  <si>
    <t>Halpin, JA (corresponding author), Univ Tasmania, ARC Ctr Excellence Ore Deposits CODES, Sch Phys Sci, Private Bag 79, Hobart, Tas 7001, Australia.;Halpin, JA (corresponding author), Univ Tasmania, Inst Marine &amp; Antarctic Studies, Hobart, Tas 7001, Australia.</t>
  </si>
  <si>
    <t>jahalpin@utas.edu.au</t>
  </si>
  <si>
    <t>Halpin, Jacqueline A/A-3776-2014</t>
  </si>
  <si>
    <t>Halpin, Jacqueline A/0000-0002-4992-8681; Reid, Anthony/0000-0002-9435-9342</t>
  </si>
  <si>
    <t>Geological Survey of South Australia</t>
  </si>
  <si>
    <t>This study was funded by the Geological Survey of South Australia. Steve Hill (GSSA) is thanked for his support of this project. We thank Jay Thompson (University of Tasmania, CODES) for help with monazite LA-ICPMS analysis and Karsten Goemann and Sandrin Feig (University of Tasmania, CSL) for help with monazite MLA-SEM and FE-SEM imaging. Drill core samples were obtained from the South Australia Drill Core Reference Library, the staff of which we thank for their tireless friendly assistance. Thoughtful and constructive reviews were provided by Sally Pehrsson and Geoff Fraser. We thank Guochun Zhao for editorial handling.</t>
  </si>
  <si>
    <t>0301-9268</t>
  </si>
  <si>
    <t>1872-7433</t>
  </si>
  <si>
    <t>PRECAMBRIAN RES</t>
  </si>
  <si>
    <t>Precambrian Res.</t>
  </si>
  <si>
    <t>10.1016/j.precamres.2016.02.001</t>
  </si>
  <si>
    <t>DJ0BL</t>
  </si>
  <si>
    <t>WOS:000373866300009</t>
  </si>
  <si>
    <t>Leith, P; Haward, M; Rees, C; Ogier, E</t>
  </si>
  <si>
    <t>Leith, Peat; Haward, Marcus; Rees, Chris; Ogier, Emily</t>
  </si>
  <si>
    <t>Success and Evolution of a Boundary Organization</t>
  </si>
  <si>
    <t>SCIENCE TECHNOLOGY &amp; HUMAN VALUES</t>
  </si>
  <si>
    <t>boundary work; boundary organization; science; environmental management</t>
  </si>
  <si>
    <t>DERWENT ESTUARY; SCIENCE; POLICY; GOVERNANCE; KNOWLEDGE; TASMANIA</t>
  </si>
  <si>
    <t>This article challenges the idea that success of boundary organizations is marked primarily by the stability of the science-policy interface. We review key theory in the literature on boundary work and boundary organizations. We then present a case, the Derwent Estuary Program (DEP) in South East Tasmania, Australia, to explore the evolution of successful boundary organization. We detail how a science-oriented program of work achieved success, through early wins that cemented its support and created a relatively stable entity able to navigate the expansion of its remit from managing controversy to implementing an integrated, systems approach to coastal zone management. The creation of safe spaces enabled contentious situations to be negotiated through well-established relationships and processes. The interaction among these elements, supported by exemplary leadership, was critical to reframing the problem. We suggest that it is through these abilities to navigate controversy and mediate among divergent interests, while maintaining a committed focus on science, that boundary organizations can succeed. Success in this context is achieved through using credible science to reframe problems. Success is further indicated not just by surviving periodic controversies but by being able to benefit from them, building legitimacy among partners and stakeholders through successfully navigating unforeseen events.</t>
  </si>
  <si>
    <t>[Leith, Peat; Haward, Marcus; Rees, Chris; Ogier, Emily] Univ Tasmania, Inst Marine &amp; Antarctic Studies, Private Bag 129, Hobart, Tas 7001, Australia; [Leith, Peat] Univ Tasmania, Tasmanian Inst Agr, Hobart, Tas 7001, Australia</t>
  </si>
  <si>
    <t>University of Tasmania; University of Tasmania</t>
  </si>
  <si>
    <t>Haward, M (corresponding author), Univ Tasmania, Inst Marine &amp; Antarctic Studies, Private Bag 129, Hobart, Tas 7001, Australia.</t>
  </si>
  <si>
    <t>marcus.haward@utas.edu.au</t>
  </si>
  <si>
    <t>Leith, Peat/ABB-2829-2021; Haward, Marcus/G-3369-2014</t>
  </si>
  <si>
    <t>Haward, Marcus/0000-0003-4775-0864; Ogier, Emily/0000-0001-6157-5279</t>
  </si>
  <si>
    <t>CSIRO Coastal Collaboration Cluster; CSIRO Flagship Collaboration Fund</t>
  </si>
  <si>
    <t>CSIRO Coastal Collaboration Cluster; CSIRO Flagship Collaboration Fund(Commonwealth Scientific &amp; Industrial Research Organisation (CSIRO))</t>
  </si>
  <si>
    <t>The author(s) disclosed receipt of the following financial support for the research, authorship, and/or publication of this article: This research was supported by the CSIRO Coastal Collaboration Cluster with funding from the CSIRO Flagship Collaboration Fund.</t>
  </si>
  <si>
    <t>SAGE PUBLICATIONS INC</t>
  </si>
  <si>
    <t>THOUSAND OAKS</t>
  </si>
  <si>
    <t>2455 TELLER RD, THOUSAND OAKS, CA 91320 USA</t>
  </si>
  <si>
    <t>0162-2439</t>
  </si>
  <si>
    <t>1552-8251</t>
  </si>
  <si>
    <t>SCI TECHNOL HUM VAL</t>
  </si>
  <si>
    <t>Sci. Technol. Hum. Values</t>
  </si>
  <si>
    <t>10.1177/0162243915601900</t>
  </si>
  <si>
    <t>Social Issues</t>
  </si>
  <si>
    <t>DI6LO</t>
  </si>
  <si>
    <t>WOS:000373610600002</t>
  </si>
  <si>
    <t>Smik, L; Belt, ST; Lieser, JL; Armand, LK; Leventer, A</t>
  </si>
  <si>
    <t>Smik, Lukas; Belt, Simon T.; Lieser, Jan L.; Armand, Leanne K.; Leventer, Amy</t>
  </si>
  <si>
    <t>Distributions of highly branched isoprenoid alkenes and other algal lipids in surface waters from East Antarctica: Further insights for biomarker-based paleo sea-ice reconstruction</t>
  </si>
  <si>
    <t>ORGANIC GEOCHEMISTRY</t>
  </si>
  <si>
    <t>Antarctic; Sea ice; Proxy; Highly branched isoprenoid; HBI alkenes; Diatom</t>
  </si>
  <si>
    <t>SOUTHERN-OCEAN; FATTY-ACIDS; IDENTIFICATION; PROXY; MARINE; SEDIMENTS; DIATOMS; IP25; STEROLS; PERIOD</t>
  </si>
  <si>
    <t>The occurrence and variable abundance of certain di- and tri-unsaturated C-25 highly branched isoprenoid (HBI) biomarkers in Antarctic marine sediments has previously been proposed as a possible proxy measure of paleo sea-ice extent in the Southern Ocean. In the current study, we obtained 47 near-surface (ca. 0-10 m) water samples taken from locations in East Antarctica with different sea ice settings and analysed them for their HBI, sterol and fatty acid content. Sampling locations ranged from the permanently open-ocean zone (POOZ), with no seasonal sea-ice cover, the near-shore summer sea ice zone (SIZ), where sea ice remains long into the summer melt season, and the marginal ice zone (MIZ), located between the POOZ and the SIZ, and with a highly variable latitudinal sea-ice edge throughout the season. A di-unsaturated C-25 HBI (diene II) was only identified in surface waters from the MIZ and the SIZ, consistent with a sea-ice diatom origin for this biomarker. In contrast, a tri-unsaturated C-25 HBI (triene III) was detected in all samples from the POOZ, the MIZ and the SIZ, and with a stable isotopic composition (delta C-13 = -35 +/- 1.5%) consistent with a phytoplankton source. The highest concentrations of diene II and triene III were in samples from the SIZ and the MIZ, respectively, thus providing further insights into the sea-ice conditions likely favourable for their production and how their relative abundances (the II/III ratio) in underlying sediments might be better interpreted for paleo sea-ice reconstruction. In this respect, relatively high II/III might be a good indicator of extended (into summer) seasonal sea-ice cover, while lower II/III may provide a better indicator of the MIZ. However, the observation of highly variable II/III within the polynya setting of the SIZ may also have significant impacts on sedimentary values. Distributions of diatom sterols and fatty acids were also variable between the three sampling zones, but these were not as distinctive as those observed for the HBIs. (C) 2016 Elsevier Ltd. All rights reserved.</t>
  </si>
  <si>
    <t>[Smik, Lukas; Belt, Simon T.] Univ Plymouth, Sch Geog Earth &amp; Environm Sci, Plymouth PL4 8AA, Devon, England; [Lieser, Jan L.] Univ Tasmania, Antarctic Climate &amp; Ecosyst Cooperat Res Ctr, Hobart, Tas, Australia; [Armand, Leanne K.] Macquarie Univ, Fac Sci &amp; Engn, Dept Biol Sci, N Ryde, NSW 2109, Australia; [Leventer, Amy] Colgate Univ, Dept Geol, Hamilton, NY 13346 USA</t>
  </si>
  <si>
    <t>University of Plymouth; University of Tasmania; Antarctic Climate &amp; Ecosystems Cooperative Research Centre (ACE CRC); Macquarie University; Colgate University</t>
  </si>
  <si>
    <t>Belt, ST (corresponding author), Univ Plymouth, Sch Geog Earth &amp; Environm Sci, Plymouth PL4 8AA, Devon, England.</t>
  </si>
  <si>
    <t>sbelt@plymouth.ac.uk</t>
  </si>
  <si>
    <t>Armand, Leanne K/C-9004-2009; Lieser, Jan/J-7157-2014</t>
  </si>
  <si>
    <t>Lieser, Jan/0000-0001-6870-1311; Leventer, Amy/0000-0001-9401-0987; Armand, Leanne/0000-0003-3995-308X; Smik, Lukas/0000-0003-2280-7342</t>
  </si>
  <si>
    <t>Australian Government's Cooperative Research Centre program through the Antarctic Climate &amp; Ecosystem CRC (ACE CRC); Australian Research Council's Special Research Initiative for Antarctic Gateway Partnership [SR140300001]; Department of Biological Sciences in the Faculty of Science and Engineering at Macquarie University; NSF [1143836]; University of Plymouth; Directorate For Geosciences; Office of Polar Programs (OPP) [1143836] Funding Source: National Science Foundation</t>
  </si>
  <si>
    <t>Australian Government's Cooperative Research Centre program through the Antarctic Climate &amp; Ecosystem CRC (ACE CRC)(Australian GovernmentDepartment of Industry, Innovation and ScienceCooperative Research Centres (CRC) Programme); Australian Research Council's Special Research Initiative for Antarctic Gateway Partnership(Australian Research Council); Department of Biological Sciences in the Faculty of Science and Engineering at Macquarie University; NSF(National Science Foundation (NSF)); University of Plymouth; Directorate For Geosciences; Office of Polar Programs (OPP)(National Science Foundation (NSF)NSF - Directorate for Geosciences (GEO))</t>
  </si>
  <si>
    <t>We thank the US National Science Foundation's Polar Program in Antarctic Integrated System Science, the NBP1402 scientific party, ASC support staff, and ECO crew members led by Captain Sebastian Paoni on board the RVIB N.B. Palmer, whose support enabled us to obtain the samples described in this study. We thank the University of Plymouth for financial support to LS and STB. JLL was supported by the Australian Government's Cooperative Research Centre program through the Antarctic Climate &amp; Ecosystem CRC (ACE CRC), and under Australian Research Council's Special Research Initiative for Antarctic Gateway Partnership (Project ID SR140300001). LKA was supported by the Department of Biological Sciences in the Faculty of Science and Engineering at Macquarie University. AL was supported by NSF Grant number 1143836. We also thank Dr Kyle Taylor (ISOPRIME, UK) for determining the stable isotopic composition of HBI III. We are grateful to two anonymous reviewers who provided useful comments that helped improve this manuscript.</t>
  </si>
  <si>
    <t>0146-6380</t>
  </si>
  <si>
    <t>1873-5290</t>
  </si>
  <si>
    <t>ORG GEOCHEM</t>
  </si>
  <si>
    <t>Org. Geochem.</t>
  </si>
  <si>
    <t>10.1016/j.orggeochem.2016.02.011</t>
  </si>
  <si>
    <t>DH7DW</t>
  </si>
  <si>
    <t>WOS:000372952900008</t>
  </si>
  <si>
    <t>Jago, JB; Pharaoh, MD</t>
  </si>
  <si>
    <t>Jago, James B.; Pharaoh, Mark D.</t>
  </si>
  <si>
    <t>Pre-Antarctic Mawson in South Australia and western New South Wales</t>
  </si>
  <si>
    <t>TRANSACTIONS OF THE ROYAL SOCIETY OF SOUTH AUSTRALIA</t>
  </si>
  <si>
    <t>Douglas Mawson; early career; Olary; Broken Hill; Flinders Ranges; Kangaroo Island; radioactivity; glacial sediments</t>
  </si>
  <si>
    <t>Douglas Mawson took up his position at the University of Adelaide as Lecturer in Mineralogy and Petrology on 1 March 1905 at the age of 22. He had already been the joint author of a substantial paper on the geology of the Mittagong area as well as of a paper on the occurrence of radioactivity and radium in Australia. In 1903, he had undertaken an almost 6-month long expedition to study the geology of the New Hebrides. Mawson joined the Royal Society of South Australia soon after arriving in Adelaide and was an active participant in its activities in the following years. Mawson was an enthusiastic field geologist who visited the Adelaide Hills, Kangaroo Island, the Flinders Ranges, southern Yorke and Eyre Peninsulas and the Olary-Broken Hill area within 2years of arriving in South Australia. This work resulted in several publications and reports. However, some of these were not fully thought out and by the end of 1906, Mawson had managed to upset the longstanding Government Geologist, H.Y.L. Brown, to such an extent that his free rail pass for geological investigations was withdrawn, although it was later restored. It was while working in Broken Hill in late September 1907 that Mawson learnt of the British Antarctic Expedition, led by Ernest Shackleton. Soon after, Mawson was appointed physicist on the BAE which left Lyttelton, the port of Christchurch, on 1 January 1908.</t>
  </si>
  <si>
    <t>[Jago, James B.] Univ S Australia, Sch Nat &amp; Built Environm, Mawson Lakes, Australia; [Pharaoh, Mark D.] S Australian Museum, Adelaide, SA 5000, Australia</t>
  </si>
  <si>
    <t>University of South Australia</t>
  </si>
  <si>
    <t>Jago, JB (corresponding author), Univ S Australia, Sch Nat &amp; Built Environm, Mawson Lakes, Australia.</t>
  </si>
  <si>
    <t>jim.jago@unisa.edu.au</t>
  </si>
  <si>
    <t>Jago, James/0000-0002-3059-1572</t>
  </si>
  <si>
    <t>4 PARK SQUARE, MILTON PARK, ABINGDON OX14 4RN, OXON, ENGLAND</t>
  </si>
  <si>
    <t>0372-1426</t>
  </si>
  <si>
    <t>2204-0293</t>
  </si>
  <si>
    <t>T ROY SOC SOUTH AUST</t>
  </si>
  <si>
    <t>Trans. R. Soc. S. Aust.</t>
  </si>
  <si>
    <t>10.1080/03721426.2016.1149323</t>
  </si>
  <si>
    <t>DH6HL</t>
  </si>
  <si>
    <t>WOS:000372891500010</t>
  </si>
  <si>
    <t>Lyle, JM; Tracey, SR</t>
  </si>
  <si>
    <t>Lyle, Jeremy M.; Tracey, Sean R.</t>
  </si>
  <si>
    <t>Catch, effort and fishing practices in a recreational gillnet fishery: Assessing the impacts and response to management change</t>
  </si>
  <si>
    <t>FISHERIES RESEARCH</t>
  </si>
  <si>
    <t>Gillnet; Bycatch; Recreational fishing survey; Recreational fishing practices; Fishery management</t>
  </si>
  <si>
    <t>TASMANIA; MORTALITY; BYCATCH</t>
  </si>
  <si>
    <t>Gillnets are typically considered to be a commercial fishing gear yet their use by recreational fishers is permitted in several developed countries, often with few if any restrictions on the total number of users. Despite this there have been very few attempts to assess the impacts of recreational gillnet fisheries both in terms of harvest and implications for bycatch. Recreational gillnetting has a long history in Tasmania, Australia, and over the past two decades the fishery has been the focus of a number of management measures to improve fishing practices. In this study, the fishing activity of recreational gillnet license-holders was monitored for 12-months using a telephone-diary based panel survey. Catch, effort and fishing practices were compared with previous recreational fishing surveys and the commercial fishery. During 2010 an estimated 6600 recreational license-holders used gilinets, accounting for 25,712 (95%CI 22,142-28,901) net-days of effort and a total catch of 173,922 (95%CI 147,165-202,950) marine organisms, 35.5% of which were discarded. The recreational fishery is comprised of two main sub-fisheries, a mixed reef-fish fishery and a fishery for marine farm escapees. Four species, three representing key target species and one primarily a bycatch species, accounted for just over half of the total gillnet catch by number. The harvested component of the recreational gillnet catch was comparable to or exceeded commercial landings for the key species, highlighting the importance of taking account of the recreational fishery in stock assessments and species management. Despite an increase in the number of gillnet license-holders, recreational gillnet effort in Tasmania has halved since the late 1990s. This decline in effort appears to be linked to the greater regulation of fishing practices as well as reduced availability of two key target species, one of which has been classified as over-fished. Although recreational fishing practices have improved, the impacts on target and non-target species, including the incidental capture of seabirds and survival of bycatch, remain issues for concern. (C) 2016 Elsevier B.V. All rights reserved.</t>
  </si>
  <si>
    <t>[Lyle, Jeremy M.; Tracey, Sean R.] Univ Tasmania, Inst Marine &amp; Antarctic Studies, Private Bag 49, Hobart, Tas 7001, Australia</t>
  </si>
  <si>
    <t>Lyle, JM (corresponding author), Univ Tasmania, Inst Marine &amp; Antarctic Studies, Private Bag 49, Hobart, Tas 7001, Australia.</t>
  </si>
  <si>
    <t>Jeremy.Lyle@utas.edu.au</t>
  </si>
  <si>
    <t>Lyle, Jeremy/J-7170-2014; Tracey, Sean/J-7446-2014</t>
  </si>
  <si>
    <t>Lyle, Jeremy/0000-0001-9670-5854; Tracey, Sean/0000-0002-6735-5899</t>
  </si>
  <si>
    <t>Fishwise Community Grants Scheme</t>
  </si>
  <si>
    <t>Funding assistance for this study was provided by the Fishwise Community Grants Scheme administered by the Tasmanian Department of Primary Industries, Parks, Water and Environment. Thanks are due to Graeme Ewing for developing the R-code to undertake the bootstrap analysis, our team of experienced survey interviewers and to the recreational fishers who willingly participated in the survey. This study was conducted with the University of Tasmania's Human Research Ethics Committee approval H10936.</t>
  </si>
  <si>
    <t>0165-7836</t>
  </si>
  <si>
    <t>1872-6763</t>
  </si>
  <si>
    <t>FISH RES</t>
  </si>
  <si>
    <t>Fish Res.</t>
  </si>
  <si>
    <t>10.1016/j.fishres.2016.01.021</t>
  </si>
  <si>
    <t>DG9BU</t>
  </si>
  <si>
    <t>WOS:000372378600007</t>
  </si>
  <si>
    <t>Velbel, MA</t>
  </si>
  <si>
    <t>Velbel, Michael A.</t>
  </si>
  <si>
    <t>Aqueous corrosion of olivine in the Mars meteorite Miller Range (MIL) 03346 during Antarctic weathering: Implications for water on Mars</t>
  </si>
  <si>
    <t>GEOCHIMICA ET COSMOCHIMICA ACTA</t>
  </si>
  <si>
    <t>RAY EXPOSURE AGES; NAKHLITE METEORITES; MARTIAN METEORITES; ETCH-PITS; FORSTERITE DISSOLUTION; ALTERATION ASSEMBLAGES; SOUTHWEST ICELAND; ALTERATION PHASES; NATURAL-WATERS; IGNEOUS ROCKS</t>
  </si>
  <si>
    <t>Several nakhlites (clinopyroxenite meteorites from Mars) contain olivine phenocrysts with corrosion features identical in size, shape and distribution to the smaller etch-pits of well-characterized weathered terrestrial olivine. Miller Range (MIL) 03346 is an Antarctic nakhlite find, recovered after long exposure to Antarctic conditions. The distribution of discrete olivine etch-pits almost exclusively within a few hundred microns of allocation MIL 03346,171's documentably exposed surface suggests that they formed by terrestrial weathering in Antarctica. The small size of olivine etch-pits in MIL 03346,171 relative to commonly much larger etch-pits in even incipiently weathered terrestrial examples suggests that the duration of its exposure to weathering conditions was short, or the weathering conditions to which it was exposed did not favor olivine corrosion (in the form of etch-pit formation), or both. Time-scales for the formation of etch-pits, estimated from experimentally determined dissolution rates of olivine over a range of pHs, are comparable to the measured terrestrial age of the meteorite and short relative to the time available for possible similar corrosion on Mars. Etch-pits of the observed size on MIL 03346 olivine phenocrysts would be relatively easy to form supraglacially under brief episodic acidic Antarctic conditions, but the terrestrial age of MIL 03346 is long enough that its olivine might have been weathered to the observed state by englacial films of alkaline Antarctic water. The paucity of similar etch-pits in olivine from the interior of MIL 03346 suggests that olivine in this Mars meteorite was exposed to even less aqueous alteration after iddingsitization during its 1.3 billion years on Mars than its exterior was subjected to during its Pleistocene-Holocene exposure to Antarctic weathering conditions. (C) 2016 Elsevier Ltd. All rights reserved.</t>
  </si>
  <si>
    <t>[Velbel, Michael A.] Smithsonian Inst, Natl Museum Nat Hist, Dept Mineral Sci, Div Meteorites, 10th &amp; Constitut Ave NW, Washington, DC 20560 USA; [Velbel, Michael A.] Michigan State Univ, Dept Geol Sci, 207 Nat Sci Bldg,288 Farm Lane, E Lansing, MI 48824 USA</t>
  </si>
  <si>
    <t>Smithsonian Institution; Smithsonian National Museum of Natural History; Michigan State University</t>
  </si>
  <si>
    <t>Velbel, MA (corresponding author), Michigan State Univ, Dept Geol Sci, 207 Nat Sci Bldg,288 Farm Lane, E Lansing, MI 48824 USA.</t>
  </si>
  <si>
    <t>velbel@msu.edu</t>
  </si>
  <si>
    <t>NSF [EAR 91-17099, EAR 94-17325, EAR 99-09493]; NASA [NAG 9-1211, NNG05GL77G]</t>
  </si>
  <si>
    <t>NSF(National Science Foundation (NSF)); NASA(National Aeronautics &amp; Space Administration (NASA))</t>
  </si>
  <si>
    <t>I thank Susan J. Wentworth, David S. McKay, Ed Vicenzi, Cari Corrigan, Jeff Taylor, Julie Stopar, Lydia Hallis, Theresa Longazo, Lina C. Patino, Lauren M. Spencer, Marc Caffee, Angela R. Donatelle, Daniel R. Snyder, Anna I. Losiak, Benjamin L. Brugman, and Bernard P. Boudreau for helpful discussions; Ewa Danielewicz (Michigan State University Center for Advanced Microscopy) for assistance with some of the scanning electron microscopy; Kunihiko Nishiizumi for the terrestrial age of MIL 03346; the Meteorite Working Group and the staff of the Astromaterials Acquisition and Curation Office at NASA-JSC for samples; Cecilia Satterwhite and Kathleen McBride of the Astromaterials Acquisition and Curation Office at NASA-JSC for detailed allocation and processing information about MIL 03346 in general and MIL 03346,171 in particular; Martin Lee and several anonymous reviewers for their thorough, well-informed, and constructive reviews; and Harley J. Seeley for preparing the image files for publication. Collection, preparation &amp; preliminary petrographic characterization of weathered basalt samples from Hawai'i (Fig. 2) were supported by NSF grants EAR 91-17099 &amp; EAR 94-17325 (R. A. Berner, P. I.). Geochemical characterization of incipiently weathered terrestrially volcanic rocks that served as olivine-corrosion analogs for this study (Figs. 1 and 2) was supported by NSF grant EAR 99-09493 (L. C. Patino, P. I.; M. A. Velbel, co-P. I.). All other aspects of this research were supported by NASA Grants NAG 9-1211 and NNG05GL77G (M. A. Velbel, P. I.). This paper was written during the author's tenure as a Smithsonian Senior Fellow and Research Associate at the Division of Meteorites, Department of Mineral Sciences, National Museum of Natural History, Smithsonian Institution. I am most grateful to Cari Corrigan and Ed Vicenzi for hosting my visits.</t>
  </si>
  <si>
    <t>0016-7037</t>
  </si>
  <si>
    <t>1872-9533</t>
  </si>
  <si>
    <t>GEOCHIM COSMOCHIM AC</t>
  </si>
  <si>
    <t>Geochim. Cosmochim. Acta</t>
  </si>
  <si>
    <t>10.1016/j.gca.2016.01.036</t>
  </si>
  <si>
    <t>DH1TA</t>
  </si>
  <si>
    <t>WOS:000372566600008</t>
  </si>
  <si>
    <t>Lv, W</t>
  </si>
  <si>
    <t>Lv, Wei</t>
  </si>
  <si>
    <t>Parameter identification for volumetric heat capacity and thermal conductivity in a quasi-linear thermodynamic system of sea ice</t>
  </si>
  <si>
    <t>INTERNATIONAL JOURNAL OF BIOMATHEMATICS</t>
  </si>
  <si>
    <t>Parameter identification; quasi-linear thermodynamic system; volumetric heat capacity; thermal conductivity; sea ice</t>
  </si>
  <si>
    <t>MODEL</t>
  </si>
  <si>
    <t>This paper is intended to determine physical parameters describing volumetric heat capacity and thermal conductivity of sea ice in a quasi-linear thermodynamic system using field observations. The quasi-linear thermodynamic system of sea ice with unknown physical parameters is described, and the existence and uniqueness of its solution is proved. Then the physical parameters are taken as control variable, temperature deviations as objective function, and a parameter identification model is established. The existence of its optimal solution is discussed. To solve the identification model, a new algorithm containing genetic algorithm, Hooke-Jeeves algorithm and semi-implicit finite difference scheme is constructed. The physical parameters are calculated using the observations measured at Nella Fjord around Zhongshan Station, Antarctic in CHINARE 2006. For comparability and consistency with other works, a new international standard named TEOS-10 is used. To examine the validity of the identified results, another simulation for temperature profiles in different measurement period is operated. Numerical results show that better simulations of temperature distribution are possible with the identified parameters than EC1993. Therefore not only the identified parameters can be applied in sea ice modeling, but also this study can enrich and supplement observations of sea ice.</t>
  </si>
  <si>
    <t>[Lv, Wei] Shanghai Univ, Dept Math, Shanghai 200444, Peoples R China</t>
  </si>
  <si>
    <t>Shanghai University</t>
  </si>
  <si>
    <t>Lv, W (corresponding author), Shanghai Univ, Dept Math, Shanghai 200444, Peoples R China.</t>
  </si>
  <si>
    <t>lvwei@shu.edu.cn</t>
  </si>
  <si>
    <t>National Natural Science Foundation of China [11101262, 11171050]; Dalian University of Technology Special Fund [DUTTX2011106]; Key Disciplines of Shanghai Municipality [S30104]; Grant of The First-Class Discipline of Universities in Shanghai</t>
  </si>
  <si>
    <t>National Natural Science Foundation of China(National Natural Science Foundation of China (NSFC)); Dalian University of Technology Special Fund; Key Disciplines of Shanghai Municipality; Grant of The First-Class Discipline of Universities in Shanghai</t>
  </si>
  <si>
    <t>This work was supported by the National Natural Science Foundation of China under Grant Nos. 11101262, 11171050, Dalian University of Technology Special Fund under Grant No. DUTTX2011106, Key Disciplines of Shanghai Municipality under Grant No. S30104, and a Grant of The First-Class Discipline of Universities in Shanghai. We are grateful to all the 2006 winter-over crews at Zhongshan Station in the 22nd CHINARE, for their field work support.</t>
  </si>
  <si>
    <t>WORLD SCIENTIFIC PUBL CO PTE LTD</t>
  </si>
  <si>
    <t>5 TOH TUCK LINK, SINGAPORE 596224, SINGAPORE</t>
  </si>
  <si>
    <t>1793-5245</t>
  </si>
  <si>
    <t>1793-7159</t>
  </si>
  <si>
    <t>INT J BIOMATH</t>
  </si>
  <si>
    <t>Int. J. Biomath.</t>
  </si>
  <si>
    <t>10.1142/S1793524516500443</t>
  </si>
  <si>
    <t>Mathematical &amp; Computational Biology</t>
  </si>
  <si>
    <t>DF6VS</t>
  </si>
  <si>
    <t>WOS:000371496100012</t>
  </si>
  <si>
    <t>Song, P; Zhu, J; Zhong, Z; Qi, LL; Wang, XD</t>
  </si>
  <si>
    <t>Song, Pan; Zhu, Jiang; Zhong, Zhong; Qi, Linlin; Wang, Xiaodan</t>
  </si>
  <si>
    <t>Impact of atmospheric and oceanic conditions on the frequency and genesis location of tropical cyclones over the western North Pacific in 2004 and 2010</t>
  </si>
  <si>
    <t>tropical cyclone; SST; numerical simulation; western North Pacific</t>
  </si>
  <si>
    <t>SEA-SURFACE TEMPERATURE; ANTARCTIC OSCILLATION; POTENTIAL INTENSITY; CLIMATE MODELS; EL-NINO; SCHEME; CO2; CYCLOGENESIS; TRACKING; INCREASE</t>
  </si>
  <si>
    <t>This study examines the impact of atmospheric and oceanic conditions during May-August of 2004 and 2010 on the frequency and genesis location of tropical cyclones over the western North Pacific. Using the WRF model, four numerical experiments were carried out based on different atmospheric conditions and SST forcing. The numerical experiments indicated that changes in atmospheric and oceanic conditions greatly affect tropical cyclone activity, and the roles of atmospheric conditions are slightly greater than oceanic conditions. Specifically, the total number of tropical cyclones was found to be mostly affected by atmospheric conditions, while the distribution of tropical cyclone genesis locations was mainly related to oceanic conditions, especially the distribution of SST. In 2010, a warmer SST occurred west of 140A degrees E, with a colder SST east of 140A degrees E. On the one hand, the easterly flow was enhanced through the effect of the increase in the zonal SST gradient. The strengthened easterly flow led to an anomalous boundary layer divergence over the region to the east of 140A degrees E, which suppressed the formation of tropical cyclones over this region. On the other hand, the colder SST over the region to the east of 140A degrees E led to a colder low-level air temperature, which resulted in decreased CAPE and static instability energy. The decrease in thermodynamic energy restricted the generation of tropical cyclones over the same region.</t>
  </si>
  <si>
    <t>[Song, Pan; Zhong, Zhong] PLA Univ Sci &amp; Technol, Coll Meteorol &amp; Oceanog, Nanjing 211101, Jiangsu, Peoples R China; [Zhu, Jiang] Chinese Acad Sci, Inst Atmospher Phys, Int Ctr Climate &amp; Environm Sci, Beijing 100029, Peoples R China; [Song, Pan; Qi, Linlin; Wang, Xiaodan] Beijing Inst Aeronaut Meteorol, Beijing 100085, Peoples R China</t>
  </si>
  <si>
    <t>Army Engineering University of PLA; Chinese Academy of Sciences; Institute of Atmospheric Physics, CAS</t>
  </si>
  <si>
    <t>Song, P (corresponding author), PLA Univ Sci &amp; Technol, Coll Meteorol &amp; Oceanog, Nanjing 211101, Jiangsu, Peoples R China.;Song, P (corresponding author), Beijing Inst Aeronaut Meteorol, Beijing 100085, Peoples R China.</t>
  </si>
  <si>
    <t>songpan@mail.iap.ac.cn</t>
  </si>
  <si>
    <t>Zhong, Zhong/R-6295-2019; wang, dan/JEF-0836-2023</t>
  </si>
  <si>
    <t>Chinese Academy of Sciences [XDA10010405]; National High Technology Research and Development Program of China (863 program) [2012AA091801]; National Natural Science Foundation of China [41205044, 41205075]; Natural Science Foundation of Jiangsu Province [BK2012062]</t>
  </si>
  <si>
    <t>Chinese Academy of Sciences(Chinese Academy of Sciences); National High Technology Research and Development Program of China (863 program)(National High Technology Research and Development Program of China); National Natural Science Foundation of China(National Natural Science Foundation of China (NSFC)); Natural Science Foundation of Jiangsu Province(Natural Science Foundation of Jiangsu Province)</t>
  </si>
  <si>
    <t>This work was supported by the Chinese Academy of Sciences' Project Western Pacific Ocean System: Structure, Dynamics and Consequences (Grant No. XDA10010405), the National High Technology Research and Development Program of China (863 program) (Grant No. 2012AA091801), the National Natural Science Foundation of China (Grant Nos. 41205044 and 41205075), and the Natural Science Foundation of Jiangsu Province (Grant No. BK2012062).</t>
  </si>
  <si>
    <t>10.1007/s00376-015-5046-2</t>
  </si>
  <si>
    <t>WOS:000371234300007</t>
  </si>
  <si>
    <t>Krzeminska, M; Kuklinski, P; Najorka, J; Iglikowska, A</t>
  </si>
  <si>
    <t>Krzeminska, Malgorzata; Kuklinski, Piotr; Najorka, Jens; Iglikowska, Anna</t>
  </si>
  <si>
    <t>Skeletal Mineralogy Patterns of Antarctic Bryozoa</t>
  </si>
  <si>
    <t>JOURNAL OF GEOLOGY</t>
  </si>
  <si>
    <t>OCEAN ACIDIFICATION; CARBONATE MINERALOGY; MG-CALCITE; MARINE BRYOZOANS; GROWTH; SHELF; ARAGONITE; HABITAT; IMPACT</t>
  </si>
  <si>
    <t>Bryozoans represent an extremely diversified phylum in terms of biomineralogy. The mineral composition of the bryozoan skeleton is most likely controlled by the organism itself and to some degree by the ambient environmental conditions (e.g., pH, Mg/Ca ratio, temperature). The purpose of this study is to describe the mineral composition of nearly one-quarter of all Antarctic bryozoan species known to date and to discuss, locally and in a global context, the potential factors that control mineralization in bryozoan skeletons. Collections of bryozoans were gathered by divers and with van Veen grabs (0.1 m(2)) from depths of 6-300 m at King George Island, Antarctica, during the summer seasons of 1985, 2007, and 2011. An x-ray diffraction analysis of the skeletons indicated that all analyzed Antarctic bryozoans (256 individuals, 71 taxa) precipitated monomineral calcite skeletons. The magnesium content ranged from 0.2 to 10.1 mol% MgCO3. Most of the studied species (76%) consisted of intermediate-magnesium calcite. Yet extreme variations in mol% MgCO3 were found between individuals of the same species as well as between species and populations. The high variability found between specimens of the same species suggests that the mol% MgCO3 could be determined by the biology or physiology of an individual. The magnesium content was equally distributed in each of three growth forms (e.g., erect flexible, erect rigid, and encrusting). The mean mol% MgCO3 in Antarctic species was significantly lower than that in bryozoans from Mediterranean, Chile, and New Zealand but similar to that in Arctic bryozoans. This finding confirms the latitudinal-pattern hypothesis of a decreased Mg content toward polar regions.</t>
  </si>
  <si>
    <t>[Krzeminska, Malgorzata; Kuklinski, Piotr; Iglikowska, Anna] Polish Acad Sci, Inst Oceanol, Dept Ecol, Powstancow Warszawy 55, PL-81712 Sopot, Poland; [Najorka, Jens] Nat Hist Museum, London SW7 5BD, England</t>
  </si>
  <si>
    <t>Polish Academy of Sciences; Institute of Oceanology of the Polish Academy of Sciences; Natural History Museum London</t>
  </si>
  <si>
    <t>Krzeminska, M (corresponding author), Polish Acad Sci, Inst Oceanol, Dept Ecol, Powstancow Warszawy 55, PL-81712 Sopot, Poland.</t>
  </si>
  <si>
    <t>malnow@iopan.gda.pl</t>
  </si>
  <si>
    <t>Iglikowska, Anna/GSM-6722-2022</t>
  </si>
  <si>
    <t>Iglikowska, Anna/0000-0002-3932-9079; Krzeminska, Malgorzata/0000-0001-7823-1253; Kuklinski, Piotr/0000-0002-1507-215X</t>
  </si>
  <si>
    <t>Polish National Science Center [2012/07/N/NZ8/01281]; Leading National Research Centre (KNOW) by the Centre for Polar Studies; Polish-Norwegian Research Programme [Pol-Nor/196260/81/2013]; Synthesys [GB-TAF 2535, FR-TAF 3950]</t>
  </si>
  <si>
    <t>Polish National Science Center; Leading National Research Centre (KNOW) by the Centre for Polar Studies; Polish-Norwegian Research Programme; Synthesys</t>
  </si>
  <si>
    <t>We thank the University of Lodz, for providing study material collected during the Polish Antarctic Expedition of 1985, and the Ninth Polish Antarctic Expedition to the Arctowski Station, Polish Antarctic Expedition of 2007-2009, for the collection of the samples. In addition, we address special thanks to T. Stryjek for help in sampling collection and to all the people involved in organizing the expedition, for help with logistics and great company during fieldwork in the 2010-2011 season. We thank the anonymous reviewers for the priceless comments leading to improvement of this article. The study has been funded by a grant from Polish National Science Center to M. K. (2012/07/N/NZ8/01281) and funds of the Leading National Research Centre (KNOW) received by the Centre for Polar Studies for the period 2014-2018, and it was completed thanks to the financial support to P. Kuklinski from the Polish-Norwegian Research Programme operated by the National Centre for Research and Development under the Norwegian Financial Mechanism 2009-2014 in the frame of Project Contract Pol-Nor/196260/81/2013. Studies on the Antarctic Bryozoa collections and access to SEM facilities were funded by Synthesys GB-TAF 2535 and FR-TAF 3950.</t>
  </si>
  <si>
    <t>UNIV CHICAGO PRESS</t>
  </si>
  <si>
    <t>CHICAGO</t>
  </si>
  <si>
    <t>1427 E 60TH ST, CHICAGO, IL 60637-2954 USA</t>
  </si>
  <si>
    <t>0022-1376</t>
  </si>
  <si>
    <t>1537-5269</t>
  </si>
  <si>
    <t>J GEOL</t>
  </si>
  <si>
    <t>J. Geol.</t>
  </si>
  <si>
    <t>10.1086/685507</t>
  </si>
  <si>
    <t>DO2SS</t>
  </si>
  <si>
    <t>WOS:000377630900008</t>
  </si>
  <si>
    <t>Fudge, TJ; Markle, BR; Cuffey, KM; Buizert, C; Taylor, KC; Steig, EJ; Waddington, ED; Conway, H; Koutnik, M</t>
  </si>
  <si>
    <t>Fudge, T. J.; Markle, Bradley R.; Cuffey, Kurt M.; Buizert, Christo; Taylor, Kendrick C.; Steig, Eric J.; Waddington, Edwin D.; Conway, Howard; Koutnik, Michelle</t>
  </si>
  <si>
    <t>Variable relationship between accumulation and temperature in West Antarctica for the past 31,000 years</t>
  </si>
  <si>
    <t>SURFACE MASS-BALANCE; DRONNING MAUD LAND; ICE-CORE; SNOW ACCUMULATION; CHRONOLOGY AICC2012; CLIMATE; SHEET; MODEL; DOME; VARIABILITY</t>
  </si>
  <si>
    <t>The Antarctic contribution to sea level is a balance between ice loss along the margin and accumulation in the interior. Accumulation records for the past few decades are noisy and show inconsistent relationships with temperature. We investigate the relationship between accumulation and temperature for the past 31 ka using high-resolution records from the West Antarctic Ice Sheet (WAIS) Divide ice core in West Antarctica. Although the glacial-interglacial increases result in high correlation and moderate sensitivity for the full record, the relationship shows considerable variability through time with high correlation and high sensitivity for the 0-8 ka period but no correlation for the 8-15 ka period. This contrasts with a general circulation model simulation which shows homogeneous sensitivities between temperature and accumulation across the entire time period. These results suggest that variations in atmospheric circulation are an important driver of Antarctic accumulation but they are not adequately captured in model simulations. Model-based projections of future Antarctic accumulation, and its impact on sea level, should be treated with caution.</t>
  </si>
  <si>
    <t>[Fudge, T. J.; Markle, Bradley R.; Steig, Eric J.; Waddington, Edwin D.; Conway, Howard; Koutnik, Michelle] Univ Washington, Dept Earth &amp; Space Sci, Seattle, WA 98195 USA; [Cuffey, Kurt M.] Univ Calif Berkeley, Dept Geog, Berkeley, CA 94720 USA; [Buizert, Christo] Oregon State Univ, Coll Earth Ocean &amp; Atmospher Sci, Corvallis, OR 97331 USA; [Taylor, Kendrick C.] Nevada Syst Higher Educ, Desert Res Inst, Reno, NV USA</t>
  </si>
  <si>
    <t>University of Washington; University of Washington Seattle; University of California System; University of California Berkeley; Oregon State University; Nevada System of Higher Education (NSHE); Desert Research Institute NSHE</t>
  </si>
  <si>
    <t>Fudge, TJ (corresponding author), Univ Washington, Dept Earth &amp; Space Sci, Seattle, WA 98195 USA.</t>
  </si>
  <si>
    <t>tjfudge@uw.edu</t>
  </si>
  <si>
    <t>Markle, Bradley R/I-6132-2019; /G-9088-2015; Taylor, Kendrick/A-3469-2016</t>
  </si>
  <si>
    <t>/0000-0002-8191-5549; Fudge, Tyler/0000-0002-6818-7479; Taylor, Kendrick/0000-0001-8535-1261; Conway, Howard/0000-0003-4634-3474; Markle, Bradley/0000-0002-2282-6546</t>
  </si>
  <si>
    <t>U.S. National Science Foundation [0944197, 0944191, 1043518]; NASA ESS Fellowship; WAIS Divide Science Coordination Office; Ice Drilling Design and Operations; National Ice Core Laboratory; Antarctic Support Contractor; 109th New York Air National Guard; Directorate For Geosciences; Office of Polar Programs (OPP) [0944197] Funding Source: National Science Foundation; Division Of Polar Programs; Directorate For Geosciences [0944191] Funding Source: National Science Foundation; Office of Polar Programs (OPP); Directorate For Geosciences [1043092, 0944348] Funding Source: National Science Foundation</t>
  </si>
  <si>
    <t>U.S. National Science Foundation(National Science Foundation (NSF)); NASA ESS Fellowship(National Aeronautics &amp; Space Administration (NASA)); WAIS Divide Science Coordination Office; Ice Drilling Design and Operations; National Ice Core Laboratory; Antarctic Support Contractor; 109th New York Air National Guard; Directorate For Geosciences; Office of Polar Programs (OPP)(National Science Foundation (NSF)NSF - Directorate for Geosciences (GEO)); Division Of Polar Programs; Directorate For Geosciences(National Science Foundation (NSF)NSF - Directorate for Geosciences (GEO)); Office of Polar Programs (OPP); Directorate For Geosciences(National Science Foundation (NSF)NSF - Directorate for Geosciences (GEO))</t>
  </si>
  <si>
    <t>This work was supported by U.S. National Science Foundation grants 0944197 (H.C., E.D.W., and T.J.F.), 0944191 (K.C.T.), and 1043518 (C.B.) and a NASA ESS Fellowship (T.J.F.). The authors appreciate the support of the following: WAIS Divide Science Coordination Office, Ice Drilling Design and Operations, National Ice Core Laboratory, Antarctic Support Contractor, and 109th New York Air National Guard. Temperature and accumulation data will be available through National Snow and Ice Data Center.</t>
  </si>
  <si>
    <t>APR 28</t>
  </si>
  <si>
    <t>10.1002/2016GL068356</t>
  </si>
  <si>
    <t>DP2RQ</t>
  </si>
  <si>
    <t>WOS:000378338800023</t>
  </si>
  <si>
    <t>Mazloff, MR; Boening, C</t>
  </si>
  <si>
    <t>Mazloff, Matthew R.; Boening, Carmen</t>
  </si>
  <si>
    <t>Rapid variability of Antarctic Bottom Water transport into the Pacific Ocean inferred from GRACE</t>
  </si>
  <si>
    <t>OVERTURNING CIRCULATION; CLOSURE</t>
  </si>
  <si>
    <t>Air-ice-ocean interactions in the Antarctic lead to formation of the densest waters on Earth. These waters convect and spread to fill the global abyssal oceans. The heat and carbon storage capacity of these water masses, combined with their abyssal residence times that often exceed centuries, makes this circulation pathway the most efficient sequestering mechanism on Earth. Yet monitoring this pathway has proven challenging due to the nature of the formation processes and the depth of the circulation. The Gravity Recovery and Climate Experiment (GRACE) gravity mission is providing a time series of ocean mass redistribution and offers a transformative view of the abyssal circulation. Here we use the GRACE measurements to infer, for the first time, a 2003-2014 time series of Antarctic Bottom Water export into the South Pacific. We find this export highly variable, with a standard deviation of 1.87 sverdrup (Sv) and a decorrelation timescale of less than 1 month. A significant trend is undetectable.</t>
  </si>
  <si>
    <t>[Mazloff, Matthew R.] Univ Calif San Diego, Scripps Inst Oceanog, Dept Climate Atmospher Sci &amp; Phys Oceanog, La Jolla, CA 92093 USA; [Boening, Carmen] CALTECH, Jet Prop Lab, Pasadena, CA USA</t>
  </si>
  <si>
    <t>University of California System; University of California San Diego; Scripps Institution of Oceanography; California Institute of Technology; National Aeronautics &amp; Space Administration (NASA); NASA Jet Propulsion Laboratory (JPL)</t>
  </si>
  <si>
    <t>Mazloff, MR (corresponding author), Univ Calif San Diego, Scripps Inst Oceanog, Dept Climate Atmospher Sci &amp; Phys Oceanog, La Jolla, CA 92093 USA.</t>
  </si>
  <si>
    <t>mmazloff@ucsd.edu</t>
  </si>
  <si>
    <t>Mazloff, Matthew/AAG-6463-2019</t>
  </si>
  <si>
    <t>Mazloff, Matthew/0000-0002-1650-5850</t>
  </si>
  <si>
    <t>National Science Foundation (NSF) [OCE-1234473, PLR-1425989]; National Science Foundation [MCA06N007]; NASA; Directorate For Geosciences; Division Of Ocean Sciences [1234473] Funding Source: National Science Foundation; Directorate For Geosciences; Office of Polar Programs (OPP) [1425989] Funding Source: National Science Foundation</t>
  </si>
  <si>
    <t>National Science Foundation (NSF)(National Science Foundation (NSF)); National Science Foundation(National Science Foundation (NSF)); NASA(National Aeronautics &amp; Space Administration (NASA)); Directorate For Geosciences; Division Of Ocean Sciences(National Science Foundation (NSF)NSF - Directorate for Geosciences (GEO)); Directorate For Geosciences; Office of Polar Programs (OPP)(National Science Foundation (NSF)NSF - Directorate for Geosciences (GEO))</t>
  </si>
  <si>
    <t>We would like to thank three anonymous reviewers for their feedback that improved this manuscript. M.M. acknowledges the National Science Foundation (NSF) for support of this research through grants OCE-1234473 and PLR-1425989. SOSE was produced using the Extreme Science and Engineering Discovery Environment (XSEDE), which is supported by National Science Foundation grant MCA06N007. The work has been partially performed at the Jet Propulsion Laboratory/California Institute of Technology. This research was partially supported by NASA funding for the GRACE mission. We would like to thank Michael Watkins, David Wiese, and Dah-Ning Yuan for the processing of the GRACE mascon data.</t>
  </si>
  <si>
    <t>10.1002/2016GL068474</t>
  </si>
  <si>
    <t>WOS:000378338800026</t>
  </si>
  <si>
    <t>Guemas, V; Chevallier, M; Déqué, M; Bellprat, O; Doblas-Reyes, F</t>
  </si>
  <si>
    <t>Guemas, V.; Chevallier, M.; Deque, M.; Bellprat, O.; Doblas-Reyes, F.</t>
  </si>
  <si>
    <t>Impact of sea ice initialization on sea ice and atmosphere prediction skill on seasonal timescales</t>
  </si>
  <si>
    <t>PREDICTABILITY; ENSEMBLE; EXTENT</t>
  </si>
  <si>
    <t>We present a robust assessment of the impact of sea ice initialization from reconstructions of the real state on the sea ice and atmosphere prediction skill. We ran two ensemble seasonal prediction experiments from 1979 to 2012 : one using realistic sea ice initial conditions and another where sea ice is initialized from a climatology, with two forecast systems. During the melting season in the Arctic Ocean, sea ice forecasts become skilful with sea ice initialization until 3-5 months ahead, thanks to the memory held by sea ice thickness. During the freezing season in both the Arctic and Antarctic Oceans, sea ice forecasts are skilful for 7 and 2 months, respectively, with negligible differences between the two experiments, the memory being held by the ocean heat content. A weak impact on the atmosphere prediction skill is obtained.</t>
  </si>
  <si>
    <t>[Guemas, V.; Chevallier, M.; Deque, M.] Grp Etud Atmosphere Meteorol, Ctr Natl Rech Meteorol, Toulouse, France; [Guemas, V.; Doblas-Reyes, F.] Inst Catala Ciencies Clima, Barcelona, Spain; [Guemas, V.; Bellprat, O.; Doblas-Reyes, F.] Barcelona Supercomp Ctr, Barcelona, Spain; [Doblas-Reyes, F.] Inst Catalana Recerca &amp; Estudis Avancats, Barcelona, Spain</t>
  </si>
  <si>
    <t>Institut Catala de Ciencies del Clima (IC3); Universitat Politecnica de Catalunya; Barcelona Supercomputer Center (BSC-CNS); ICREA</t>
  </si>
  <si>
    <t>Guemas, V (corresponding author), Grp Etud Atmosphere Meteorol, Ctr Natl Rech Meteorol, Toulouse, France.;Guemas, V (corresponding author), Inst Catala Ciencies Clima, Barcelona, Spain.;Guemas, V (corresponding author), Barcelona Supercomp Ctr, Barcelona, Spain.</t>
  </si>
  <si>
    <t>virginie.guemas@bsc.es</t>
  </si>
  <si>
    <t>; Guemas, Virginie/B-9090-2016</t>
  </si>
  <si>
    <t>Bellprat, Omar/0000-0001-6434-1793; Guemas, Virginie/0000-0002-6340-3558</t>
  </si>
  <si>
    <t>EU [FP7-ENV-2012-308378]; MINECO [CGL2012-31987]; ESA; Catalan Government; ICREA Funding Source: Custom</t>
  </si>
  <si>
    <t>EU(European Union (EU)); MINECO(Spanish Government); ESA(European Space Agency); Catalan Government; ICREA(ICREA)</t>
  </si>
  <si>
    <t>This work was supported by the EU-funded SPECS (FP7-ENV-2012-308378), the MINECO-funded PICA-ICE (CGL2012-31987) projects, the ESA-funded VERITAS-CCI project, and the Catalan Government. Oriol Mula-Valls, Domingo Manubens-Gil, and Muhammad Asif are thoroughly acknowledged for the invaluable technical support. The authors thankfully acknowledge the computer resources, technical expertise, and assistance provided by the Red Espanola de Supercomputacion (RES).</t>
  </si>
  <si>
    <t>10.1002/2015GL066626</t>
  </si>
  <si>
    <t>WOS:000378338800034</t>
  </si>
  <si>
    <t>England, MR; Shaw, TA; Polvani, LM</t>
  </si>
  <si>
    <t>England, Mark R.; Shaw, Tiffany A.; Polvani, Lorenzo M.</t>
  </si>
  <si>
    <t>Troposphere-stratosphere dynamical coupling in the southern high latitudes and its linkage to the Amundsen Sea</t>
  </si>
  <si>
    <t>PLANETARY-WAVES; CMIP5; WEATHER; CLIMATE; VARIABILITY; REPRESENTATION; CONFIGURATION; ANTARCTICA; EVOLUTION; ATLANTIC</t>
  </si>
  <si>
    <t>Extremes in the distribution of Southern Hemisphere stratospheric heat flux are connected simultaneously to anomalous high-latitude tropospheric weather patterns in reanalysis, consistent with results from the Northern Hemisphere. The dynamical links are revealed using a metric based on extreme stratospheric planetary-scale wave heat flux events, defined as the 10th and 90th percentiles of the daily high-latitude wave 1 heat flux distribution at 50 hPa. We show extreme negative (positive) heat flux events are linked to a westward (eastward) shift in the Amundsen Sea Low and anomalous warming (cooling) over the Amundsen Bellingshausen Seas in reanalysis data. Since coupling to the stratosphere via planetary waves has significant impacts on the tropospheric circulation of both hemispheres, it is important to understand which coupled climate models can reproduce this phenomenon. The heat flux metric is used to evaluate troposphere-stratosphere coupling in models participating in the Coupled Model Intercomparison Project Phase 5 (CMIP5) and compare their performance across hemispheres. The results show that models with a degraded representation of stratospheric extremes exhibit robust biases in tropospheric sea level pressure variability over the Antarctic Peninsula. Models which fail to capture the extremes in stratospheric heat flux, significantly underestimate the variance of the distribution of mean sea level pressure anomalies over Western Antarctica.</t>
  </si>
  <si>
    <t>[England, Mark R.; Polvani, Lorenzo M.] Columbia Univ, Dept Appl Phys &amp; Appl Math, New York, NY USA; [Shaw, Tiffany A.] Univ Chicago, Dept Geophys Sci, 5734 S Ellis Ave, Chicago, IL 60637 USA; [Polvani, Lorenzo M.] Columbia Univ, Dept Earth &amp; Environm Sci, Lamont Doherty Earth Observ, New York, NY USA</t>
  </si>
  <si>
    <t>Columbia University; University of Chicago; Columbia University</t>
  </si>
  <si>
    <t>England, MR (corresponding author), Columbia Univ, Dept Appl Phys &amp; Appl Math, New York, NY USA.</t>
  </si>
  <si>
    <t>mre2126@columbia.edu</t>
  </si>
  <si>
    <t>England, Mark/AAI-5481-2020; Polvani, Lorenzo M/E-5949-2011; England, Matthew/A-7539-2011</t>
  </si>
  <si>
    <t>England, Mark/0000-0003-3882-872X; England, Matthew/0000-0001-9696-2930</t>
  </si>
  <si>
    <t>National Science Foundation [AGS-1129519]; Frontiers of Earth Systems Dynamics grant from the U.S. National Science Foundation</t>
  </si>
  <si>
    <t>National Science Foundation(National Science Foundation (NSF)); Frontiers of Earth Systems Dynamics grant from the U.S. National Science Foundation</t>
  </si>
  <si>
    <t>The authors thank K. Smith for helpful discussions on the manuscript. This research was supported by the National Science Foundation under grant AGS-1129519. The authors are grateful to three anonymous reviewers whose comments helped improve the manuscript. We thank Haibo Liu and the Lamont-Doherty Earth Observatory for obtaining the CMIP5 data and the World Climate Research Programmes Working Group on Coupled Modelling, which is responsible for CMIP. We also thank the climate modeling groups for producing and making available their model output. For CMIP the U.S. Department of Energy's Program for Climate Model Diagnosis and Intercomparison provides coordinating support and led development of software infrastructure in partnership with the Global Organization for Earth System Science Portals. The CMIP data used in this paper are available at http://cmip-pcmdi.llnl.gov/cmip5/data_portal.html. We also thank the ECMWF for providing the ERA-Interim reanalysis data set. The ERA-Interim data used in this paper are available at http://data-portal.ecmwf.int/data/d/interim_daily/levtype=pl/. The work of T.A.S. is supported by the National Science Foundation under the grant AGS-1129519. The work of L.M.P. and M.R.E. is funded by Frontiers of Earth Systems Dynamics grant from the U.S. National Science Foundation.</t>
  </si>
  <si>
    <t>APR 27</t>
  </si>
  <si>
    <t>10.1002/2015JD024254</t>
  </si>
  <si>
    <t>DP2KU</t>
  </si>
  <si>
    <t>WOS:000378318100003</t>
  </si>
  <si>
    <t>Boyero, L; Pearson, RG; Hui, C; Gessner, MO; Pérez, J; Alexandrou, MA; Graça, MAS; Cardinale, BJ; Albariño, RJ; Arunachalam, M; Barmuta, LA; Boulton, AJ; Bruder, A; Callisto, M; Chauvet, E; Death, RG; Dudgeon, D; Encalada, AC; Ferreira, V; Figueroa, R; Flecker, AS; Gonçalves, JF; Helson, J; Iwata, T; Jinggut, T; Mathooko, J; Mathuriau, C; M'Erimba, C; Moretti, MS; Pringle, CM; Ramírez, A; Ratnarajah, L; Rincon, J; Yule, CM</t>
  </si>
  <si>
    <t>Boyero, Luz; Pearson, Richard G.; Hui, Cang; Gessner, Mark O.; Perez, Javier; Alexandrou, Markos A.; Graca, Manuel A. S.; Cardinale, Bradley J.; Albarino, Ricardo J.; Arunachalam, Muthukumarasamy; Barmuta, Leon A.; Boulton, Andrew J.; Bruder, Andreas; Callisto, Marcos; Chauvet, Eric; Death, Russell G.; Dudgeon, David; Encalada, Andrea C.; Ferreira, Veronica; Figueroa, Ricardo; Flecker, Alexander S.; Goncalves, Jose F., Jr.; Helson, Julie; Iwata, Tomoya; Jinggut, Tajang; Mathooko, Jude; Mathuriau, Catherine; M'Erimba, Charles; Moretti, Marcelo S.; Pringle, Catherine M.; Ramirez, Alonso; Ratnarajah, Lavenia; Rincon, Jose; Yule, Catherine M.</t>
  </si>
  <si>
    <t>Biotic and abiotic variables influencing plant litter breakdown in streams: a global study</t>
  </si>
  <si>
    <t>PROCEEDINGS OF THE ROYAL SOCIETY B-BIOLOGICAL SCIENCES</t>
  </si>
  <si>
    <t>decomposition; latitudinal gradient; climate; litter quality; biodiversity; detritivore shredders</t>
  </si>
  <si>
    <t>LEAF-LITTER; TERRESTRIAL ECOSYSTEMS; PHYLOGENETIC DIVERSITY; DECOMPOSITION RATES; BIODIVERSITY LOSS; FUNCTIONAL-ROLE; CLIMATE; TRAITS; MASS; VARIABILITY</t>
  </si>
  <si>
    <t>Plant litter breakdown is a key ecological process in terrestrial and freshwater ecosystems. Streams and rivers, in particular, contribute substantially to global carbon fluxes. However, there is little information available on the relative roles of different drivers of plant litter breakdown in fresh waters, particularly at large scales. We present a global-scale study of litter breakdown in streams to compare the roles of biotic, climatic and other environmental factors on breakdown rates. We conducted an experiment in 24 streams encompassing latitudes from 47.88 degrees N to 42.88 degrees S, using litter mixtures of local species differing in quality and phylogenetic diversity (PD), and alder (Alnus glutinosa) to control for variation in litter traits. Our models revealed that breakdown of alder was driven by climate, with some influence of pH, whereas variation in breakdown of litter mixtures was explained mainly by litter quality and PD. Effects of litter quality and PD and stream pH were more positive at higher temperatures, indicating that different mechanisms may operate at different latitudes. These results reflect global variability caused by multiple factors, but unexplained variance points to the need for expanded global-scale comparisons.</t>
  </si>
  <si>
    <t>[Boyero, Luz; Perez, Javier] Univ Basque Country UPV EHU, Fac Sci &amp; Technol, Leioa 48940, Spain; [Boyero, Luz] Basque Fdn Sci, IKERBASQUE, Bilbao 48013, Spain; [Boyero, Luz; Pearson, Richard G.] James Cook Univ, Coll Marine &amp; Environm Sci &amp; TropWater, Townsville, Qld 4811, Australia; [Hui, Cang] Univ Stellenbosch, Dept Math Sci, Cte Invas Biol, Private Bag X1, ZA-7602 Matieland, South Africa; [Hui, Cang] African Inst Math Sci, ZA-7945 Muizenburg, South Africa; [Gessner, Mark O.] Leibniz Inst Freshwater Ecol &amp; Inland Fisheries I, Dept Expt Limnol, D-16775 Stechlin, Germany; [Gessner, Mark O.] TU Berlin, Dept Ecol, Berlin Inst Technol, D-10587 Berlin, Germany; [Alexandrou, Markos A.] Univ Calif Santa Barbara, Ecol Evolut &amp; Marine Biol, Santa Barbara, CA 93106 USA; [Graca, Manuel A. S.; Encalada, Andrea C.; Ferreira, Veronica] Univ Coimbra, Dept Life Sci, MARE Marine &amp; Environm Sci Ctr, P-3001456 Coimbra, Portugal; [Cardinale, Bradley J.] Univ Michigan, Sch Nat Resources &amp; Environm, Ann Arbor, MI 48109 USA; [Albarino, Ricardo J.] Univ Nacl Comahue, CONICET, INIBIOMA, Lab Fotobiol, Quintral 1250, RA-8400 San Carlos De Bariloche, Rio Negro, Argentina; [Arunachalam, Muthukumarasamy] Manonmaniam Sundaranar Univ, Sri Paramakalyani Ctr Environm Sci, Alwarkurichi 627412, Tamil Nadu, India; [Barmuta, Leon A.; Ratnarajah, Lavenia] Univ Tasmania, Sch Biol Sci, Private Bag 55, Hobart, Tas 7001, Australia; [Boulton, Andrew J.] Univ New England, Sch Environm &amp; Rural Sci, Ecosyst Management, Armidale, NSW 2351, Australia; [Bruder, Andreas] Eawag Swiss Fed Inst Aquat Sci &amp; Technol, Dept Aquat Ecol, Uberlandstr 133, CH-8600 Dubendorf, Switzerland; [Bruder, Andreas] Swiss Fed Inst Technol, Inst Integrat Biol IBZ, CH-8092 Zurich, Switzerland; [Callisto, Marcos] Univ Fed Minas Gerais, ICB, Dept Biol Geral, Lab Ecol Bentos, BR-30161970 Belo Horizonte, MG, Brazil; [Chauvet, Eric] Univ Toulouse, EcoLab, INPT, UPS, 118 Route Narbonne, F-31062 Toulouse, France; [Chauvet, Eric] CNRS, EcoLab, F-31062 Toulouse, France; [Death, Russell G.] Massey Univ, Inst Agr &amp; Environment Ecol, Palmerston North 4442, New Zealand; [Dudgeon, David] Univ Hong Kong, Sch Biol Sci, Pokfulam, Hong Kong, Peoples R China; [Encalada, Andrea C.] Univ San Francisco Quito, Colegio Ciencias Biol &amp; Ambientales, Lab Ecol Acuat, Campus Cumbaya,POB 17, Quito 1200841, Ecuador; [Figueroa, Ricardo] Univ Concepcion, Fac Environm Sci, Box 160-C, Concepcion, Chile; [Figueroa, Ricardo] Univ Concepcion, Water Res Ctr Agr &amp; Min, Box 160-C, Concepcion, Chile; [Flecker, Alexander S.] Cornell Univ, Dept Ecol &amp; Evolutionary Biol, Ithaca, NY 14853 USA; [Goncalves, Jose F., Jr.] Univ Brasilia, ECL IB, Dept Ecol, Lab Limnol AquaRiparia, BR-70910900 Brasilia, DF, Brazil; [Helson, Julie] Univ Toronto Scarborough, Dept Biol Sci, Surface &amp; Groundwater Ecol Res Grp, 1265 Mil Trail, Toronto, ON M1C 1A4, Canada; [Iwata, Tomoya] Univ Yamanashi, Dept Environm Sci, Kofu, Yamanashi 4008510, Japan; [Jinggut, Tajang; Yule, Catherine M.] Monash Univ, Sch Sci, Jalan Lagoon Selatan, Bandar Sunway 47500, Selangor, Malaysia; [Mathooko, Jude; M'Erimba, Charles] Egerton Univ, Dept Biol Sci, POB 536, Egerton, Kenya; [Mathuriau, Catherine] Univ Nacl Autonoma Mexico, Inst Invest Ecosistemas &amp; Sustentabilidad, Mexico City 04510, DF, Mexico; [Moretti, Marcelo S.] Univ Vila Velha, Lab Aquat Insect Ecol, BR-29102920 Vila Velha, Brazil; [Pringle, Catherine M.] Univ Georgia, Odum Sch Ecol, Athens, GA 30602 USA; [Ramirez, Alonso] Univ Puerto Rico, Dept Environm Sci, San Juan, PR 00919 USA; [Ratnarajah, Lavenia] Univ Tasmania, Inst Marine &amp; Antarctic Studies &amp; Antarctic Clima, Cooperat Res Ctr, Hobart, Tas 7001, Australia; [Rincon, Jose] Univ Zulia, Dept Biol, Fac Ciencias, Lab Contaminac Acuat &amp; Contaminac Fluvial, Apartado Postal 526, Maracaibo, Venezuela; [Rincon, Jose] Univ Azuay, Escuela Biol Ecol &amp; Gest, Senescyt, Programa Prometeo, Apartado 981, Cuenca, Ecuador</t>
  </si>
  <si>
    <t>University of Basque Country; Basque Foundation for Science; James Cook University; Stellenbosch University; Leibniz Institut fur Gewasserokologie und Binnenfischerei (IGB); Technical University of Berlin; University of California System; University of California Santa Barbara; Universidade de Coimbra; University of Michigan System; University of Michigan; Universidad Nacional del Comahue; Consejo Nacional de Investigaciones Cientificas y Tecnicas (CONICET); Manonmaniam Sundaranar University; University of Tasmania; University of New England; Swiss Federal Institutes of Technology Domain; Swiss Federal Institute of Aquatic Science &amp; Technology (EAWAG); Swiss Federal Institutes of Technology Domain; ETH Zurich; Universidade Federal de Minas Gerais; Universite de Toulouse; Universite Federale Toulouse Midi-Pyrenees (ComUE); Universite Toulouse III - Paul Sabatier; Institut National Polytechnique de Toulouse; Centre National de la Recherche Scientifique (CNRS); Universite de Toulouse; Universite Federale Toulouse Midi-Pyrenees (ComUE); Universite Toulouse III - Paul Sabatier; Institut National Polytechnique de Toulouse; Centre National de la Recherche Scientifique (CNRS); Massey University; University of Hong Kong; Universidad San Francisco de Quito; Universidad de Concepcion; Universidad de Concepcion; Cornell University; Universidade de Brasilia; University of Toronto; University Toronto Scarborough; University of Yamanashi; Monash University; Monash University Malaysia; Egerton University; Universidad Nacional Autonoma de Mexico; Centro Universitario Vila Velha; University System of Georgia; University of Georgia; University of Puerto Rico; University of Puerto Rico Rio Piedras; University of Tasmania; Universidad del Azuay</t>
  </si>
  <si>
    <t>Boyero, L (corresponding author), Univ Basque Country UPV EHU, Fac Sci &amp; Technol, Leioa 48940, Spain.;Boyero, L (corresponding author), Basque Fdn Sci, IKERBASQUE, Bilbao 48013, Spain.;Boyero, L (corresponding author), James Cook Univ, Coll Marine &amp; Environm Sci &amp; TropWater, Townsville, Qld 4811, Australia.</t>
  </si>
  <si>
    <t>luz.boyero@ehu.eus</t>
  </si>
  <si>
    <t>Barmuta, Leon/J-2413-2013; Graca, Manuel A.S./A-5785-2013; Arunachalam, Muthukumarasamy/AAU-8723-2021; Oliveira, José Francisco/AAD-1802-2019; Arunachalam, muthukumarasamy/AAU-9940-2021; Pearson, Richard/GQH-2760-2022; Cardinale, Bradley J/I-7076-2013; Chauvet, Eric/F-7644-2011; Ferreira, Verónica/I-6457-2013; Gonçalves Júnior, José/G-3910-2012; Pérez, Javier/K-6205-2012; Júnior, José/IQS-5202-2023; Alexandrou, Markos A/E-1509-2012; Junior, Jose/KHC-8978-2024; Figueroa, Ricardo/KFS-6929-2024; Boyero, Luz/N-1719-2019; Callisto, Marcos/O-4930-2015; Bruder, Andreas/AFC-9051-2022; Moretti, Marcelo/H-6148-2012; Hui, Cang/A-1781-2008</t>
  </si>
  <si>
    <t>Barmuta, Leon/0000-0002-8946-3727; Arunachalam, Muthukumarasamy/0000-0003-3979-2829; Oliveira, José Francisco/0000-0002-6131-7605; Chauvet, Eric/0000-0001-8676-392X; Ferreira, Verónica/0000-0001-7688-2626; Gonçalves Júnior, José/0000-0001-8191-2113; Pérez, Javier/0000-0001-6305-4151; Boyero, Luz/0000-0001-7366-9299; Callisto, Marcos/0000-0003-2341-4700; Bruder, Andreas/0000-0002-4591-491X; Graca, Manuel/0000-0002-6470-8919; Encalada, Andrea C./0000-0003-2497-6086; YULE, CATHERINE/0000-0002-1085-2798; Ramirez, Alonso/0000-0001-9985-5719; Iwata, Tomoya/0000-0003-4258-0050; Moretti, Marcelo/0000-0003-1994-2105; Hui, Cang/0000-0002-3660-8160; Ratnarajah, Lavenia/0000-0002-1021-1923</t>
  </si>
  <si>
    <t>National Geographic Society's Committee for Research and Exploration [7980-06]; Division Of Environmental Biology; Direct For Biological Sciences [1546686, 1122389] Funding Source: National Science Foundation</t>
  </si>
  <si>
    <t>National Geographic Society's Committee for Research and Exploration(National Geographic Society); Division Of Environmental Biology; Direct For Biological Sciences(National Science Foundation (NSF)NSF - Directorate for Biological Sciences (BIO))</t>
  </si>
  <si>
    <t>The study was supported by a grant from the National Geographic Society's Committee for Research and Exploration (grant no. 7980-06; PI, Luz Boyero) and various national funding sources.</t>
  </si>
  <si>
    <t>0962-8452</t>
  </si>
  <si>
    <t>1471-2954</t>
  </si>
  <si>
    <t>P ROY SOC B-BIOL SCI</t>
  </si>
  <si>
    <t>Proc. R. Soc. B-Biol. Sci.</t>
  </si>
  <si>
    <t>10.1098/rspb.2015.2664</t>
  </si>
  <si>
    <t>Biology; Ecology; Evolutionary Biology</t>
  </si>
  <si>
    <t>Life Sciences &amp; Biomedicine - Other Topics; Environmental Sciences &amp; Ecology; Evolutionary Biology</t>
  </si>
  <si>
    <t>DM2EE</t>
  </si>
  <si>
    <t>Bronze, Green Submitted, Green Published</t>
  </si>
  <si>
    <t>WOS:000376158600002</t>
  </si>
  <si>
    <t>Park, T; Fitzgerald, EMG; Gallagher, SJ; Tomkins, E; Allan, T</t>
  </si>
  <si>
    <t>Park, Travis; Fitzgerald, Erich M. G.; Gallagher, Stephen J.; Tomkins, Ellyn; Allan, Tony</t>
  </si>
  <si>
    <t>New Miocene Fossils and the History of Penguins in Australia</t>
  </si>
  <si>
    <t>SOUTHERN-OCEAN; SPHENISCIFORMES; EVOLUTION; AVES; PHYLOGENY; PLIOCENE; BASIN; STRATIGRAPHY; BIOGEOGRAPHY; SUCCESSION</t>
  </si>
  <si>
    <t>Australia has a fossil record of penguins reaching back to the Eocene, yet today is inhabited by just one breeding species, the little penguin Eudyptula minor. The description of recently collected penguin fossils from the re-dated upper Miocene Port Campbell Limestone of Portland (Victoria), in addition to reanalysis of previously described material, has allowed the Cenozoic history of penguins in Australia to be placed into a global context for the first time. Australian pre-Quaternary fossil penguins represent stem taxa phylogenetically disparate from each other and E. minor, implying multiple dispersals and extinctions. Late Eocene penguins from Australia are closest to contemporaneous taxa in Antarctica, New Zealand and South America. Given current material, the Miocene Australian fossil penguin fauna is apparently unique in harbouring 'giant penguins' after they went extinct elsewhere; and including stem taxa until at least 6 Ma, by which time crown penguins dominated elsewhere in the southern hemisphere. Separation of Australia from Antarctica during the Palaeogene, and its subsequent drift north, appears to have been a major event in Australian penguin biogeography. Increasing isolation through the Cenozoic may have limited penguin dispersal to Australia from outside the Australasian region, until intensification of the eastwards-flowing Antarctic Circumpolar Current in the mid-Miocene established a potential new dispersal vector to Australia.</t>
  </si>
  <si>
    <t>[Park, Travis] Monash Univ, Sch Biol Sci, Clayton, Vic, Australia; [Park, Travis; Fitzgerald, Erich M. G.; Tomkins, Ellyn] Museum Victoria, Palaeontol, Melbourne, Vic, Australia; [Gallagher, Stephen J.; Tomkins, Ellyn] Univ Melbourne, Sch Earth Sci, Melbourne, Vic 3010, Australia; [Allan, Tony] CSIRO Radiogen Isotope Facil, Sydney, NSW, Australia</t>
  </si>
  <si>
    <t>Monash University; Melbourne Genomics Health Alliance; Museum Victoria; University of Melbourne; Melbourne Bioinformatics; Commonwealth Scientific &amp; Industrial Research Organisation (CSIRO)</t>
  </si>
  <si>
    <t>Park, T (corresponding author), Monash Univ, Sch Biol Sci, Clayton, Vic, Australia.;Park, T (corresponding author), Museum Victoria, Palaeontol, Melbourne, Vic, Australia.</t>
  </si>
  <si>
    <t>travis.park@monash.edu</t>
  </si>
  <si>
    <t>Gallagher, Stephen/AFL-9448-2022; Park, Travis/N-9176-2019</t>
  </si>
  <si>
    <t>Gallagher, Stephen/0000-0002-5593-2740; Park, Travis/0000-0002-9492-8859</t>
  </si>
  <si>
    <t>Australian Research Council [DP0558150]; Australian Research Council [DP0558150] Funding Source: Australian Research Council</t>
  </si>
  <si>
    <t>Australian Research Council(Australian Research Council); Australian Research Council(Australian Research Council)</t>
  </si>
  <si>
    <t>Grant number: DP0558150, Australian Research Council, funder's website: www.arc.gov.au, author who received funding: SJG and ET. Funding was for fieldwork associated with geologic data collection and subsequent stratigraphic analyses only. The funders had no role in study design, data collection and analysis, decision to publish, or preparation of the manuscript.</t>
  </si>
  <si>
    <t>APR 26</t>
  </si>
  <si>
    <t>e0153915</t>
  </si>
  <si>
    <t>10.1371/journal.pone.0153915</t>
  </si>
  <si>
    <t>DK5QB</t>
  </si>
  <si>
    <t>WOS:000374973600034</t>
  </si>
  <si>
    <t>Barnes, DKA; Neutel, AM</t>
  </si>
  <si>
    <t>Barnes, D. K. A.; Neutel, A. M.</t>
  </si>
  <si>
    <t>Severity of seabed spatial competition decreases towards the poles</t>
  </si>
  <si>
    <t>DIVERSITY; SPACE</t>
  </si>
  <si>
    <t>[Barnes, D. K. A.; Neutel, A. M.] British Antarctic Survey, NERC, Madingley Rd, Cambridge CB3 0ET, England</t>
  </si>
  <si>
    <t>Barnes, DKA (corresponding author), British Antarctic Survey, NERC, Madingley Rd, Cambridge CB3 0ET, England.</t>
  </si>
  <si>
    <t>dkab@bas.ac.uk</t>
  </si>
  <si>
    <t>APR 25</t>
  </si>
  <si>
    <t>R317</t>
  </si>
  <si>
    <t>R318</t>
  </si>
  <si>
    <t>10.1016/j.cub.2016.03.012</t>
  </si>
  <si>
    <t>DL0RG</t>
  </si>
  <si>
    <t>WOS:000375339700006</t>
  </si>
  <si>
    <t>Allison, P; Bard, R; Beatty, JJ; Besson, DZ; Bora, C; Chen, CC; Chen, CH; Chen, P; Christenson, A; Connolly, A; Davies, J; Duvernois, M; Fox, B; Gaior, R; Gorham, PW; Hanson, K; Haugen, J; Hill, B; Hoffman, KD; Hong, E; Hsu, SY; Hu, L; Huang, JJ; Huang, MHA; Ishihara, A; Karle, A; Kelley, JL; Kennedy, D; Kravchenko, I; Kuwabara, T; Landsman, H; Laundrie, A; Li, CJ; Liu, TC; Lu, MY; Macchiarulo, L; Mase, K; Meures, T; Meyhandan, R; Miki, C; Morse, R; Nam, J; Nichol, RJ; Nir, G; Novikov, A; O'Murchadha, A; Pfendner, C; Ratzlaff, K; Relich, M; Richman, M; Ritter, L; Rotter, B; Sandstrom, P; Schellin, P; Shultz, A; Seckel, D; Shiao, YS; Stockham, J; Stockham, M; Touart, J; Varner, GS; Wang, MZ; Wang, SH; Yang, Y; Yoshida, S; Young, R</t>
  </si>
  <si>
    <t>Allison, P.; Bard, R.; Beatty, J. J.; Besson, D. Z.; Bora, C.; Chen, C-C; Chen, C. -H.; Chen, P.; Christenson, A.; Connolly, A.; Davies, J.; Duvernois, M.; Fox, B.; Gaior, R.; Gorham, P. W.; Hanson, K.; Haugen, J.; Hill, B.; Hoffman, K. D.; Hong, E.; Hsu, S. -Y.; Hu, L.; Huang, J-J; Huang, M. -H. A.; Ishihara, A.; Karle, A.; Kelley, J. L.; Kennedy, D.; Kravchenko, I.; Kuwabara, T.; Landsman, H.; Laundrie, A.; Li, C. -J.; Liu, T. C.; Lu, M. -Y.; Macchiarulo, L.; Mase, K.; Meures, T.; Meyhandan, R.; Miki, C.; Morse, R.; Nam, J.; Nichol, R. J.; Nir, G.; Novikov, A.; O'Murchadha, A.; Pfendner, C.; Ratzlaff, K.; Relich, M.; Richman, M.; Ritter, L.; Rotter, B.; Sandstrom, P.; Schellin, P.; Shultz, A.; Seckel, D.; Shiao, Y. -S.; Stockham, J.; Stockham, M.; Touart, J.; Varner, G. S.; Wang, M. -Z.; Wang, S. -H.; Yang, Y.; Yoshida, S.; Young, R.</t>
  </si>
  <si>
    <t>ARA Collaboration</t>
  </si>
  <si>
    <t>Performance of two Askaryan Radio Array stations and first results in the search for ultrahigh energy neutrinos</t>
  </si>
  <si>
    <t>PHYSICAL REVIEW D</t>
  </si>
  <si>
    <t>COSMIC-RAYS; SPECTRUM; PULSES; FLUX; ICE</t>
  </si>
  <si>
    <t>Ultrahigh energy neutrinos are interesting messenger particles since, if detected, they can transmit exclusive information about ultrahigh energy processes in the Universe. These particles, with energies above 10(16) eV, interact very rarely. Therefore, detectors that instrument several gigatons of matter are needed to discover them. The ARA detector is currently being constructed at the South Pole. It is designed to use the Askaryan effect, the emission of radio waves from neutrino-induced cascades in the South Pole ice, to detect neutrino interactions at very high energies. With antennas distributed among 37 widely separated stations in the ice, such interactions can be observed in a volume of several hundred cubic kilometers. Currently three deep ARA stations are deployed in the ice, of which two have been taking data since the beginning of 2013. In this article, the ARA detector as built and calibrations are described. Data reduction methods used to distinguish the rare radio signals from overwhelming backgrounds of thermal and anthropogenic origin are presented. Using data from only two stations over a short exposure time of 10 months, a neutrino flux limit of 1.5 x 10(-6) GeV/cm(2)/s/sr is calculated for a particle energy of 10(18) eV, which offers promise for the full ARA detector.</t>
  </si>
  <si>
    <t>[Allison, P.; Beatty, J. J.; Connolly, A.; Hong, E.; Pfendner, C.; Schellin, P.] Ohio State Univ, Dept Phys, 191 West Woodruff Ave, Columbus, OH 43210 USA; [Allison, P.; Beatty, J. J.; Connolly, A.; Hong, E.; Pfendner, C.; Schellin, P.] Ohio State Univ, Ctr Cosmol &amp; Astroparticle Phys, 191 West Woodruff Ave, Columbus, OH 43210 USA; [Bard, R.; Hoffman, K. D.; Richman, M.; Touart, J.] Univ Maryland, Dept Phys, College Pk, MD 20742 USA; [Beatty, J. J.] Ohio State Univ, Dept Astron, McPherson Lab 4055, 140 West 18th Ave, Columbus, OH 43210 USA; [Besson, D. Z.; Kennedy, D.; Stockham, J.; Stockham, M.] Univ Kansas, Dept Phys &amp; Astron, Lawrence, KS 66045 USA; [Besson, D. Z.; Novikov, A.] Natl Res Nucl Univ, Moscow Engn Phys Inst, Moscow 115409, Russia; [Bora, C.; Kravchenko, I.; Shultz, A.] Univ Nebraska, Dept Phys &amp; Astron, Lincoln, NE 68588 USA; [Chen, C-C; Chen, C. -H.; Chen, P.; Hsu, S. -Y.; Hu, L.; Huang, J-J; Huang, M. -H. A.; Li, C. -J.; Liu, T. C.; Nam, J.; Shiao, Y. -S.; Wang, M. -Z.; Wang, S. -H.] Natl Taiwan Univ, Dept Phys, Grad Inst Astrophys, Taipei 10617, Taiwan; [Chen, C-C; Chen, C. -H.; Chen, P.; Hsu, S. -Y.; Hu, L.; Huang, J-J; Huang, M. -H. A.; Li, C. -J.; Liu, T. C.; Nam, J.; Shiao, Y. -S.; Wang, M. -Z.; Wang, S. -H.] Natl Taiwan Univ, Leung Ctr Cosmol &amp; Particle Astrophys, Taipei 10617, Taiwan; [Christenson, A.; Duvernois, M.; Haugen, J.; Karle, A.; Kelley, J. L.; Laundrie, A.; Lu, M. -Y.; Sandstrom, P.] Univ Wisconsin, Dept Phys, Madison, WI 53703 USA; [Christenson, A.; Duvernois, M.; Haugen, J.; Karle, A.; Kelley, J. L.; Laundrie, A.; Lu, M. -Y.; Sandstrom, P.] Univ Wisconsin, Wisconsin IceCube Particle Astrophys Ctr, Madison, WI 53703 USA; [Davies, J.; Nichol, R. J.] UCL, Dept Phys &amp; Astron, Mortimer St, London WC1E 6BT, England; [Fox, B.; Gorham, P. W.; Hill, B.; Macchiarulo, L.; Meyhandan, R.; Miki, C.; Morse, R.; Ritter, L.; Rotter, B.; Varner, G. S.] Univ Hawaii, Dept Phys &amp; Astron, Honolulu, HI 96822 USA; [Gaior, R.; Ishihara, A.; Kuwabara, T.; Mase, K.; Relich, M.; Yoshida, S.] Chiba Univ, Dept Phys, Chiba 2638522, Japan; [Hanson, K.; Meures, T.; O'Murchadha, A.; Yang, Y.] Univ Libre Bruxelles, IIHE, B-1050 Brussels, Belgium; [Landsman, H.; Nir, G.] Weizmann Inst Sci, IL-7610001 Rehovot, Israel; [Ratzlaff, K.; Young, R.] Univ Kansas, Instrumentat Design Lab, Lawrence, KS 66045 USA; [Seckel, D.] Univ Delaware, Dept Phys &amp; Astron, Newark, DE 19716 USA</t>
  </si>
  <si>
    <t>University System of Ohio; Ohio State University; University System of Ohio; Ohio State University; University System of Maryland; University of Maryland College Park; University System of Ohio; Ohio State University; University of Kansas; National Research Nuclear University MEPhI (Moscow Engineering Physics Institute); University of Nebraska System; University of Nebraska Lincoln; National Taiwan University; National Taiwan University; University of Wisconsin System; University of Wisconsin Madison; University of Wisconsin System; University of Wisconsin Madison; University of London; University College London; University of Hawaii System; Chiba University; Universite Libre de Bruxelles; Vrije Universiteit Brussel; Weizmann Institute of Science; University of Kansas; University of Delaware</t>
  </si>
  <si>
    <t>Meures, T (corresponding author), Univ Libre Bruxelles, IIHE, B-1050 Brussels, Belgium.</t>
  </si>
  <si>
    <t>thomas.meures@icecube.wisc.edu</t>
  </si>
  <si>
    <t>Ratzlaff, Kenneth/G-6221-2017; Chen, Pisin/IAO-8769-2023; Nichol, Ryan/C-1645-2008; Novikov, Alexander S/L-7538-2016; Nir, Guy/HJJ-0199-2023; Beatty, James/D-9310-2011; Huang, Jian Jang/L-9953-2016</t>
  </si>
  <si>
    <t>Chen, Pisin/0000-0001-5251-7210; Nichol, Ryan/0000-0003-0557-0443; Beatty, James/0000-0003-0481-4952; Allison, Patrick/0000-0001-8141-2653; Novikov, Alexander/0000-0002-1086-7252; Gorham, Peter/0000-0002-0923-9363; Kelley, John/0000-0002-0846-4542; Huang, Minghuey/0000-0002-8325-6233; Hanson, Jordan/0000-0003-4055-4553; Macchiarulo, Luca/0009-0004-1141-0344; Yoshida, Shigeru/0000-0003-2480-5105; Wang, Shih-Hao/0000-0002-0060-7975; Li, Chuan-Jui/0000-0003-1449-7284</t>
  </si>
  <si>
    <t>National Science Foundation [NSF OPP-1002483, NSF OPP-1359535]; Taiwan National Science Councils Vanguard Program; Belgian F.R.S.-FNRS [4.4508.01]; University of Wisconsin Alumni Research Foundation; University of Maryland; Ohio State University; National Science Foundation through CAREER [1255557, 0847658]; Ohio Supercomputer Center; United States-Israel Binational Science Foundation [2012077]; National Science Foundation through BIGDATA [1250720]; National Research Nuclear University MEPhi (Moscow Engineering Physics Institute); Leverhulme Trust; NSC [102-2628-M-002-010]; Direct For Mathematical &amp; Physical Scien; Division Of Physics [1255557, 1404262, 0847658] Funding Source: National Science Foundation; Division Of Physics; Direct For Mathematical &amp; Physical Scien [1404212] Funding Source: National Science Foundation; Div Of Information &amp; Intelligent Systems; Direct For Computer &amp; Info Scie &amp; Enginr [1250720] Funding Source: National Science Foundation</t>
  </si>
  <si>
    <t>National Science Foundation(National Science Foundation (NSF)); Taiwan National Science Councils Vanguard Program; Belgian F.R.S.-FNRS(Fonds de la Recherche Scientifique - FNRS); University of Wisconsin Alumni Research Foundation; University of Maryland; Ohio State University(Ohio State University); National Science Foundation through CAREER; Ohio Supercomputer Center; United States-Israel Binational Science Foundation(US-Israel Binational Science Foundation); National Science Foundation through BIGDATA; National Research Nuclear University MEPhi (Moscow Engineering Physics Institute); Leverhulme Trust(Leverhulme Trust); NSC(Ministry of Science and Technology, Taiwan); Direct For Mathematical &amp; Physical Scien; Division Of Physics(National Science Foundation (NSF)NSF - Directorate for Mathematical &amp; Physical Sciences (MPS)); Division Of Physics; Direct For Mathematical &amp; Physical Scien(National Science Foundation (NSF)NSF - Directorate for Mathematical &amp; Physical Sciences (MPS)); Div Of Information &amp; Intelligent Systems; Direct For Computer &amp; Info Scie &amp; Enginr(National Science Foundation (NSF)NSF - Directorate for Computer &amp; Information Science &amp; Engineering (CISE))</t>
  </si>
  <si>
    <t>nil We thank the National Science Foundation for their generous support through Grants No. NSF OPP-1002483 and No. NSF OPP-1359535. We further thank the Taiwan National Science Councils Vanguard Program, NSC Grant No. 102-2628-M-002-010, and the Belgian F.R.S.-FNRS Grant No. 4.4508.01. We are grateful to the U.S. National Science Foundation Office of Polar Programs and the U.S. National Science Foundation Physics Division. We also thank the University of Wisconsin Alumni Research Foundation, the University of Maryland and the Ohio State University for their support. Furthermore, we are grateful to the Raytheon Polar Services Corporation and the Antarctic Support Contractor, Lockheed, for field support. A. Connolly thanks the National Science Foundation for their support through CAREER Grant No. 1255557 and the Ohio Supercomputer Center. K. Hoffman likewise thanks the National Science Foundation for their support through CAREER Grant No. 0847658. A. Connolly, H. Landsman and D. Besson thank the United States-Israel Binational Science Foundation for their support through Grant No. 2012077. A. Connolly, A. Karle and J. Kelley thank the National Science Foundation for the support through BIGDATA Grant No. 1250720. D. Besson and A. Novikov acknowledge support from National Research Nuclear University MEPhi (Moscow Engineering Physics Institute). R. Nichol thanks the Leverhulme Trust for their support.</t>
  </si>
  <si>
    <t>AMER PHYSICAL SOC</t>
  </si>
  <si>
    <t>COLLEGE PK</t>
  </si>
  <si>
    <t>ONE PHYSICS ELLIPSE, COLLEGE PK, MD 20740-3844 USA</t>
  </si>
  <si>
    <t>1550-7998</t>
  </si>
  <si>
    <t>1550-2368</t>
  </si>
  <si>
    <t>PHYS REV D</t>
  </si>
  <si>
    <t>Phys. Rev. D</t>
  </si>
  <si>
    <t>10.1103/PhysRevD.93.082003</t>
  </si>
  <si>
    <t>Astronomy &amp; Astrophysics; Physics, Particles &amp; Fields</t>
  </si>
  <si>
    <t>Astronomy &amp; Astrophysics; Physics</t>
  </si>
  <si>
    <t>DK5KN</t>
  </si>
  <si>
    <t>WOS:000374958900001</t>
  </si>
  <si>
    <t>Rosciano, NG; Polito, MJ; Rey, AR</t>
  </si>
  <si>
    <t>Rosciano, N. G.; Polito, M. J.; Rey, A. Raya</t>
  </si>
  <si>
    <t>Do penguins share? Evidence of foraging niche segregation between but not within two sympatric, central-place foragers</t>
  </si>
  <si>
    <t>Eudyptes chrysocome chrysocome; Spheniscus magellanicus; Stable isotopes; Niche partitioning; Isla de los Estados</t>
  </si>
  <si>
    <t>STABLE-ISOTOPE ANALYSIS; EUDYPTES-CHRYSOCOME-CHRYSOCOME; INTRA-SPECIFIC COMPETITION; MAGELLANIC PENGUINS; SPHENISCUS-MAGELLANICUS; INTERANNUAL VARIATION; REPRODUCTIVE SUCCESS; ZOOPLANKTON BIOMASS; POPULATION TRENDS; BREEDING SUCCESS</t>
  </si>
  <si>
    <t>Niche theory predicts that sympatric species should differentiate ecologically in order to co-exist and conspecifics will also differentiate to reduce intra-specific competition. As central-place foragers, colonial breeding seabirds represent an ideal model system to test this theory and examine the mechanism of niche segregation. We used GPS-TDlog devices for tracking and diving data and stable isotope analysis to examine patterns of inter-and intra-specific niche segregation among southern rockhopper penguins Eudyptes chrysocome chrysocome and Magellanic penguins Spheniscus magellanicus breeding on Isla de los Estados, Argentina, across 3 consecutive breeding seasons. Tracking data indicated strong inter-specific spatial segregation of foraging locations and little overlap. Diving data also highlighted vertical foraging niche segregation as female rockhopper penguins dove deeper than male and female Magellanic penguins. delta C-13 values supported the general pattern of habitat segregation, with lower values for female rockhopper penguins that dove deeper and foraged off the shelf break. Female rockhopper penguins exhibited a lower relative trophic value (delta N-15) than male and female Magellanic penguins, consistent with previous dietary studies of both species. These differences likely act to reduce competition between the 2 species during the breeding season, when they are constrained to exploit the resources around their colonies. In contrast, male and female Magellanic penguins shared a similar foraging niche as measured by areas used to forage, dive depths, relative habitat use and trophic values. The lack of sex-specific foraging niche segregation of Magellanic penguins at Isla de los Estados could be related to the availability of food in the area and/or the small population size.</t>
  </si>
  <si>
    <t>[Rosciano, N. G.; Rey, A. Raya] Consejo Nacl Invest Cient &amp; Tecn, Ecol &amp; Conservac Vida Silvestre, Ctr Austral Invest Cient, Bernardo A Houssay 200 V9410CAB, Ushuaia, Tierra Del Fueg, Argentina; [Polito, M. J.] Louisiana State Univ, Dept Oceanog &amp; Coastal Sci, Baton Rouge, LA 70803 USA; [Rey, A. Raya] Univ Tierra del Fuego, Darwin S-N, RA-9410 Ushuaia, Tierra Del Fueg, Argentina</t>
  </si>
  <si>
    <t>Consejo Nacional de Investigaciones Cientificas y Tecnicas (CONICET); Louisiana State University System; Louisiana State University</t>
  </si>
  <si>
    <t>Rosciano, NG (corresponding author), Consejo Nacl Invest Cient &amp; Tecn, Ecol &amp; Conservac Vida Silvestre, Ctr Austral Invest Cient, Bernardo A Houssay 200 V9410CAB, Ushuaia, Tierra Del Fueg, Argentina.</t>
  </si>
  <si>
    <t>natirosciano@yahoo.com</t>
  </si>
  <si>
    <t>Rosciano, Natalia/Z-5302-2019; Polito, Michael/G-9118-2012</t>
  </si>
  <si>
    <t>Rosciano, Natalia/0000-0002-6341-3086; Polito, Michael/0000-0001-8639-4431; Raya Rey, Andrea/0000-0003-0127-6650</t>
  </si>
  <si>
    <t>Agencia Nacional de Promocion Cientifica y Tecnologica (PICT) [1520]; Wildlife Conservation Society; Consejo Nacional de Investigaciones Cientificas y Tecnicas (Rosciano PhD fellowship); BEC.AR-Fulbright program; Argentine Presidential Fellowship in Science and Technology (Rosciano fellowship); Antarctic Research Trust</t>
  </si>
  <si>
    <t>Agencia Nacional de Promocion Cientifica y Tecnologica (PICT)(ANPCyT); Wildlife Conservation Society; Consejo Nacional de Investigaciones Cientificas y Tecnicas (Rosciano PhD fellowship); BEC.AR-Fulbright program; Argentine Presidential Fellowship in Science and Technology (Rosciano fellowship); Antarctic Research Trust</t>
  </si>
  <si>
    <t>This study was financially supported by the Agencia Nacional de Promocion Cientifica y Tecnologica (PICT 2010 No. 1520), Wildlife Conservation Society, Consejo Nacional de Investigaciones Cientificas y Tecnicas (Rosciano PhD fellowship) and the BEC.AR-Fulbright program, Argentine Presidential Fellowship in Science and Technology (Rosciano fellowship). The authors especially thank the Antarctic Research Trust and Dr. Klemens Putz for generously providing the funding for the GPS-TDlogs. Thank you also to R. Saenz Samaniego for logistic support and fieldwork assistance; Juan Romanelli, Sabrina Harris, Valeria Bruno and Mariel Guala for fieldwork assistance; and K. Duernberger, S. Emslie, and C. Lane for helpful assistance with stable isotope analysis. Special thanks go to the Argentine Navy and Henk Boersma for transportation to Isla de los Estados. We are grateful for the anonymous reviewers who improved the manuscript with their comments and suggestions.</t>
  </si>
  <si>
    <t>APR 21</t>
  </si>
  <si>
    <t>10.3354/meps11689</t>
  </si>
  <si>
    <t>DM5GF</t>
  </si>
  <si>
    <t>WOS:000376375000018</t>
  </si>
  <si>
    <t>Williams, CM; Dupont, AM; Loevenich, J; Post, AF; Dinasquet, J; Yager, PL</t>
  </si>
  <si>
    <t>Williams, C. M.; Dupont, A. M.; Loevenich, J.; Post, A. F.; Dinasquet, J.; Yager, P. L.</t>
  </si>
  <si>
    <t>Pelagic microbial heterotrophy in response to a highly productive bloom of Phaeocystis antarctica in the Amundsen Sea Polynya, Antarctica</t>
  </si>
  <si>
    <t>ELEMENTA-SCIENCE OF THE ANTHROPOCENE</t>
  </si>
  <si>
    <t>PARTICULATE ORGANIC-MATTER; ROSS SEA; BACTERIAL PRODUCTION; MARINE VIRUSES; PHYTOPLANKTON DYNAMICS; LEUCINE INCORPORATION; COMMUNITY STRUCTURE; GROWTH EFFICIENCY; PROTEIN-SYNTHESIS; CLIMATE-CHANGE</t>
  </si>
  <si>
    <t>Heterotrophic bacteria play a key role in marine carbon cycling, and understanding their activities in polar systems is important for considering climate change impacts there. One goal of the ASPIRE project was to examine the relationship between the phytoplankton bloom and bacterial heterotrophy in the Amundsen Sea Polynya (ASP). Bacterial abundance, production (BP), respiration, growth efficiency, and extracellular enzyme activity (EEA) were compared to nutrient and organic matter inventories, chlorophyll a (Chl a), viral and microzooplankton abundance, and net primary production (NPP). Bacterial production and respiration clearly responded (0.04-4.0 and 10-53 mu g C L-1 d(-1), respectively) to the buildup of a massive Phaeocystis antarctica bloom (Chl a: 0.2-22 mu g L-1), with highest rates observed in the central polynya where Chl a and particulate organic carbon (POC) were greatest. The highest BP rates exceeded those reported for the Ross Sea or any other Antarctic coastal system, yet the BP: NPP ratio (2.1-9.4%) was relatively low. Bacterial respiration was also high, and growth efficiency (2-27%; median = 10%) was similar to oligotrophic systems. Thus, the integrated bacterial carbon demand (0.8-2.8 g C m(-2) d(-1)) was a high fraction (25-128%; median = 43%) of NPP during bloom development. During peak bloom, activity was particle-associated: BP and EEA correlated well with POC, and size fractionation experiments showed that the larger size fraction (&gt; 3 mu m) accounted for a majority (similar to 75%) of the BP. The community was psychrophilic, with a 5x reduction in BP when warmed to 20 degrees C. In deeper waters, respiration remained relatively high, likely fueled by the significant downward particle flux in the region. A highly active, particle-associated, heterotrophic microbial community clearly responded to the extraordinary phytoplankton bloom in the ASP, likely limiting biological pump efficiency during the early season.</t>
  </si>
  <si>
    <t>[Williams, C. M.; Dupont, A. M.; Loevenich, J.; Yager, P. L.] Univ Georgia, Dept Marine Sci, Athens, GA 30602 USA; [Post, A. F.] URI, Grad Sch Oceanog, Narragansett, RI USA; [Dinasquet, J.] Univ Copenhagen, Marine Biol Sect, Helsingor, Denmark; [Dinasquet, J.] Linnaeus Univ, Dept Nat Sci, Kalmar, Sweden</t>
  </si>
  <si>
    <t>University System of Georgia; University of Georgia; University of Copenhagen; Linnaeus University</t>
  </si>
  <si>
    <t>Yager, PL (corresponding author), Univ Georgia, Dept Marine Sci, Athens, GA 30602 USA.</t>
  </si>
  <si>
    <t>pyager@uga.edu</t>
  </si>
  <si>
    <t>Yager, Patricia/K-8020-2014</t>
  </si>
  <si>
    <t>Yager, Patricia/0000-0002-8462-6427</t>
  </si>
  <si>
    <t>UNIV CALIFORNIA PRESS</t>
  </si>
  <si>
    <t>OAKLAND</t>
  </si>
  <si>
    <t>155 GRAND AVE, SUITE 400, OAKLAND, CA 94612-3758 USA</t>
  </si>
  <si>
    <t>2325-1026</t>
  </si>
  <si>
    <t>ELEMENTA-SCI ANTHROP</t>
  </si>
  <si>
    <t>Elementa-Sci. Anthrop.</t>
  </si>
  <si>
    <t>10.12952/journal.elementa.000102</t>
  </si>
  <si>
    <t>Environmental Sciences; Meteorology &amp; Atmospheric Sciences</t>
  </si>
  <si>
    <t>DO0HU</t>
  </si>
  <si>
    <t>WOS:000377460800001</t>
  </si>
  <si>
    <t>Lovvorn, JR; North, CA; Kolts, JM; Grebmeier, JM; Cooper, LW; Cui, XH</t>
  </si>
  <si>
    <t>Lovvorn, James R.; North, Christopher A.; Kolts, Jason M.; Grebmeier, Jacqueline M.; Cooper, Lee W.; Cui, Xuehua</t>
  </si>
  <si>
    <t>Projecting the effects of climate-driven changes in organic matter supply on benthic food webs in the northern Bering Sea</t>
  </si>
  <si>
    <t>Benthic communities; Deposit-feeders; Food web limitation; Food web models; Network models; Phytodetritus; Sediment organic matter</t>
  </si>
  <si>
    <t>ANTARCTIC PENINSULA SHELF; PORCUPINE ABYSSAL-PLAIN; MARINE-SEDIMENTS; TEMPERATURE-DEPENDENCE; CONTINENTAL-SHELF; TROPHIC STRUCTURE; PROTECTED AREAS; FUTURE CLIMATE; RAPID RESPONSE; CHUKCHI SEAS</t>
  </si>
  <si>
    <t>Climate-driven changes in seasonal sea ice are expected to affect the timing, magnitude, and fate of phytoplankton production. Production may be increased by longer ice-free periods, or decreased by reduced stratification of the water column without freshwater input from melting ice. Benthic deposit-feeders may experience changes in organic matter (OM) supply owing to altered phytoplankton production, increased zooplankton grazing, or redistribution of settling phytodetritus. Where most benthic taxa subsist on a longer-term pool of sediment OM and bacteria, communities may be partially buffered against varied inputs of phytodetritus. We used network models of benthic food webs in 3 sectors of the northern Bering Sea to simulate effects of changes in OM supply. In the models, sediment OM content, which integrates longer-term inputs of microalgae, was gradually reduced or increased over 10 yr to the lowest or highest levels observed among sampling stations. In both samples and model predictions, decreased sediment OM was linked to quite variable declines among trophic groups, with effective loss of some taxa. Increased sediment OM was coupled with moderate to dramatic increases of different taxa, sometimes with lagged peaks and declines of prey and predators. In the models, meiofauna, protists, and bacteria responded quickly, while macrofauna exhibited 2 yr delays, suggesting short-term but limited buffering by the sediment OM pool. Our results indicate that climate-related changes in phytodetrital inputs can lead to important shifts in benthic biomass, community structure, and functional diversity, with loss of various common taxa.</t>
  </si>
  <si>
    <t>[Lovvorn, James R.] So Illinois Univ, Dept Zool, Carbondale, IL 62901 USA; [Lovvorn, James R.] So Illinois Univ, Ctr Ecol, Carbondale, IL 62901 USA; [North, Christopher A.; Kolts, Jason M.] Univ Wyoming, Dept Zool &amp; Physiol, Laramie, WY 82071 USA; [Grebmeier, Jacqueline M.; Cooper, Lee W.] Univ Maryland, Ctr Environm Sci, Chesapeake Biol Lab, Solomons, MD 20688 USA; [Cui, Xuehua] Univ Tennessee, Dept Ecol &amp; Evolutionary Biol, Knoxville, TN 37996 USA; [North, Christopher A.] Univ Wyoming, Dept Bot, Laramie, WY 82071 USA; [Kolts, Jason M.] Metropolitan State Univ Denver, Dept Biol, Denver, CO 80217 USA</t>
  </si>
  <si>
    <t>Southern Illinois University System; Southern Illinois University; Southern Illinois University System; Southern Illinois University; University of Wyoming; University System of Maryland; University of Maryland Center for Environmental Science; University of Tennessee System; University of Tennessee Knoxville; University of Wyoming; Metropolitan State University of Denver</t>
  </si>
  <si>
    <t>Lovvorn, JR (corresponding author), So Illinois Univ, Dept Zool, Carbondale, IL 62901 USA.;Lovvorn, JR (corresponding author), So Illinois Univ, Ctr Ecol, Carbondale, IL 62901 USA.</t>
  </si>
  <si>
    <t>lovvorn@siu.edu</t>
  </si>
  <si>
    <t>Grebmeier, Jacqueline/L-9805-2013; Cooper, Lee W./E-5251-2012</t>
  </si>
  <si>
    <t>Grebmeier, Jacqueline/0000-0001-7624-3568; Cooper, Lee W./0000-0001-7734-8388</t>
  </si>
  <si>
    <t>US National Science Foundation, Office of Polar Programs [ARC-0454454, ARC-1263051]; North Pacific Research Board grant [713]; Office of Polar Programs (OPP); Directorate For Geosciences [1263051] Funding Source: National Science Foundation</t>
  </si>
  <si>
    <t>US National Science Foundation, Office of Polar Programs(National Science Foundation (NSF)); North Pacific Research Board grant; Office of Polar Programs (OPP); Directorate For Geosciences(National Science Foundation (NSF)NSF - Directorate for Geosciences (GEO))</t>
  </si>
  <si>
    <t>We thank the officers and crew of the US Coast Guard Cutter 'Healy' for logistical support. B. I. Sirenko, E. A. Anderson, M. L. Brooks, A. Roe Fujikama, M. Foster, H. Julien-Thon, C. Quitmeyer, L. Bass, K. Anderson Blomberg, H. Papczun-Farina, D. Watson, J. Borzea, and K. Hammond provided dedicated shipboard and laboratory assistance. Major funding was provided by the US National Science Foundation, Office of Polar Programs grants ARC-0454454 to J.R.L., J.M.G., and L.W.C.; ARC-1263051 to J.R.L.; and North Pacific Research Board grant #713 to J.R.L. (this is NPRB Publication no. 578).</t>
  </si>
  <si>
    <t>10.3354/meps11651</t>
  </si>
  <si>
    <t>WOS:000376375000002</t>
  </si>
  <si>
    <t>Horswill, C; Matthiopoulos, J; Ratcliffe, N; Green, JA; Trathan, PN; McGill, RAR; Phillips, RA; O'Connell, TC</t>
  </si>
  <si>
    <t>Horswill, C.; Matthiopoulos, J.; Ratcliffe, N.; Green, J. A.; Trathan, P. N.; McGill, R. A. R.; Phillips, R. A.; O'Connell, T. C.</t>
  </si>
  <si>
    <t>Drivers of intrapopulation variation in resource use in a generalist predator, the macaroni penguin</t>
  </si>
  <si>
    <t>Central-place constraint; Diet; Foraging range; Habitat use; Intrapopulation variation; Individual specialisation; Seabird; Stable isotope analysis</t>
  </si>
  <si>
    <t>INDIVIDUAL FORAGING SPECIALIZATION; EUDYPTES-CHRYSOLOPHUS; STABLE-ISOTOPES; KING PENGUINS; BIRD ISLAND; MARINE PREDATORS; CARBON; KRILL; SEA; VARIABILITY</t>
  </si>
  <si>
    <t>Intrapopulation variation in resource use occurs in many populations of generalist predators with important community and evolutionary implications. One of the hypothesised mechanisms for such widespread variation is ecological opportunity, i.e. resource availability determined by intrinsic constraints and extrinsic conditions. In this study, we combined tracking data and stable isotope analysis to examine how breeding constraints and prey conditions influenced intrapopulation variation in resource use in a generalist predator, the macaroni penguin Eudyptes chrysolophus. Isotopic variation was also examined as a function of breeding success, individual traits and individual specialisation. Variation in isotope ratios was greatest across multiple tissue types when birds were able to undertake mid-range foraging trips (i.e. during incubation and pre-moult). This variation was highly consistent between years that spanned a 3-fold difference in local prey Euphausia superba density, and was also highly consistent at the individual level between 2 years that had similar prey densities. Furthermore, by comparing our results with previous work on the same population, it appeared that a decrease in local prey availability can also increase intrapopulation variation in resource use during periods with more restricted foraging ranges (i.e. during brood-guard and creche). This study highlights the importance of considering ecological interactions that operate on multiple spatio-temporal scales when examining the drivers of resource use in populations of generalist predators.</t>
  </si>
  <si>
    <t>[Horswill, C.; Ratcliffe, N.; Trathan, P. N.; Phillips, R. A.] British Antarctic Survey, Nat Environm Res Council, Cambridge CB3 0ET, England; [Horswill, C.; Matthiopoulos, J.] Univ Glasgow, Inst Biodivers Anim Hlth &amp; Comparat Med, Glasgow G12 8QQ, Lanark, Scotland; [Green, J. A.] Univ Liverpool, Sch Environm Sci, Liverpool L69 3GP, Merseyside, England; [McGill, R. A. R.] Scottish Univ Environm Res Ctr, NERC Life Sci Mass Spectrometry Facil, E Kilbride G75 0QF, Lanark, Scotland; [O'Connell, T. C.] Univ Cambridge, Dept Archaeol &amp; Anthropol, Cambridge CB2 3DZ, England; [Horswill, C.] British Trust Ornithol, Thetford IP24 2PU, Norfolk, England</t>
  </si>
  <si>
    <t>UK Research &amp; Innovation (UKRI); Natural Environment Research Council (NERC); NERC British Antarctic Survey; University of Glasgow; University of Liverpool; UK Research &amp; Innovation (UKRI); Natural Environment Research Council (NERC); Scottish Universities Research &amp; Reactor Center; University of Cambridge; British Trust for Ornithology</t>
  </si>
  <si>
    <t>Horswill, C (corresponding author), British Antarctic Survey, Nat Environm Res Council, Cambridge CB3 0ET, England.;Horswill, C (corresponding author), Univ Glasgow, Inst Biodivers Anim Hlth &amp; Comparat Med, Glasgow G12 8QQ, Lanark, Scotland.;Horswill, C (corresponding author), British Trust Ornithol, Thetford IP24 2PU, Norfolk, England.</t>
  </si>
  <si>
    <t>catrsw@gmail.com</t>
  </si>
  <si>
    <t>Matthiopoulos, Jason/N-9808-2013; Green, Jonathan A/B-8799-2011; McGill, Rona/JAC-6969-2023; McGill, Rona/F-1793-2010</t>
  </si>
  <si>
    <t>Matthiopoulos, Jason/0000-0003-3639-8172; Green, Jonathan A/0000-0001-8692-0163; McGill, Rona/0000-0003-0400-7288; Horswill, Cat/0000-0002-1795-0753; O'Connell, Tamsin/0000-0002-4744-0332</t>
  </si>
  <si>
    <t>Natural Environment Research Council (NERC); NERC PhD studentship [NE/I52797/X]; NERC Collaborative Gearing Scheme [CGS-76]; NERC Life Sciences Mass Spectrometry Facility [EK204-14/12]; NERC [bas0100035, lsmsf010002] Funding Source: UKRI; Natural Environment Research Council [lsmsf010002, bas0100035] Funding Source: researchfish</t>
  </si>
  <si>
    <t>Natural Environment Research Council (NERC)(UK Research &amp; Innovation (UKRI)Natural Environment Research Council (NERC)); NERC PhD studentship(UK Research &amp; Innovation (UKRI)Natural Environment Research Council (NERC)); NERC Collaborative Gearing Scheme(UK Research &amp; Innovation (UKRI)Natural Environment Research Council (NERC)); NERC Life Sciences Mass Spectrometry Facility; NERC(UK Research &amp; Innovation (UKRI)Natural Environment Research Council (NERC)); Natural Environment Research Council(UK Research &amp; Innovation (UKRI)Natural Environment Research Council (NERC))</t>
  </si>
  <si>
    <t>Many thanks to Catherine Kneale (McDonald Institute for Archaeological Research, University of Cambridge), James Rolfe (Godwin Laboratory, Department of Earth Sciences, University of Cambridge) and those at Scottish Universities Environmental Research Centre for help with isotopic analyses. Thanks also to Dr. Ruth Brown, Jon Ashburner, Mick Mackey and Jennifer James for their assistance with fieldwork during 2012. We are also grateful to the Bird Island field assistants that supported collection of feather samples in previous years. Thanks are also extended to Dr. Tracey Rogers and Dr. Gabi Stowasser for early discussions on sample collection and preparation, to Dr. Ruedi Nager for comments on an earlier version of this manuscript, to Dr. Hannah Froy for discussions on the use of the trip package in R and to Dr. Sophie Fielding for valuable discussions regarding krill densities around South Georgia. Recognition is also extended to 4 anonymous reviewers for helpful comments on an earlier version of this manuscript. This study is part of the ecosystems component of the British Antarctic Survey Polar Science for Planet Earth Programme, funded by the Natural Environment Research Council (NERC). The analysis was funded by a NERC PhD studentship grant number NE/I52797/X, the 2012 fieldwork was funded by the NERC Collaborative Gearing Scheme grant number CGS-76 and the SI analysis was funded by the NERC Life Sciences Mass Spectrometry Facility grant number EK204-14/12.</t>
  </si>
  <si>
    <t>10.3354/meps11626</t>
  </si>
  <si>
    <t>WOS:000376375000017</t>
  </si>
  <si>
    <t>Hughes, C; Sun, S</t>
  </si>
  <si>
    <t>Hughes, Claire; Sun, Shuo</t>
  </si>
  <si>
    <t>Light and brominating activity in two species of marine diatom</t>
  </si>
  <si>
    <t>Bromine; Diatoms; Ocean; Physiology</t>
  </si>
  <si>
    <t>BROMOFORM; RELEASE; IODINE; DIBROMOMETHANE; BIOSYNTHESIS; TRANSITIONS; MACROALGAE; RESPONSES; SEAWATER</t>
  </si>
  <si>
    <t>Marine organisms mediate the formation of volatile inorganic (e.g. HOBr) and organic halogens (e.g. CHBr3) and contribute to the sea-to-air emission of bromine and iodine. This air-sea halogen exchange has implications for atmospheric chemistry. It is important to establish the physiological function of halogen metabolism in key groups of marine organisms to permit predictive model development. In this study a series of laboratory experiments was performed to investigate the link between the availability of photosynthetically active radiation (PAR) and brominating activity, as measured by the bromination of phenol red, in two cold-water marine diatoms (Thalassiosira antarctica, CCAP 1085/25; Porosira glacialis, CCMP 668). Brominating activity in T. antarctica was found to change in response to short term changes in photon flux density and to have a strong positive linear relationship with gross photosynthetic rate up to 260 mu mol O-2 (mg chla)(-1) h(-1). Experiments performed across multiple diel cycles showed that light-phase brominating activities in T. antarctica were a factor of 2.8 (+/-1.0) higher than those measured in the dark. Whilst P. glacialis showed no response to short term changes in PFD, measurements across a number of diel cycles revealed that light-phase brominating activities in this diatom were significantly higher than those in the dark by a factor of 1.3 (+/-0.3). The addition of 0.1 mu M H2O2 to the medium of T. antarctica cultures led to a significant increase in brominating activity by a factor of 2.4 (+/-03) relative to no-addition controls but no such response was seen in P. glacialis. These results suggest that there is a link between PAR light availability and brominating activity in marine diatoms but that the nature of this relationship differs between species. By establishing a potential link with common ecosystem model state variables (light and photosynthesis) this work provides the first step towards developing a predictive capability for brominating activity in the marine environment. More work is needed to assess the potential for developing generalised parameterisations between PAR light availability and brominating activity in diatom species representative of a wider range of ocean regions. (C) 2016 The Authors. Published by Elsevier B.V.</t>
  </si>
  <si>
    <t>[Hughes, Claire; Sun, Shuo] Univ York, Dept Environm, York YO10 5DD, N Yorkshire, England</t>
  </si>
  <si>
    <t>University of York - UK</t>
  </si>
  <si>
    <t>Hughes, C (corresponding author), Univ York, Dept Environm, York YO10 5DD, N Yorkshire, England.</t>
  </si>
  <si>
    <t>NERC New Investigators grant [NE/K000454/1]; NERC Antarctic Funding Initiative project [NE/E013287/1]; Environment Department at the University of York; University of York Research Priming Fund; Natural Environment Research Council [NE/E013287/1, NE/K000454/1] Funding Source: researchfish; NERC [NE/E013287/1, NE/K000454/1] Funding Source: UKRI</t>
  </si>
  <si>
    <t>NERC New Investigators grant; NERC Antarctic Funding Initiative project; Environment Department at the University of York; University of York Research Priming Fund; Natural Environment Research Council(UK Research &amp; Innovation (UKRI)Natural Environment Research Council (NERC)); NERC(UK Research &amp; Innovation (UKRI)Natural Environment Research Council (NERC))</t>
  </si>
  <si>
    <t>We acknowledge the NERC New Investigators grant award to CH which funded this work (Hughes, NE/K000454/1) and the NERC Antarctic Funding Initiative project in which the T. antarctica culture used in this study was isolated (Liss, NE/E013287/1). SS acknowledges an Overseas PhD Student Bursary award from the Environment Department at the University of York which provided financial support to allow her to perform some of the method validation and experimental work included in this manuscript. Funds from the University of York Research Priming Fund also allowed us to hold a workshop in which some of the ideas explored in this study were developed. We also thank two anonymous reviewers for their insightful comments.</t>
  </si>
  <si>
    <t>APR 20</t>
  </si>
  <si>
    <t>10.1016/j.marchem.2016.02.003</t>
  </si>
  <si>
    <t>DK8FV</t>
  </si>
  <si>
    <t>WOS:000375163500001</t>
  </si>
  <si>
    <t>Jung, W; Campbell, RL; Gwak, Y; Kim, JI; Davies, PL; Jin, E</t>
  </si>
  <si>
    <t>Jung, Woongsic; Campbell, Robert L.; Gwak, Yunho; Kim, Jong Im; Davies, Peter L.; Jin, EonSeon</t>
  </si>
  <si>
    <t>New Cysteine-Rich Ice-Binding Protein Secreted from Antarctic Microalga, Chloromonas sp.</t>
  </si>
  <si>
    <t>HYPERACTIVE ANTIFREEZE PROTEIN; HORIZONTAL GENE-TRANSFER; SP-NOV VOLVOCALES; SEA-ICE; CONTINENTAL ANTARCTICA; ELECTRON-MICROSCOPY; WINDMILL ISLANDS; SNOW; EXPRESSION; CHLOROPHYCEAE</t>
  </si>
  <si>
    <t>Many microorganisms in Antarctica survive in the cold environment there by producing ice-binding proteins (IBPs) to control the growth of ice around them. An IBP from the Antarctic freshwater microalga, Chloromonas sp., was identified and characterized. The length of the Chloromonas sp. IBP (ChloroIBP) gene was 3.2 kb with 12 exons, and the molecular weight of the protein deduced from the ChloroIBP cDNA was 34.0 kDa. Expression of the ChloroIBP gene was up-and down-regulated by freezing and warming conditions, respectively. Western blot analysis revealed that native ChloroIBP was secreted into the culture medium. This protein has fifteen cysteines and is extensively disulfide bonded as shown by in-gel mobility shifts between oxidizing and reducing conditions. The open-reading frame of ChloroIBP was cloned and over-expressed in Escherichia coli to investigate the IBP's biochemical characteristics. Recombinant ChloroIBP produced as a fusion protein with thioredoxin was purified by affinity chromatography and formed single ice crystals of a dendritic shape with a thermal hysteresis activity of 0.4 +/- 0.02 degrees C at a concentration of 5 mg/ml. In silico structural modeling indicated that the three-dimensional structure of ChloroIBP was that of a right-handed beta-helix. Site-directed mutagenesis of ChloroIBP showed that a conserved region of six parallel T-X-T motifs on the beta-2 face was the ice-binding region, as predicted from the model. In addition to disulfide bonding, hydrophobic interactions between inward-pointing residues on the beta-1 and beta-2 faces, in the region of ice-binding motifs, were crucial to maintaining the structural conformation of ice-binding site and the ice-binding activity of ChloroIBP.</t>
  </si>
  <si>
    <t>[Jung, Woongsic; Gwak, Yunho; Jin, EonSeon] Hanyang Univ, Dept Life Sci, Seoul 133791, South Korea; [Kim, Jong Im] Chungnam Natl Univ, Dept Biol, Daejeon, South Korea; [Campbell, Robert L.; Davies, Peter L.] Queens Univ, Dept Biomed &amp; Mol Sci, Kingston, ON K7L 3N6, Canada</t>
  </si>
  <si>
    <t>Hanyang University; Chungnam National University; Queens University - Canada</t>
  </si>
  <si>
    <t>Jin, E (corresponding author), Hanyang Univ, Dept Life Sci, Seoul 133791, South Korea.;Davies, PL (corresponding author), Queens Univ, Dept Biomed &amp; Mol Sci, Kingston, ON K7L 3N6, Canada.</t>
  </si>
  <si>
    <t>peter.davies@queensu.ca; esjin@hanyang.ac.kr</t>
  </si>
  <si>
    <t>Kim, Jong Im/D-3688-2013; Jin, EonSeon/AAW-6839-2020</t>
  </si>
  <si>
    <t>Jin, EonSeon/0000-0001-5691-0124; Campbell, Robert/0000-0002-5473-5876</t>
  </si>
  <si>
    <t>Korea CCS R&amp;D Center (KCRC) of National Research Foundation [NRF-2014M1A8A1049273]; Basic Core Technology Development Program for the Oceans and the Polar Regions of National Research Foundation - Korean government (Ministry of Science, ICT. &amp; Future Planning) [NRF-2015M1A5A1037053]; CIHR</t>
  </si>
  <si>
    <t>Korea CCS R&amp;D Center (KCRC) of National Research Foundation; Basic Core Technology Development Program for the Oceans and the Polar Regions of National Research Foundation - Korean government (Ministry of Science, ICT. &amp; Future Planning)(Ministry of Science, ICT &amp; Future Planning, Republic of Korea); CIHR(Canadian Institutes of Health Research (CIHR))</t>
  </si>
  <si>
    <t>This work was supported by funding to EJ, who holds Korea CCS R&amp;D Center (KCRC) of National Research Foundation (NRF-2014M1A8A1049273) and by funding from the Basic Core Technology Development Program for the Oceans and the Polar Regions of National Research Foundation (NRF-2015M1A5A1037053) funded by the Korean government (Ministry of Science, ICT. &amp; Future Planning). PLD, who holds a Canada Research Chair in Protein Engineering, acknowledges funding from CIHR. The funders had no role in study design, data collection and analysis, decision to publish, or preparation of the manuscript.</t>
  </si>
  <si>
    <t>e0154056</t>
  </si>
  <si>
    <t>10.1371/journal.pone.0154056</t>
  </si>
  <si>
    <t>DJ9OU</t>
  </si>
  <si>
    <t>Green Published, Green Submitted, gold</t>
  </si>
  <si>
    <t>WOS:000374543600084</t>
  </si>
  <si>
    <t>Williams, NL; Juranek, LW; Johnson, KS; Feely, RA; Riser, SC; Talley, LD; Russell, JL; Sarmiento, JL; Wanninkhof, R</t>
  </si>
  <si>
    <t>Williams, N. L.; Juranek, L. W.; Johnson, K. S.; Feely, R. A.; Riser, S. C.; Talley, L. D.; Russell, J. L.; Sarmiento, J. L.; Wanninkhof, R.</t>
  </si>
  <si>
    <t>Empirical algorithms to estimate water column pH in the Southern Ocean</t>
  </si>
  <si>
    <t>ANTHROPOGENIC CARBON; CO2; ACIDIFICATION; ALKALINITY; CONSTANT; SEAWATER</t>
  </si>
  <si>
    <t>Empirical algorithms are developed using high-quality GO-SHIP hydrographic measurements of commonly measured parameters (temperature, salinity, pressure, nitrate, and oxygen) that estimate pH in the Pacific sector of the Southern Ocean. The coefficients of determination, R-2, are 0.98 for pH from nitrate (pH(N)) and 0.97 for pH from oxygen (pH(Ox)) with RMS errors of 0.010 and 0.008, respectively. These algorithms are applied to Southern Ocean Carbon and Climate Observations and Modeling (SOCCOM) biogeochemical profiling floats, which include novel sensors (pH, nitrate, oxygen, fluorescence, and backscatter). These algorithms are used to estimate pH on floats with no pH sensors and to validate and adjust pH sensor data from floats with pH sensors. The adjusted float data provide, for the first time, seasonal cycles in surface pH on weekly resolution that range from 0.05 to 0.08 on weekly resolution for the Pacific sector of the Southern Ocean.</t>
  </si>
  <si>
    <t>[Williams, N. L.; Juranek, L. W.] Oregon State Univ, Coll Earth Ocean &amp; Atmospher Sci, Corvallis, OR 97331 USA; [Johnson, K. S.] Monterey Bay Aquarium Res Inst, Moss Landing, CA USA; [Feely, R. A.] NOAA, Pacific Marine Environm Lab, 7600 Sand Point Way Ne, Seattle, WA 98115 USA; [Riser, S. C.] Univ Washington, Sch Oceanog, Seattle, WA 98195 USA; [Talley, L. D.] Univ Calif San Diego, Scripps Inst Oceanog, La Jolla, CA 92093 USA; [Russell, J. L.] Univ Arizona, Dept Geosci, Tucson, AZ 85721 USA; [Sarmiento, J. L.] Princeton Univ, Program Atmospher &amp; Ocean Sci, Princeton, NJ 08544 USA; [Wanninkhof, R.] NOAA, Atlantic Oceanog &amp; Meteorol Lab, Miami, FL 33149 USA</t>
  </si>
  <si>
    <t>Oregon State University; Monterey Bay Aquarium Research Institute; National Oceanic Atmospheric Admin (NOAA) - USA; University of Washington; University of Washington Seattle; University of California System; University of California San Diego; Scripps Institution of Oceanography; University of Arizona; Princeton University; National Oceanic Atmospheric Admin (NOAA) - USA; National Oceanic Atmospheric Admin (NOAA) - USA; Atlantic Oceanographic &amp; Meteorological Laboratory (AOML)</t>
  </si>
  <si>
    <t>Williams, NL (corresponding author), Oregon State Univ, Coll Earth Ocean &amp; Atmospher Sci, Corvallis, OR 97331 USA.</t>
  </si>
  <si>
    <t>nancy.williams@oregonstate.edu</t>
  </si>
  <si>
    <t>Williams, Nancy/I-3472-2015; Feely, Richard A./ABI-5740-2020; Williams, Nancy L./ABH-4755-2020; Johnson, Kenneth/F-9742-2011</t>
  </si>
  <si>
    <t>Williams, Nancy/0000-0002-6541-9385; Williams, Nancy L./0000-0002-6541-9385; Talley, Lynne/0000-0003-1574-729X; Russell, Joellen/0000-0001-9937-6056; Johnson, Kenneth/0000-0001-5513-5584; Juranek, Laurie/0000-0002-4922-8263</t>
  </si>
  <si>
    <t>U.S. National Science Foundation's Southern Ocean Carbon and Climate Observations and Modeling (SOCCOM) Project under the NSF Award [PLR-1425989]; U.S. Argo through NOAA/JISAO grant [NA17RJ1232]; ARCS Foundation Portland Chapter; Office of Polar Programs (OPP); Directorate For Geosciences [1246247, 1353103] Funding Source: National Science Foundation</t>
  </si>
  <si>
    <t>U.S. National Science Foundation's Southern Ocean Carbon and Climate Observations and Modeling (SOCCOM) Project under the NSF Award; U.S. Argo through NOAA/JISAO grant; ARCS Foundation Portland Chapter; Office of Polar Programs (OPP); Directorate For Geosciences(National Science Foundation (NSF)NSF - Directorate for Geosciences (GEO))</t>
  </si>
  <si>
    <t>The measurement methods, calibration, and quality control for all discrete bottle data used in this study are available at http://cchdo.ucsd.edu, and all SOCCOM float data are available at http://soccom.princeton.edu/soccomviz.php. This work was sponsored by the U.S. National Science Foundation's Southern Ocean Carbon and Climate Observations and Modeling (SOCCOM) Project under the NSF Award PLR-1425989. Logistical support for this project in Antarctic waters was provided by the U.S. National Science Foundation through the U.S. Antarctic Program. Additionally, we acknowledge support from U.S. Argo through NOAA/JISAO grant NA17RJ1232 to the University of Washington. Nancy Williams is also supported by the ARCS Foundation Portland Chapter. This is PMEL contribution 4417.</t>
  </si>
  <si>
    <t>APR 16</t>
  </si>
  <si>
    <t>10.1002/2016GL068539</t>
  </si>
  <si>
    <t>DL3MG</t>
  </si>
  <si>
    <t>WOS:000375537300048</t>
  </si>
  <si>
    <t>Podglajen, A; Hertzog, A; Plougonven, R; Legras, B</t>
  </si>
  <si>
    <t>Podglajen, Aurelien; Hertzog, Albert; Plougonven, Riwal; Legras, Bernard</t>
  </si>
  <si>
    <t>Lagrangian temperature and vertical velocity fluctuations due to gravity waves in the lower stratosphere</t>
  </si>
  <si>
    <t>EQUATORIAL LOWER STRATOSPHERE; PACIFIC EXPLORATORY MISSIONS; TROPICAL TROPOPAUSE LAYER; LONG-DURATION; MOMENTUM FLUX; INSTANTANEOUS FLUCTUATIONS; SUPERPRESSURE BALLOONS; UPPER TROPOSPHERE; NUMBER SPECTRA; ICE NUCLEATION</t>
  </si>
  <si>
    <t>Wave-induced Lagrangian fluctuations of temperature and vertical velocity in the lower stratosphere are quantified using measurements from superpressure balloons (SPBs). Observations recorded every minute along SPB flights allow the whole gravity wave spectrum to be described and provide unprecedented information on both the intrinsic frequency spectrum and the probability distribution function of wave fluctuations. The data set has been collected during two campaigns coordinated by the French Space Agency in 2010, involving 19 balloons over Antarctica and 3 in the deep tropics. In both regions, the vertical velocity distributions depart significantly from a Gaussian behavior. Knowledge on such wave fluctuations is essential for modeling microphysical processes along Lagrangian trajectories. We propose a new simple parameterization that reproduces both the non-Gaussian distribution of vertical velocities (or heating/cooling rates) and their observed intrinsic frequency spectrum.</t>
  </si>
  <si>
    <t>[Podglajen, Aurelien; Plougonven, Riwal; Legras, Bernard] Univ Paris 06, Ecole Polytech, Ecole Normale Super, Lab Meteorol Dynam,Inst Pierre Simon Laplace,Cnrs, Paris, France; [Hertzog, Albert] Univ Paris 06, CNRS, IPSL, Meteorol Dynam Lab, Palaiseau, France</t>
  </si>
  <si>
    <t>Centre National de la Recherche Scientifique (CNRS); CNRS - National Institute for Earth Sciences &amp; Astronomy (INSU); Universite Paris Cite; Universite Paris Saclay; Universite PSL; Ecole Normale Superieure (ENS); Sorbonne Universite; Universite Paris Cite; Sorbonne Universite; Centre National de la Recherche Scientifique (CNRS)</t>
  </si>
  <si>
    <t>Podglajen, A (corresponding author), Univ Paris 06, Ecole Polytech, Ecole Normale Super, Lab Meteorol Dynam,Inst Pierre Simon Laplace,Cnrs, Paris, France.</t>
  </si>
  <si>
    <t>apodgla@lmd.ens.fr</t>
  </si>
  <si>
    <t>Legras, Bernard/HNI-8473-2023; Legras, Bernard/AAE-1352-2019</t>
  </si>
  <si>
    <t>Podglajen, Aurelien/0000-0001-9768-3511; Plougonven, Riwal/0000-0003-3310-8280</t>
  </si>
  <si>
    <t>Meteo-France; CNES; CNRS/INSU; NSF; NCAR; University of Wyoming; Purdue University; University of Colorado; Alfred Wegener Institute; Met Office; ECMWF; (Institut Polaire Franais Paul Emile Victor) IPEV; Programma Nazionale di Ricerche in Antartide (PNRA); United States Antarctic Program (USAP); (British Antarctic Survey) BAS; StraDyVariUS project - ANR [ANR-13-BS06-0011-01]; Agence Nationale de la Recherche (ANR) [ANR-13-BS06-0011] Funding Source: Agence Nationale de la Recherche (ANR)</t>
  </si>
  <si>
    <t>Meteo-France; CNES(Centre National D'etudes Spatiales); CNRS/INSU(Centre National de la Recherche Scientifique (CNRS)); NSF(National Science Foundation (NSF)); NCAR(National Science Foundation (NSF)NSF - Directorate for Geosciences (GEO)); University of Wyoming; Purdue University; University of Colorado; Alfred Wegener Institute; Met Office; ECMWF; (Institut Polaire Franais Paul Emile Victor) IPEV; Programma Nazionale di Ricerche in Antartide (PNRA); United States Antarctic Program (USAP); (British Antarctic Survey) BAS; StraDyVariUS project - ANR(Agence Nationale de la Recherche (ANR)); Agence Nationale de la Recherche (ANR)(Agence Nationale de la Recherche (ANR))</t>
  </si>
  <si>
    <t>SPB data used in this study can be obtained upon request from A.H. (albert.hertzog@lmd.polytechnique.fr). Concordiasi is an international project, currently supported by the following agencies: Meteo-France, CNES, CNRS/INSU, NSF, NCAR, University of Wyoming, Purdue University, University of Colorado, the Alfred Wegener Institute, the Met Office, and ECMWF. Concordiasi also benefits from logistic or financial support of the operational polar agencies (Institut Polaire Franais Paul Emile Victor) IPEV, Programma Nazionale di Ricerche in Antartide (PNRA), United States Antarctic Program (USAP) and (British Antarctic Survey) BAS, and from Baseline Surface Radiation Network (BSRN) measurements at Concordia. Concordiasi is part of The Observing System Research and Predictability Experiment International Polar Year (THORPEX-IPY) cluster within the International Polar Year effort. The authors acknowledge support from the StraDyVariUS project (ANR-13-BS06-0011-01) funded by ANR.</t>
  </si>
  <si>
    <t>10.1002/2016GL068148</t>
  </si>
  <si>
    <t>WOS:000375537300064</t>
  </si>
  <si>
    <t>Cassano, JJ; Nigro, MA; Lazzara, MA</t>
  </si>
  <si>
    <t>Cassano, John J.; Nigro, Melissa A.; Lazzara, Matthew A.</t>
  </si>
  <si>
    <t>Characteristics of the near-surface atmosphere over the Ross Ice Shelf, Antarctica</t>
  </si>
  <si>
    <t>Antarctica; automatic weather station; instrumented tower; self-organizing maps; surface layer</t>
  </si>
  <si>
    <t>HIGH SOUTHERN LATITUDES; STABLE BOUNDARY-LAYER; SELF-ORGANIZING MAPS; LOW-LEVEL JETS; TEMPERATURE INVERSION; RICHARDSON-NUMBER; WIND PATTERNS; CONTINENT; PLATEAU; STATION</t>
  </si>
  <si>
    <t>Two years of data from a 30m instrumented tower are used to characterize the near-surface atmospheric state over the Ross Ice Shelf, Antarctica. Stable stratification dominates the surface layer at this site, occurring 83% of the time. The strongest inversions occur for wind speeds less than 4ms(-1) and the inversion strength decreases rapidly as wind speed increases above 4ms(-1). In summer unstable stratification occurs 50% of the time and unstable conditions are observed in every season. A novel aspect of this work is the use of an artificial neural network pattern identification technique, known as self-organizing maps, to objectively identify characteristic potential temperature profiles that span the range of profiles present in the 2year study period. The self-organizing map clustering technique allows the more than 100,000 observed potential temperature profiles to be represented by just 30 patterns. The pattern-averaged winds show distinct and physically consistent relationships with the potential temperature profiles. The strongest winds occur for the nearly well mixed but slightly stable patterns and the weakest winds occur for the strongest inversion patterns. The weakest wind shear over the depth of the tower occurs for slightly unstable profiles and the largest wind shear occurs for moderately strong inversions. Pattern-averaged log wind profiles are consistent with theoretical expectations. The log wind profiles exhibit a kinked profile for the strongest inversion cases indicative of decoupling of the winds between the bottom and top of the tower.</t>
  </si>
  <si>
    <t>[Cassano, John J.; Nigro, Melissa A.] Univ Colorado, Cooperat Inst Res Environm Sci, Boulder, CO 80309 USA; [Cassano, John J.; Nigro, Melissa A.] Univ Colorado, Dept Atmospher &amp; Ocean Sci, Boulder, CO 80309 USA; [Lazzara, Matthew A.] Univ Wisconsin, Space Sci &amp; Engn Ctr, Antarctic Meteorol Res Ctr, Madison, WI USA; [Lazzara, Matthew A.] Madison Area Tech Coll, Sch Arts &amp; Sci, Dept Phys Sci, Madison, WI USA</t>
  </si>
  <si>
    <t>University of Colorado System; University of Colorado Boulder; University of Colorado System; University of Colorado Boulder; University of Wisconsin System; University of Wisconsin Madison</t>
  </si>
  <si>
    <t>Cassano, JJ (corresponding author), Univ Colorado, Cooperat Inst Res Environm Sci, Boulder, CO 80309 USA.;Cassano, JJ (corresponding author), Univ Colorado, Dept Atmospher &amp; Ocean Sci, Boulder, CO 80309 USA.</t>
  </si>
  <si>
    <t>john.cassano@colorado.edu</t>
  </si>
  <si>
    <t>Lazzara, Matthew/0000-0002-4343-498X; CASSANO, JOHN/0000-0003-3176-3978</t>
  </si>
  <si>
    <t>United States National Science Foundation [ANT-0943952, ANT-0944018, ANT-1245663, ANT-1245737]; Office of Polar Programs (OPP); Directorate For Geosciences [1245737, 1245663] Funding Source: National Science Foundation</t>
  </si>
  <si>
    <t>United States National Science Foundation(National Science Foundation (NSF)); Office of Polar Programs (OPP); Directorate For Geosciences(National Science Foundation (NSF)NSF - Directorate for Geosciences (GEO))</t>
  </si>
  <si>
    <t>This work was funded by the United States National Science Foundation grants ANT-0943952, ANT-0944018, ANT-1245663, and ANT-1245737. The authors thank the many people associated with the United States Antarctic Program that provided the logistic support for this effort. We thank the four reviewers for their time and useful comments which helped improve this manuscript. The Tall Tower AWS data used for this analysis are available from http://amrc.ssec.wisc.edu.</t>
  </si>
  <si>
    <t>10.1002/2015JD024383</t>
  </si>
  <si>
    <t>DK7QG</t>
  </si>
  <si>
    <t>WOS:000375120200016</t>
  </si>
  <si>
    <t>Pittard, ML; Galton-Fenzi, BK; Roberts, JL; Watson, CS</t>
  </si>
  <si>
    <t>Pittard, M. L.; Galton-Fenzi, B. K.; Roberts, J. L.; Watson, C. S.</t>
  </si>
  <si>
    <t>Organization of ice flow by localized regions of elevated geothermal heat flux</t>
  </si>
  <si>
    <t>MODEL PISM-PIK; SUBGLACIAL LAKES; EAST ANTARCTICA; SHEET; SURFACE; SHELF; DYNAMICS; GLACIERS; BENEATH</t>
  </si>
  <si>
    <t>The impact of localized regions of elevated geothermal heat flux on ice sheet dynamics is largely unknown. Simulations of ice dynamics are produced using poorly resolved and low-resolution estimates of geothermal heat flux. Observations of crustal heat production within the continental crust underneath the Lambert-Amery glacial system in East Antarctica indicate that high heat flux regions of at least 120 mW m(-2) exist. Here we investigate the influence of simulated but plausible, localized regions of elevated geothermal heat flux on ice dynamics using a numerical ice sheet model of the Lambert-Amery glacial system. We find that high heat flux regions have a significant effect across areas of slow-moving ice with the influence extending both upstream and downstream of the geothermal anomaly, while fast-moving ice is relatively unaffected. Our results suggest that localized regions of elevated geothermal heat flux may play an important role in the organization of ice sheet flow.</t>
  </si>
  <si>
    <t>[Pittard, M. L.] Univ Tasmania, Inst Marine &amp; Antarctic Studies, Hobart, Tas, Australia; [Pittard, M. L.; Galton-Fenzi, B. K.; Roberts, J. L.] Univ Tasmania, Antarctic Climate &amp; Ecosyst Cooperat Res Ctr, Hobart, Tas, Australia; [Galton-Fenzi, B. K.; Roberts, J. L.] Australian Antarctic Div, Kingston, Tas, Australia; [Watson, C. S.] Univ Tasmania, Sch Land &amp; Food, Hobart, Tas, Australia</t>
  </si>
  <si>
    <t>University of Tasmania; Antarctic Climate &amp; Ecosystems Cooperative Research Centre (ACE CRC); University of Tasmania; Australian Antarctic Division; University of Tasmania</t>
  </si>
  <si>
    <t>Pittard, ML (corresponding author), Univ Tasmania, Inst Marine &amp; Antarctic Studies, Hobart, Tas, Australia.;Pittard, ML (corresponding author), Univ Tasmania, Antarctic Climate &amp; Ecosyst Cooperat Res Ctr, Hobart, Tas, Australia.</t>
  </si>
  <si>
    <t>mark.pittard@utas.edu.au</t>
  </si>
  <si>
    <t>Roberts, Jason L/B-2235-2012; Watson, Christopher S/D-4707-2013</t>
  </si>
  <si>
    <t>Roberts, Jason L/0000-0002-3477-4069; Galton-Fenzi, Benjamin Keith/0000-0003-1404-4103; Watson, Christopher/0000-0002-7464-4592; Pittard, Mark/0000-0002-9026-7571</t>
  </si>
  <si>
    <t>Australian Government's Cooperative Research Centres program through the Antarctic Climate and Ecosystems Cooperative Research Centre (ACE CRC); Australian Research Council's Special Research Initiative for Antarctic Gateway Partnership [SR140300001]; Australian Government; NASA [NNX13AM16G, NNX13AK27G]; NASA [NNX13AK27G, 471916, NNX13AM16G, 469331] Funding Source: Federal RePORTER</t>
  </si>
  <si>
    <t>Australian Government's Cooperative Research Centres program through the Antarctic Climate and Ecosystems Cooperative Research Centre (ACE CRC)(Australian GovernmentDepartment of Industry, Innovation and ScienceCooperative Research Centres (CRC) Programme); Australian Research Council's Special Research Initiative for Antarctic Gateway Partnership(Australian Research Council); Australian Government(Australian Government); NASA(National Aeronautics &amp; Space Administration (NASA)); NASA(National Aeronautics &amp; Space Administration (NASA))</t>
  </si>
  <si>
    <t>This work was supported by the Australian Government's Cooperative Research Centres program through the Antarctic Climate and Ecosystems Cooperative Research Centre (ACE CRC). This research was supported under Australian Research Council's Special Research Initiative for Antarctic Gateway Partnership (Project ID SR140300001). This research was undertaken with the assistance of resources under projects m68 and gh8 from the National Computational Infrastructure (NCI), which is supported by the Australian Government. Development of PISM is supported by NASA grants NNX13AM16G and NNX13AK27G. The Geothermal Heat Flux data set updated using the MF7 magnetic field based on Fox Maule et al. [2005] was provided by Michael E. Purucker, NASA.</t>
  </si>
  <si>
    <t>10.1002/2016GL068436</t>
  </si>
  <si>
    <t>WOS:000375537300040</t>
  </si>
  <si>
    <t>Damiani, A; Funke, B; López-Puertas, M; Santee, ML; Cordero, RR; Watanabe, S</t>
  </si>
  <si>
    <t>Damiani, Alessandro; Funke, Bernd; Lopez-Puertas, Manuel; Santee, Michelle L.; Cordero, Raul R.; Watanabe, Shingo</t>
  </si>
  <si>
    <t>Energetic particle precipitation: A major driver of the ozone budget in the Antarctic upper stratosphere</t>
  </si>
  <si>
    <t>SOLAR PROTON EVENT; LONG-TERM TRENDS; MIDDLE ATMOSPHERE; GEOMAGNETIC-ACTIVITY; POLAR VORTEX; VARIABILITY; TRANSPORT; CYCLE; ALGORITHM; NOX</t>
  </si>
  <si>
    <t>Geomagnetic activity is thought to affect ozone and, possibly, climate in polar regions via energetic particle precipitation (EPP) but observational evidence of its importance in the seasonal stratospheric ozone variation on long time scales is still lacking. Here we fill this gap by showing that at high southern latitudes, late winter ozone series, covering the 1979-2014 period, exhibit an average stratospheric depletion of about 10-15% on a monthly basis caused by EPP. Daily observations indicate that every austral winter EPP-induced low ozone concentrations appear at about 45 km in late June and descend later to 30 km, before disappearing by September. Such stratospheric variations are coupled with mesospheric ozone changes also driven by EPP. No significant correlation between these ozone variations and solar ultraviolet irradiance has been found. This suggests the need of including the EPP forcing in both ozone model simulations and trend analysis.</t>
  </si>
  <si>
    <t>[Damiani, Alessandro; Watanabe, Shingo] Japan Agcy Marine Earth Sci &amp; Technol, Yokohama, Kanagawa, Japan; [Funke, Bernd; Lopez-Puertas, Manuel] CSIC, Inst Astrofis Andalucia, Granada, Spain; [Santee, Michelle L.] CALTECH, Jet Prop Lab, Pasadena, CA USA; [Cordero, Raul R.] Univ Santiago Chile, Dept Phys, Santiago, Chile</t>
  </si>
  <si>
    <t>Japan Agency for Marine-Earth Science &amp; Technology (JAMSTEC); Consejo Superior de Investigaciones Cientificas (CSIC); CSIC - Instituto de Astrofisica de Andalucia (IAA); National Aeronautics &amp; Space Administration (NASA); NASA Jet Propulsion Laboratory (JPL); California Institute of Technology; Universidad de Santiago de Chile</t>
  </si>
  <si>
    <t>Damiani, A (corresponding author), Japan Agcy Marine Earth Sci &amp; Technol, Yokohama, Kanagawa, Japan.</t>
  </si>
  <si>
    <t>alecarlo.damiani@gmail.com</t>
  </si>
  <si>
    <t>Damiani, Alessandro/X-4677-2019; Santee, MIchelle/R-5762-2019; Cordero, Raul R/M-7979-2017; Funke, Bernd/C-2162-2008; Watanabe, Shingo/X-2336-2019; Watanabe, Shingo/L-9689-2014; Lopez-Puertas, Manuel/M-8219-2013</t>
  </si>
  <si>
    <t>Damiani, Alessandro/0000-0003-3014-6193; Watanabe, Shingo/0000-0002-2228-0088; Watanabe, Shingo/0000-0002-2228-0088; Lopez-Puertas, Manuel/0000-0003-2941-7734; Cordero, Raul R./0000-0001-7607-7993</t>
  </si>
  <si>
    <t>SOUSEI program, MEXT, JAPAN; Spanish MINECO [ESP2014-54362-P]; EC FEDER funds; FONDECYT [1140239]</t>
  </si>
  <si>
    <t>SOUSEI program, MEXT, JAPAN; Spanish MINECO(Spanish Government); EC FEDER funds(European Union (EU)); FONDECYT(Comision Nacional de Investigacion Cientifica y Tecnologica (CONICYT)CONICYT FONDECYT)</t>
  </si>
  <si>
    <t>The present study was supported by the SOUSEI program, MEXT, JAPAN. The IAA team was supported by the Spanish MINECO under grant ESP2014-54362-P and EC FEDER funds. Work at the Jet Propulsion Laboratory, California Institute of Technology, was done under contract with NASA. The Chilean team was supported by FONDECYT (1140239). MLS/Aura data are available at the Jet Propulsion Laboratory MLS website: http://mls.jpl.nasa.gov/index.php. SBUV MOD data are available at http://acd-ext.gsfc.nasa.gov/Data_services/merged/, and SBUV merged cohesive data are available at ftp://ftp.cpc.ncep.noaa.gov/SBUV_CDR/. Zonal means computations within the equivalent latitudes or polar vortex edge are based on the derived meteorological products for MLS v3.3 data calculated from GEOS5-based Modern Era-Retrospective Analysis for Research and Applications (MERRA) reanalysis.</t>
  </si>
  <si>
    <t>10.1002/2016GL068279</t>
  </si>
  <si>
    <t>WOS:000375537300065</t>
  </si>
  <si>
    <t>Marshall, GJ; Thompson, DWJ</t>
  </si>
  <si>
    <t>Marshall, Gareth J.; Thompson, David W. J.</t>
  </si>
  <si>
    <t>The signatures of large-scale patterns of atmospheric variability in Antarctic surface temperatures</t>
  </si>
  <si>
    <t>Antarctica; climate; SAM; BAM; PSA; temperature</t>
  </si>
  <si>
    <t>HEMISPHERE ANNULAR MODE; NINO-SOUTHERN-OSCILLATION; EL-NINO; AMERICAN MODES; MASS-BALANCE; PART I; CIRCULATION; IMPACTS; CLIMATE; TRENDS</t>
  </si>
  <si>
    <t>We investigate the impact that the four principal large-scale patterns of Southern Hemisphere (SH) atmospheric circulation variability have on Antarctic surface air temperature (SAT): (1) the southern baroclinic annular mode (BAM), which is associated with variations in extratropical storm amplitude; (2) the Southern Annular Mode (SAM), associated with latitudinal shifts in the midlatitude jet; and (3) the two Pacific-South American patterns (PSA1 and PSA2), which are characterized by wave trains originating in the tropical Pacific that extend across the SH extratropics. A key aspect is the use of 35years of daily observations and reanalysis data, which affords a sufficiently large sample size to assess the signatures of the circulation patterns in both the mean and variability of daily mean SAT anomalies. The BAM exerts the weakest influence on Antarctic SAT, albeit it is still important over select regions. Consistent with previous studies, the SAM is shown to influence SAT across most of the continent throughout the year. The PSA1 also affects SAT across almost all of Antarctica. Regionally, both PSA patterns can exert a greater impact on SAT than the SAM but also have a significantly weaker influence during summer, reflecting the seasonality of the SH response to El Nino-Southern Oscillation. The SAM and PSA patterns have distinct signatures in daily SAT variance that are physically consistent with their signatures in extratropical dynamic variability. The broad-scale climate linkages identified here provide benchmarks for interpreting the Antarctic climate response to future changes in tropical sea surface temperatures, ozone recovery, and greenhouse gas increases.</t>
  </si>
  <si>
    <t>[Marshall, Gareth J.] British Antarctic Survey, Cambridge CB3 0ET, England; [Thompson, David W. J.] Colorado State Univ, Dept Atmospher Sci, Ft Collins, CO 80523 USA</t>
  </si>
  <si>
    <t>UK Research &amp; Innovation (UKRI); Natural Environment Research Council (NERC); NERC British Antarctic Survey; Colorado State University</t>
  </si>
  <si>
    <t>Marshall, GJ (corresponding author), British Antarctic Survey, Cambridge CB3 0ET, England.</t>
  </si>
  <si>
    <t>gjma@bas.ac.uk</t>
  </si>
  <si>
    <t>Thompson, David/C-3520-2008; Thompson, David W J/F-9627-2012</t>
  </si>
  <si>
    <t>Thompson, David W J/0000-0002-5413-4376</t>
  </si>
  <si>
    <t>UK Natural Environment Research Council through the British Antarctic Survey research programme Polar Science for Planet Earth; National Science Foundation Climate Dynamics Program; National Aeronautics and Space Administration Physical Oceanography Program; NERC [bas0100032] Funding Source: UKRI; Natural Environment Research Council [bas0100032] Funding Source: researchfish</t>
  </si>
  <si>
    <t>UK Natural Environment Research Council through the British Antarctic Survey research programme Polar Science for Planet Earth; National Science Foundation Climate Dynamics Program(National Science Foundation (NSF)); National Aeronautics and Space Administration Physical Oceanography Program; NERC(UK Research &amp; Innovation (UKRI)Natural Environment Research Council (NERC)); Natural Environment Research Council(UK Research &amp; Innovation (UKRI)Natural Environment Research Council (NERC))</t>
  </si>
  <si>
    <t>We thank the two anonymous reviewers for their constructive feedback. G.J.M. was supported by the UK Natural Environment Research Council through the British Antarctic Survey research programme Polar Science for Planet Earth. D.W.J.T. is funded by the National Science Foundation Climate Dynamics and National Aeronautics and Space Administration Physical Oceanography Programs. The data used are available from the authors upon request.</t>
  </si>
  <si>
    <t>10.1002/2015JD024665</t>
  </si>
  <si>
    <t>WOS:000375120200012</t>
  </si>
  <si>
    <t>Vollmer, MK; Mühle, J; Trudinger, CM; Rigby, M; Montzka, SA; Harth, CM; Miller, BR; Henne, S; Krummel, PB; Hall, BD; Young, D; Kim, J; Arduini, J; Wenger, A; Yao, B; Reimann, S; O'Doherty, S; Maione, M; Etheridge, DM; Li, SL; Verdonik, DP; Park, S; Dutton, G; Steele, LP; Lunder, CR; Rhee, TS; Hermansen, O; Schmidbauer, N; Wang, RHJ; Hill, M; Salameh, PK; Langenfelds, RL; Zhou, LX; Blunier, T; Schwander, J; Elkins, JW; Butler, JH; Simmonds, PG; Weiss, RF; Prinn, RG; Fraser, PJ</t>
  </si>
  <si>
    <t>Vollmer, Martin K.; Muhle, Jens; Trudinger, Cathy M.; Rigby, Matthew; Montzka, Stephen A.; Harth, Christina M.; Miller, Benjamin R.; Henne, Stephan; Krummel, Paul B.; Hall, Bradley D.; Young, Dickon; Kim, Jooil; Arduini, Jgor; Wenger, Angelina; Yao, Bo; Reimann, Stefan; O'Doherty, Simon; Maione, Michela; Etheridge, David M.; Li, Shanlan; Verdonik, Daniel P.; Park, Sunyoung; Dutton, Geoff; Steele, L. Paul; Lunder, Chris R.; Rhee, Tae Siek; Hermansen, Ove; Schmidbauer, Norbert; Wang, Ray H. J.; Hill, Matthias; Salameh, Peter K.; Langenfelds, Ray L.; Zhou, Lingxi; Blunier, Thomas; Schwander, Jakob; Elkins, James W.; Butler, James H.; Simmonds, Peter G.; Weiss, Ray F.; Prinn, Ronald G.; Fraser, Paul J.</t>
  </si>
  <si>
    <t>Atmospheric histories and global emissions of halons H-1211 (CBrClF2), H-1301 (CBrF3), and H-2402 (CBrF2CBrF2)</t>
  </si>
  <si>
    <t>halons; ozone depletion; bromine</t>
  </si>
  <si>
    <t>OZONE DEPLETION POTENTIALS; PARTICLE DISPERSION MODEL; IN-SITU MEASUREMENTS; POLAR FIRN; MONTREAL PROTOCOL; AIR; TRENDS; HALOCARBONS; GASES; GROWTH</t>
  </si>
  <si>
    <t>We report ground-based atmospheric measurements and emission estimates for the halons H-1211 (CBrClF2), H-1301 (CBrF3), and H-2402 (CBrF2CBrF2) from the AGAGE (Advanced Global Atmospheric Gases Experiment) and the National Oceanic and Atmospheric Administration global networks. We also include results from archived air samples in canisters and from polar firn in both hemispheres, thereby deriving an atmospheric record of nearly nine decades (1930s to present). All three halons were absent from the atmosphere until approximate to 1970, when their atmospheric burdens started to increase rapidly. In recent years H-1211 and H-2402 mole fractions have been declining, but H-1301 has continued to grow. High-frequency observations show continuing emissions of H-1211 and H-1301 near most AGAGE sites. For H-2402 the only emissions detected were derived from the region surrounding the Sea of Japan/East Sea. Based on our observations, we derive global emissions using two different inversion approaches. Emissions for H-1211 declined from a peak of 11ktyr(-1) (late 1990s) to 3.9ktyr(-1) at the end of our record (mean of 2013-2015), for H-1301 from 5.4ktyr(-1) (late 1980s) to 1.6ktyr(-1), and for H-2402 from 1.8ktyr(-1) (late 1980s) to 0.38ktyr(-1). Yearly summed halon emissions have decreased substantially; nevertheless, since 2000 they have accounted for approximate to 30% of the emissions of all major anthropogenic ozone depletion substances, when weighted by ozone depletion potentials.</t>
  </si>
  <si>
    <t>[Vollmer, Martin K.; Henne, Stephan; Reimann, Stefan; Hill, Matthias] Empa, Swiss Fed Labs Mat Sci &amp; Technol, Lab Air Pollut &amp; Environm Technol, Dubendorf, Switzerland; [Muhle, Jens; Harth, Christina M.; Kim, Jooil; Salameh, Peter K.; Weiss, Ray F.] Univ Calif San Diego, Scripps Inst Oceanog, La Jolla, CA 92093 USA; [Trudinger, Cathy M.; Krummel, Paul B.; Etheridge, David M.; Steele, L. Paul; Langenfelds, Ray L.; Fraser, Paul J.] CSIRO Oceans &amp; Atmosphere, Aspendale, Vic, Australia; [Rigby, Matthew; Young, Dickon; Wenger, Angelina; O'Doherty, Simon; Simmonds, Peter G.] Univ Bristol, Sch Chem, Atmospher Chem Res Grp, Bristol, Avon, England; [Montzka, Stephen A.; Miller, Benjamin R.; Hall, Bradley D.; Dutton, Geoff; Elkins, James W.; Butler, James H.] NOAA, Earth Syst Res Lab, Boulder, CO USA; [Miller, Benjamin R.; Dutton, Geoff] Univ Colorado, Cooperat Inst Res Environm Sci, Boulder, CO USA; [Arduini, Jgor; Maione, Michela] Univ Urbino, Dept Pure &amp; Appl Sci, I-61029 Urbino, Italy; [Arduini, Jgor; Maione, Michela] Italian Natl Res Council, Inst Atmospher Sci &amp; Climate, Bologna, Italy; [Yao, Bo] China Meteorol Adm, Meteorol Observat Ctr, Beijing, Peoples R China; [Li, Shanlan; Park, Sunyoung] Kyungpook Natl Univ, Kyungpook Inst Oceanog, Taegu 702701, South Korea; [Verdonik, Daniel P.] JENSEN HUGHES, Baltimore, MD USA; [Lunder, Chris R.; Hermansen, Ove; Schmidbauer, Norbert] Norwegian Inst Air Res, Kjeller, Norway; [Rhee, Tae Siek] KIOST, Korea Polar Res Inst, Inchon, South Korea; [Wang, Ray H. J.] Georgia Inst Technol, Sch Earth &amp; Atmospher Sci, Atlanta, GA 30332 USA; [Zhou, Lingxi] China Meteorol Adm, Chinese Acad Meteorol Sci, Beijing, Peoples R China; [Blunier, Thomas] Univ Copenhagen, Niels Bohr Inst, Ctr Ice &amp; Climate, Blegdamsvej 17, DK-2100 Copenhagen, Denmark; [Schwander, Jakob] Univ Bern, Inst Phys, Climate &amp; Environm Phys, Bern, Switzerland; [Schwander, Jakob] Univ Bern, Oeschger Ctr Climate Change Res, Bern, Switzerland; [Prinn, Ronald G.] MIT, Ctr Global Change Sci, 77 Massachusetts Ave, Cambridge, MA 02139 USA</t>
  </si>
  <si>
    <t>Swiss Federal Institutes of Technology Domain; Swiss Federal Laboratories for Materials Science &amp; Technology (EMPA); University of California System; University of California San Diego; Scripps Institution of Oceanography; Commonwealth Scientific &amp; Industrial Research Organisation (CSIRO); University of Bristol; National Oceanic Atmospheric Admin (NOAA) - USA; University of Colorado System; University of Colorado Boulder; University of Urbino; Consiglio Nazionale delle Ricerche (CNR); Istituto di Scienze dell'Atmosfera e del Clima (ISAC-CNR); China Meteorological Administration; Kyungpook National University; NILU; Korea Polar Research Institute (KOPRI); Korea Institute of Ocean Science &amp; Technology (KIOST); University System of Georgia; Georgia Institute of Technology; China Meteorological Administration; Chinese Academy of Meteorological Sciences (CAMS); University of Copenhagen; Niels Bohr Institute; University of Bern; University of Bern; Massachusetts Institute of Technology (MIT)</t>
  </si>
  <si>
    <t>Vollmer, MK (corresponding author), Empa, Swiss Fed Labs Mat Sci &amp; Technol, Lab Air Pollut &amp; Environm Technol, Dubendorf, Switzerland.</t>
  </si>
  <si>
    <t>martin.vollmer@empa.ch</t>
  </si>
  <si>
    <t>Krummel, Paul B/A-4293-2013; Park, Sunyoung/Q-5477-2019; montzka, stephen/V-6162-2019; Young, Dickon/AFO-7065-2022; Dutton, Geoffrey Scott/V-9977-2019; Fraser, Paul J. B./D-1755-2012; Etheridge, David M/B-7334-2013; Steele, Paul/B-3185-2009; Langenfelds, Raymond L/B-5381-2012; Hall, Bradley/HZH-3492-2023; arduini, jgor/N-2798-2016; Henne, Stephan/A-3467-2009; Muhle, Jens/GPX-3244-2022; Trudinger, Cathy/A-2532-2008; Reimann, Stefan/A-2327-2009; Blunier, Thomas/M-4609-2014; Rigby, Matthew/A-5555-2012</t>
  </si>
  <si>
    <t>Krummel, Paul B/0000-0002-4884-3678; montzka, stephen/0000-0002-9396-0400; Young, Dickon/0000-0002-6723-3138; Dutton, Geoffrey Scott/0000-0001-7777-9268; Hall, Bradley/0000-0002-2451-8416; arduini, jgor/0000-0002-5199-3853; Muhle, Jens/0000-0001-9776-3642; Reimann, Stefan/0000-0002-9885-7138; Trudinger, Cathy/0000-0002-4844-2153; Blunier, Thomas/0000-0002-6065-7747; Kim, Jooil/0000-0002-2610-4882; Rigby, Matthew/0000-0002-2020-9253; Maione, Michela/0000-0002-2622-5772; Yao, Bo/0000-0002-5433-2276; Hermansen, Ove/0000-0001-7353-057X</t>
  </si>
  <si>
    <t>National Aeronautic and Space Administration (NASA) [NAG5-12669, NNX07AE89G, NNX11AF17G, NNX07AE87G, NNX07AF09G, NNX11AF15G, NNX11AF16G]; Department of Energy and Climate Change (DECC, UK) [GA01081]; Swiss National Program HALCLIM (Swiss Federal Office for the Environment, FOEN); International Foundation High Altitude Research Stations Jungfraujoch and Gornergrat (HFSJG); Norwegian Environment Agency; National Research Council of Italy; Italian Ministry of Education, University and Research; InGOS (Integrated Non-CO2 Greenhouse gas Observing System, European FP-7 Infrastructure project) [284274]; Korea Meteorological Administration Research and Development Program [CATER 2014-6020]; CAMS Fundamental Research Funds [2014Y005]; Korean Polar Research Programs [PE13410, PP16102]; Australian Climate Change Science Program (ACCSP), an Australian Government Initiative; FNRS-CFB in Belgium; FWO in Belgium; NRCan/GSC in Canada; CAS in China; FIST in Denmark; IPEV in France; CNRS/INSU in France; CEA in France; ANR in France; AWI in Germany; RannIs in Iceland; NIPR in Japan; KOPRI in Korea; NWO/ALW in Netherlands; VR in Sweden; SNF in Switzerland; NERC in United Kingdom; U.S. NSF in U.S.; Office of Polar Programs in U.S.; CSIRO Office of the Chief Executive; UK Natural Environment Research Council (NERC) [NE/1021365/1]; Natural Environment Research Council [NE/I021365/1] Funding Source: researchfish; NERC [NE/I021365/1] Funding Source: UKRI</t>
  </si>
  <si>
    <t>National Aeronautic and Space Administration (NASA)(National Aeronautics &amp; Space Administration (NASA)); Department of Energy and Climate Change (DECC, UK); Swiss National Program HALCLIM (Swiss Federal Office for the Environment, FOEN); International Foundation High Altitude Research Stations Jungfraujoch and Gornergrat (HFSJG); Norwegian Environment Agency; National Research Council of Italy(Consiglio Nazionale delle Ricerche (CNR)); Italian Ministry of Education, University and Research(Ministry of Education, Universities and Research (MIUR)); InGOS (Integrated Non-CO2 Greenhouse gas Observing System, European FP-7 Infrastructure project); Korea Meteorological Administration Research and Development Program(Korea Meteorological Administration (KMA)); CAMS Fundamental Research Funds; Korean Polar Research Programs; Australian Climate Change Science Program (ACCSP), an Australian Government Initiative; FNRS-CFB in Belgium(Fonds de la Recherche Scientifique - FNRS); FWO in Belgium(FWO); NRCan/GSC in Canada; CAS in China; FIST in Denmark; IPEV in France; CNRS/INSU in France; CEA in France; ANR in France(Agence Nationale de la Recherche (ANR)); AWI in Germany; RannIs in Iceland; NIPR in Japan; KOPRI in Korea(Korea Polar Research Institute of Marine Research Placement (KOPRI)); NWO/ALW in Netherlands; VR in Sweden(Swedish Research Council); SNF in Switzerland; NERC in United Kingdom; U.S. NSF in U.S.; Office of Polar Programs in U.S.; CSIRO Office of the Chief Executive(Commonwealth Scientific &amp; Industrial Research Organisation (CSIRO)); UK Natural Environment Research Council (NERC)(UK Research &amp; Innovation (UKRI)Natural Environment Research Council (NERC)); Natural Environment Research Council(UK Research &amp; Innovation (UKRI)Natural Environment Research Council (NERC)); NERC(UK Research &amp; Innovation (UKRI)Natural Environment Research Council (NERC))</t>
  </si>
  <si>
    <t>We acknowledge the station personnel at all stations for their continuous support in conducting in situ measurements and flask sampling activities, the many providers of flask samples composing the archived air sample data set of the Northern Hemisphere, and David Catchpole for clarification on the HTOC activities and reports. The operation of the AGAGE instruments at Mace Head, Trinidad Head, Cape Matatula, Ragged Point, and Cape Grim is supported by the National Aeronautic and Space Administration (NASA) (grants NAG5-12669, NNX07AE89G, and NNX11AF17G to MIT and grants NNX07AE87G, NNX07AF09G, NNX11AF15G, and NNX11AF16G to SIO), the Department of Energy and Climate Change (DECC, UK) contract GA01081 to the University of Bristol, and the Commonwealth Scientific and Industrial Research Organization (CSIRO Australia) and Bureau of Meteorology (Australia). NOAA measurements of halons are supported in part by the NOAA Climate Program Office's AC4 program and benefit from C. Siso for the technical assistance in analyzing NOAA flasks. Financial support for the measurements at the other sites is provided for Jungfraujoch by the Swiss National Program HALCLIM (Swiss Federal Office for the Environment, FOEN) and by the International Foundation High Altitude Research Stations Jungfraujoch and Gornergrat (HFSJG), for Zeppelin by the Norwegian Environment Agency, and for Monte Cimone by the National Research Council of Italy and the Italian Ministry of Education, University and Research, through the Project of National Interest Nextdata. Activities at Mace Head (Bristol University), Jungfraujoch (Empa), Monte Cimone (University of Urbino), and Zeppelin (NILU) are also supported through InGOS (Integrated Non-CO2 Greenhouse gas Observing System, European FP-7 Infrastructure project grant agreement 284274). Observations at Gosan were supported by the Korea Meteorological Administration Research and Development Program under grant CATER 2014-6020. Support for Shangdianzi observations comes from the Key Project Natural Science Foundation of China (41030107), the CMA Fundation for Climate Change Research (CCSF201331), and the CAMS Fundamental Research Funds (2014Y005). Support for King Sejong flask samples comes from the Swiss State Secretariat for Education and Research and Innovation (SERI), the National Research Foundation of Korea for the Korean-Swiss Science and Technology Cooperation Program, and the Korean Polar Research ProgramsPE13410 and PP16102. CSIRO's contribution was supported in part by the Australian Climate Change Science Program (ACCSP), an Australian Government Initiative. Australian firn activities in the Antarctic are specifically supported by the Australian Antarctic Science Program. We acknowledge the members of the firn air sampling teams for provision of the samples from Law Dome, NEEM, and South Pole. NEEM is directed and organized by the Center of Ice and Climate at the Niels Bohr Institute and US NSF, Office of Polar Programs. It is supported by funding agencies and institutions in Belgium (FNRS-CFB and FWO), Canada (NRCan/GSC), China (CAS), Denmark (FIST), France (IPEV, CNRS/INSU, CEA, and ANR), Germany (AWI), Iceland (RannIs), Japan (NIPR), Korea (KOPRI), the Netherlands (NWO/ALW), Sweden (VR), Switzerland (SNF), United Kingdom (NERC), and the U.S. (U.S. NSF, Office of Polar Programs). M.K.V. acknowledges a CSIRO Office of the Chief Executive Distinguished Visiting Scientist grant to CSIRO Aspendale for firn air measurements. M.R.; is supported by Advanced Research Fellowships from the UK Natural Environment Research Council (NERC, NE/1021365/1). Data used in this study are available from the supporting information, from https://agage.mit.edu/, and from http://www.esrl.noaa.gov/gmd/.</t>
  </si>
  <si>
    <t>10.1002/2015JD024488</t>
  </si>
  <si>
    <t>WOS:000375120200037</t>
  </si>
  <si>
    <t>Kariminia, S; Shamshirband, S; Hashim, R; Saberi, A; Petkovic, D; Roy, C; Motamedi, S</t>
  </si>
  <si>
    <t>Kariminia, Shahab; Shamshirband, Shahaboddin; Hashim, Roslan; Saberi, Ahmadreza; Petkovic, Dalibor; Roy, Chandrabhushan; Motamedi, Shervin</t>
  </si>
  <si>
    <t>A simulation model for visitors' thermal comfort at urban public squares using non-probabilistic binary-linear classifier through soft-computing methodologies</t>
  </si>
  <si>
    <t>ENERGY</t>
  </si>
  <si>
    <t>Thermal comfort conditions; Outdoor spaces; Support vector machine; Wavelet algorithm; Microclimate</t>
  </si>
  <si>
    <t>SUPPORT VECTOR MACHINES; ANTARCTIC TOURISM; WAVELET TRANSFORM; OUTDOOR; GENDER; HOT; ENVIRONMENTS; STRATEGIES; PARAMETERS; REGRESSION</t>
  </si>
  <si>
    <t>Sustaining outdoor life in cities is decreasing because of the recent rapid urbanisation without considering climate-responsive urban design concepts. Such inadvertent climatic modifications at the indoor level have imposed considerable demand on the urban energy resources. It is important to provide comfortable ambient climate at open urban squares. Researchers need to predict the comfortable conditions at such outdoor squares. The main objective of this study is predict the visitors' outdoor comfort indices by using a developed computational model termed as SVM-WAVELET (Support Vector Machines combined with Discrete Wavelet Transform algorithm). For data collection, the field study was conducted in downtown Isfahan, Iran (51 degrees 41' E, 32 degrees 37' N) with hot and arid summers. Based on different environmental elements, four separate locations were monitored across two public squares. Meteorological data were measured simultaneously by surveying the visitors' thermal sensations. According to the subjects' thermal feeling and their characteristics, their level of comfort was estimated. Further, the adapted computational model was used to estimate the visitors' thermal sensations in terms of thermal comfort indices. The SVM-WAVELET results indicate that R-2 value for input parameters, including Thermal Sensation, PMW (The predicted mean vote), PET (physiologically equivalent temperature), SET (standard effective temperature) and T-mrt were estimated at 0.482, 0.943, 0.988, 0.969 and 0.840, respectively. (C) 2016 Elsevier Ltd. All rights reserved.</t>
  </si>
  <si>
    <t>[Kariminia, Shahab] Islamic Azad Univ, Najafabad Branch, Fac Art Architecture &amp; Urban Planning, Dept Architecture, Najafabad, Isfahan, Iran; [Shamshirband, Shahaboddin] Univ Malaya, Fac Comp Sci &amp; Informat Technol, Dept Comp Syst &amp; Technol, Kuala Lumpur 50603, Malaysia; [Hashim, Roslan; Roy, Chandrabhushan; Motamedi, Shervin] Univ Malaya, Fac Engn, Dept Civil Engn, Kuala Lumpur 50603, Malaysia; [Hashim, Roslan; Motamedi, Shervin] Univ Malaya, Inst Ocean &amp; Earth Sci, Kuala Lumpur 50603, Malaysia; [Saberi, Ahmadreza] Univ Teknol MARA, Fac Architecture Planning &amp; Surveying, Shah Alam 40450, Malaysia; [Petkovic, Dalibor] Univ Nis, Fac Mech Engn, Aleksandra Medvedeva 14, Nish 18000, Serbia</t>
  </si>
  <si>
    <t>Islamic Azad University; Universiti Malaya; Universiti Malaya; Universiti Malaya; Universiti Teknologi MARA; University of Nis</t>
  </si>
  <si>
    <t>Kariminia, S (corresponding author), Islamic Azad Univ, Najafabad Branch, Fac Art Architecture &amp; Urban Planning, Dept Architecture, Najafabad, Isfahan, Iran.;Shamshirband, S (corresponding author), Univ Malaya, Fac Comp Sci &amp; Informat Technol, Dept Comp Syst &amp; Technol, Kuala Lumpur 50603, Malaysia.</t>
  </si>
  <si>
    <t>sh.kariminia@yahoo.com; shamshirband@um.edu.my</t>
  </si>
  <si>
    <t>S.Band, Shahab/AAD-3311-2021; Hashim, Roslan/K-4437-2012; S.Band, Shahab/ABI-7388-2020</t>
  </si>
  <si>
    <t>S.Band, Shahab/0000-0002-8963-731X; Shamshirband, Shahaboddin/0000-0002-6605-498X</t>
  </si>
  <si>
    <t>HIR-MOHE University of Malaya [UM.C/HIR/MOHE/ENG/34]</t>
  </si>
  <si>
    <t>HIR-MOHE University of Malaya(Universiti Malaya)</t>
  </si>
  <si>
    <t>The authors express their sincere thanks for the funding support they received from HIR-MOHE University of Malaya under Grant no. UM.C/HIR/MOHE/ENG/34.</t>
  </si>
  <si>
    <t>0360-5442</t>
  </si>
  <si>
    <t>1873-6785</t>
  </si>
  <si>
    <t>Energy</t>
  </si>
  <si>
    <t>APR 15</t>
  </si>
  <si>
    <t>10.1016/j.energy.2016.02.021</t>
  </si>
  <si>
    <t>Thermodynamics; Energy &amp; Fuels</t>
  </si>
  <si>
    <t>DL0ZU</t>
  </si>
  <si>
    <t>WOS:000375362400052</t>
  </si>
  <si>
    <t>Davis, BE; Miller, NA; Flynn, EE; Todgham, AE</t>
  </si>
  <si>
    <t>Davis, Brittany E.; Miller, Nathan A.; Flynn, Erin E.; Todgham, Anne E.</t>
  </si>
  <si>
    <t>Juvenile Antarctic rockcod (Trematomus bernacchii) are physiologically robust to CO2-acidified seawater</t>
  </si>
  <si>
    <t>Antarctica; Cardiorespiratory physiology; Early life stages; Notothenioid; Ocean acidification</t>
  </si>
  <si>
    <t>ACID-BASE REGULATION; METABOLIC COLD ADAPTATION; LONG-TERM ACCLIMATION; OCEAN ACIDIFICATION; CLIMATE-CHANGE; RAINBOW-TROUT; ELEVATED-TEMPERATURE; CARBON-DIOXIDE; ENVIRONMENTAL HYPERCAPNIA; OXYGEN-CONSUMPTION</t>
  </si>
  <si>
    <t>To date, numerous studies have shown negative impacts of CO2-acidified seawater (i.e. ocean acidification, OA) on marine organisms, including calcifying invertebrates and fishes; however, limited research has been conducted on the physiological effects of OA on polar fishes and even less on the impact of OA on early developmental stages of polar fishes. We evaluated aspects of aerobic metabolism and cardiorespiratory physiology of juvenile emerald rockcod, Trematomus bernacchii, an abundant fish in the Ross Sea, Antarctica, to elevated partial pressure of carbon dioxide (P-CO2) [420 (ambient), 650 (moderate) and 1050 (high) mu atm P-CO2] over a 1 month period. We examined cardiorespiratory physiology, including heart rate, stroke volume, cardiac output and ventilation rate, whole organism metabolism via oxygen consumption rate and sub-organismal aerobic capacity by citrate synthase enzyme activity. Juvenile fish showed an increase in ventilation rate under high P-CO2 compared with ambient P-CO2, whereas cardiac performance, oxygen consumption and citrate synthase activity were not significantly affected by elevated P-CO2. Acclimation time had a significant effect on ventilation rate, stroke volume, cardiac output and citrate synthase activity, such that all metrics increased over the 4 week exposure period. These results suggest that juvenile emerald rockcod are robust to near-future increases in OA and may have the capacity to adjust for future increases in P-CO2 by increasing acid-base compensation through increased ventilation.</t>
  </si>
  <si>
    <t>[Davis, Brittany E.; Miller, Nathan A.; Flynn, Erin E.; Todgham, Anne E.] Univ Calif Davis, Dept Anim Sci, Davis, CA 95616 USA; [Davis, Brittany E.] Univ Calif Davis, Dept Wildlife Fish &amp; Conservat Biol, Davis, CA 95616 USA; [Miller, Nathan A.] San Francisco State Univ, Romberg Tiburon Ctr Environm Studies, Tiburon, CA 94920 USA</t>
  </si>
  <si>
    <t>University of California System; University of California Davis; University of California System; University of California Davis; California State University System; San Francisco State University</t>
  </si>
  <si>
    <t>Todgham, AE (corresponding author), Univ Calif Davis, Dept Anim Sci, Davis, CA 95616 USA.</t>
  </si>
  <si>
    <t>todgham@ucdavis.edu</t>
  </si>
  <si>
    <t>Davis, Brittany/0000-0003-3752-1830</t>
  </si>
  <si>
    <t>National Science Foundation [NSF] [ANT-1142122]; Directorate For Geosciences; Office of Polar Programs (OPP) [1142122] Funding Source: National Science Foundation</t>
  </si>
  <si>
    <t>National Science Foundation [NSF](National Science Foundation (NSF)); Directorate For Geosciences; Office of Polar Programs (OPP)(National Science Foundation (NSF)NSF - Directorate for Geosciences (GEO))</t>
  </si>
  <si>
    <t>This project was funded by the National Science Foundation [NSF ANT-1142122 to A.E.T.].</t>
  </si>
  <si>
    <t>COMPANY BIOLOGISTS LTD</t>
  </si>
  <si>
    <t>BIDDER BUILDING, STATION RD, HISTON, CAMBRIDGE CB24 9LF, ENGLAND</t>
  </si>
  <si>
    <t>10.1242/jeb.133173</t>
  </si>
  <si>
    <t>DK5KF</t>
  </si>
  <si>
    <t>WOS:000374958100018</t>
  </si>
  <si>
    <t>Richoux, NB; Allan, EL; Froneman, PW</t>
  </si>
  <si>
    <t>Richoux, Nicole B.; Allan, E. Louise; Froneman, P. William</t>
  </si>
  <si>
    <t>Developmental and spatial variations in the diet signatures of hyperbenthic shrimp Nauticaris marionis at the Prince Edward Islands based on stable isotope ratios and fatty acid profiles</t>
  </si>
  <si>
    <t>Sub-Antarctic Islands; Food web; Tracers; Southern ocean; Body size; Depth</t>
  </si>
  <si>
    <t>ENVIRONMENT CONCEPTION BAY; ACANTHOSTEPHEIA-MALMGRENI AMPHIPODA; KRILL EUPHAUSIA-SUPERBA; ANTARCTIC KRILL; TROPHIC ECOLOGY; SUBTROPICAL CONVERGENCE; MARINE ECOSYSTEMS; FOOD SOURCE; LIPIDS; MATTER</t>
  </si>
  <si>
    <t>The caridean shrimp Nauticaris marionis is an ecologically important species in the benthic community around the sub-Antarctic Prince Edward Islands (PEI) as it represents a key prey item for a variety of top predators breeding on the islands. We hypothesized that the diet of N. marionis shifts during its development, and that spatial variability in food availability results in differentiation in the diet signatures of specimens collected from various locations of the shelf waters around the PEI. Specimens were collected from nine stations (depth range 70 to 240 m) around the PEI at inter-island shelf (from west to east: upstream, between and downstream) and nearshore regions during austral autumn 2009. Stable isotope and fatty acid data both revealed spatial and developmental variations in the shrimp diet. Nearshore shrimp were more C-13-enriched than those from the inter-island region, suggesting increased kelp detritus entered the food web in the nearshore regions. The shrimp showed increases in delta C-13 and delta N-15 signatures (and trophic position) with an increase in body size, resulting in distinctions between size classes that reflected shifts in their trophic niche through development. The fatty acid profiles similarly indicated distinctions in diet with increased shrimp size (in the deep regions), and spatial variability was evident in relation to region and depth. All shrimp contained large proportions of polyunsaturated and essential fatty acids, indicating that the quality of food consumed was similar between regions despite the diet variability. Our results provide new dietary information about a key species operating near the base of the food web at the highly productive PEI, and show that there were no areas of enhanced nutrition available to the shrimp. As such, there was no nutritional advantage to shrimp inhabiting any specific region around the PEI. (C) 2016 Elsevier Ltd. All rights reserved.</t>
  </si>
  <si>
    <t>[Richoux, Nicole B.; Allan, E. Louise; Froneman, P. William] Rhodes Univ, Dept Zool &amp; Entomol, POB 94, ZA-6140 Grahamstown, South Africa</t>
  </si>
  <si>
    <t>Rhodes University</t>
  </si>
  <si>
    <t>Richoux, NB (corresponding author), Rhodes Univ, Dept Zool &amp; Entomol, POB 94, ZA-6140 Grahamstown, South Africa.</t>
  </si>
  <si>
    <t>n.richoux@ru.ac.za</t>
  </si>
  <si>
    <t>Froneman, William/GLS-0460-2022; Froneman, William/C-9085-2012</t>
  </si>
  <si>
    <t>Froneman, William/0000-0003-0615-1355; Richoux, Nicole/0000-0002-9501-6368</t>
  </si>
  <si>
    <t>South African Department of Environmental Affairs and Tourism; National Research Foundation of South Africa; Rhodes University; Deutscher Akademischer Austausch Dienst; Andrew Mellon Foundation</t>
  </si>
  <si>
    <t>South African Department of Environmental Affairs and Tourism; National Research Foundation of South Africa(National Research Foundation - South Africa); Rhodes University; Deutscher Akademischer Austausch Dienst(Deutscher Akademischer Austausch Dienst (DAAD)); Andrew Mellon Foundation</t>
  </si>
  <si>
    <t>We thank the South African Department of Environmental Affairs and Tourism, the National Research Foundation of South Africa and Rhodes University for providing funding and facilities. We are grateful to the officers and crew of the MV S.A. Agulhas for assistance at sea. Thanks also to the students who assisted with the sample collections, and S. Kaehler from IsoEnvironmental cc for processing the isotope samples. Scholarship funding was provided to E.L. Allan by Deutscher Akademischer Austausch Dienst and the Andrew Mellon Foundation.</t>
  </si>
  <si>
    <t>10.1016/j.csr.2016.02.013</t>
  </si>
  <si>
    <t>DJ3AY</t>
  </si>
  <si>
    <t>WOS:000374078400001</t>
  </si>
  <si>
    <t>Luthra, T; Anandakrishnan, S; Winberry, JP; Alley, RB; Holschuh, N</t>
  </si>
  <si>
    <t>Luthra, Tarun; Anandakrishnan, Sridhar; Winberry, J. Paul; Alley, Richard B.; Holschuh, Nicholas</t>
  </si>
  <si>
    <t>Basal characteristics of the main sticky spot on the ice plain of Whillans Ice Stream, Antarctica</t>
  </si>
  <si>
    <t>EARTH AND PLANETARY SCIENCE LETTERS</t>
  </si>
  <si>
    <t>West Antarctic Ice Sheet; geophysics; glaciology; Whillans Ice Stream; sticky spot; reflection seismology</t>
  </si>
  <si>
    <t>WEST ANTARCTICA; PINE ISLAND; BENEATH; FLOW; GLACIER; COLLAPSE; THWAITES; SHEET</t>
  </si>
  <si>
    <t>Understanding the processes that affect streaming ice flow and the mass balance of glaciers and ice sheets requires sound knowledge of their subglacial environments. Previous studies have shown that an extensive deformable subglacial sediment layer favors fast ice-stream flow. However, areas of high basal drag, termed sticky spots, are of particular interest because they inhibit the fast flow of the overriding ice. The stick-slip behavior of Whillans Ice Stream (WIS) is perhaps the most conspicuous manifestation of a subglacial sticky spot. We present new ice-thickness and seismic-reflection measurements collected over the main sticky spot in the ice plain of WIS, allowing us to elucidate its role in the behavior of the ice stream. Ice-thickness and surface-elevation data show that the sticky spot occupies a subglacial topographic high. Water flow in response to the hydrological potential gradient will be routed around the sticky spot if effective pressures are similar on the sticky spot and elsewhere. The seismic experiment imaged a laterally continuous basal layer approximately 6 m thick, having compressional wave velocities of greater than 1800 ms(-1) and density greater than 1800 kg m(-3), indicative of a till layer that is stiffer than corresponding till beneath well-lubricated parts of the ice stream. This layer likely continues to deform under the higher shear stress of the sticky spot, and some water may be pumped up onto the sticky spot during motion events. (C) 2016 The Authors. Published by Elsevier B.V.</t>
  </si>
  <si>
    <t>[Luthra, Tarun; Anandakrishnan, Sridhar; Alley, Richard B.; Holschuh, Nicholas] Penn State Univ, Dept Geosci, University Pk, PA 16802 USA; [Winberry, J. Paul] Cent Washington Univ, Dept Geol Sci, Ellensburg, WA USA</t>
  </si>
  <si>
    <t>Pennsylvania Commonwealth System of Higher Education (PCSHE); Pennsylvania State University; Pennsylvania State University - University Park; Central Washington University</t>
  </si>
  <si>
    <t>Luthra, T (corresponding author), Penn State Univ, Dept Geosci, University Pk, PA 16802 USA.</t>
  </si>
  <si>
    <t>tyl5106@psu.edu</t>
  </si>
  <si>
    <t>Winberry, Paul/HLQ-2673-2023; Anandakrishnan, Sridhar/JCN-5026-2023</t>
  </si>
  <si>
    <t>Winberry, Paul/0000-0003-1205-0745; Holschuh, Nicholas/0000-0003-1703-5085</t>
  </si>
  <si>
    <t>U.S. NSF Office [0944286, 0852697, 0838764, 0838763]; Office of Polar Programs (OPP); Directorate For Geosciences [0944286] Funding Source: National Science Foundation</t>
  </si>
  <si>
    <t>U.S. NSF Office; Office of Polar Programs (OPP); Directorate For Geosciences(National Science Foundation (NSF)NSF - Directorate for Geosciences (GEO))</t>
  </si>
  <si>
    <t>This work was funded by grants from the U.S. NSF Office of Polar Programs through the Whillans Stick-Slip (0944286), CReSIS (0852697), and WISSARD (0838764, 0838763) projects. Raytheon Polar Services and The New York Air National Guard provided logistical support. The IRIS-PASSCAL Instrument Center and Ice Drilling Design and Operations provided equipment essential to the success of the project. We thank Martin Pratt, Angela Hoffer, Huw Horgan and Matthew Siegfried for help with data acquisition during the 2011-2012 field season.</t>
  </si>
  <si>
    <t>0012-821X</t>
  </si>
  <si>
    <t>1385-013X</t>
  </si>
  <si>
    <t>EARTH PLANET SC LETT</t>
  </si>
  <si>
    <t>Earth Planet. Sci. Lett.</t>
  </si>
  <si>
    <t>10.1016/j.epsl.2016.01.035</t>
  </si>
  <si>
    <t>DH7AF</t>
  </si>
  <si>
    <t>WOS:000372942600002</t>
  </si>
  <si>
    <t>van Ginneken, M; Genge, MJ; Folco, L; Harvey, RP</t>
  </si>
  <si>
    <t>van Ginneken, Matthias; Genge, Matthew J.; Folco, Luigi; Harvey, Ralph P.</t>
  </si>
  <si>
    <t>The weathering of micrometeorites from the Transantarctic Mountains</t>
  </si>
  <si>
    <t>ANTARCTIC DRY VALLEYS; VICTORIA LAND; EXTRATERRESTRIAL DUST; MERIDIANI-PLANUM; COSMIC SPHERULES; NATURAL-WATERS; DISSOLUTION; MINERALS; OLIVINE; GLASS</t>
  </si>
  <si>
    <t>Micrometeorites are cosmic dust particles recovered from the Earth's surface that dominate the influx of extraterrestrial material accreting to our planet. This paper provides the first in-depth study of the weathering of micrometeorites within the Antarctic environment that will allow primary and secondary features to be distinguished. It is based on the analysis of 366 particles from Larkman Nunatak and 25 from the Transantarctic Mountain collection. Several important morphological categories of weathering effects were identified: (1) irregular and faceted cavities, (2) surface etch pits, (3) infilled cavities, (4) replaced silicate phases, and (5) hydrated and replaced metal. These features indicate that congruent dissolution of silicate phases, in particular olivine, is important in generating new pore space within particles. Comparison of the preservation of glass and olivine also indicates preferential dissolution of olivine by acidic solutions during low temperature aqueous alteration. Precipitation of new hydrous phases within cavities, in particular ferrihydrite and jarosite, results in pseudomorph textures within heavily altered particles. Glass, in contrast, is altered to palagonite gels and shows a sequential replacement indicative of varying water to rock ratios. Metal is variably replaced by Fe-oxyhydroxides and results in decreases in Ni/Fe ratio. In contrast, sulphides within metal are largely preserved. Magnetite, an essential component of micrometeorites formed during atmospheric entry, is least altered by interaction with the terrestrial environment. The extent of weathering in the studied micrometeorites is sensitive to differences in their primary mineralogy and varies significantly with particle type. Despite these differences, we propose a weathering scale for micrometeorites based on both their degree of terrestrial alteration and the level of encrustation by secondary phases. The compositions and textures of weathering products, however, suggest open system behaviour and variable water to rock ratios that imply climatic variation over the lifetime of the micrometeorite deposits. (C) 2016 The Authors. Published by Elsevier Ltd.</t>
  </si>
  <si>
    <t>[van Ginneken, Matthias; Genge, Matthew J.] Univ London Imperial Coll Sci Technol &amp; Med, Dept Earth Sci &amp; Engn, IARC, Exhibit Rd, London SW7 2AZ, England; [van Ginneken, Matthias] Nat Hist Museum, Dept Earth Sci, Cromwell Rd, London SW7 5BD, England; [Folco, Luigi] Univ Pisa, Dipartimento Sci Terra, Via S Maria 53, I-56126 Pisa, Italy; [Harvey, Ralph P.] Case Western Reserve Univ, Dept Geol Sci, 112 AW Smith Bldg, Cleveland, OH 44106 USA</t>
  </si>
  <si>
    <t>Imperial College London; Natural History Museum London; Natural History Museum London; University of Pisa; University System of Ohio; Case Western Reserve University</t>
  </si>
  <si>
    <t>van Ginneken, M (corresponding author), Univ London Imperial Coll Sci Technol &amp; Med, Dept Earth Sci &amp; Engn, IARC, Exhibit Rd, London SW7 2AZ, England.</t>
  </si>
  <si>
    <t>m.van-ginneken@imperial.ac.uk</t>
  </si>
  <si>
    <t>Folco, Luigi/AAA-6351-2020; Folco, Luigi/AAB-8586-2021; Van Ginneken, Matthias/AFQ-5594-2022; Van Ginneken, Matthias/A-3342-2017</t>
  </si>
  <si>
    <t>Van Ginneken, Matthias/0000-0002-2508-7021; Van Ginneken, Matthias/0000-0002-2508-7021; Folco, Luigi/0000-0002-7276-3483</t>
  </si>
  <si>
    <t>Science and Technology Facilities Council (STFC) [ST/J001260/1]; Italian Programma Nazionale delle Ricerche in Antartide (PNRA) [PEA2013 AZ2.04]; Pisa University's Fondi di Ateneo; STFC [ST/J001260/1] Funding Source: UKRI; Science and Technology Facilities Council [ST/J001260/1] Funding Source: researchfish; UK Space Agency [ST/M003167/1] Funding Source: researchfish</t>
  </si>
  <si>
    <t>Science and Technology Facilities Council (STFC)(UK Research &amp; Innovation (UKRI)Science &amp; Technology Facilities Council (STFC)Science and Technology Development Fund (STDF)); Italian Programma Nazionale delle Ricerche in Antartide (PNRA)(Ministry of Education, Universities and Research (MIUR)); Pisa University's Fondi di Ateneo; STFC(UK Research &amp; Innovation (UKRI)Science &amp; Technology Facilities Council (STFC)); Science and Technology Facilities Council(UK Research &amp; Innovation (UKRI)Science &amp; Technology Facilities Council (STFC)); UK Space Agency</t>
  </si>
  <si>
    <t>This work was supported by the Science and Technology Facilities Council (STFC) [grant number: ST/J001260/1]. A. Kearsley, A. Ball and T. Goral (NHM London) are thanked for assistance during analytical sessions. LF is supported by the Italian Programma Nazionale delle Ricerche in Antartide (PNRA) through the PEA2013 AZ2.04 Meteoriti Antartiche project, and by Pisa University's Fondi di Ateneo. We also like to acknowledge the contributions of four reviewers, Prof. Micheal A. Velbel, Prof. Martin Lee, Prof. Pierre Rochette and Dr. Ashley King, for their helpful suggestions.</t>
  </si>
  <si>
    <t>10.1016/j.gca.2015.11.045</t>
  </si>
  <si>
    <t>DH1SS</t>
  </si>
  <si>
    <t>WOS:000372565800001</t>
  </si>
  <si>
    <t>Kosek, K; Polkowska, Z; Zyszka, B; Lipok, J</t>
  </si>
  <si>
    <t>Kosek, Klaudia; Polkowska, Zaneta; Zyszka, Beata; Lipok, Jacek</t>
  </si>
  <si>
    <t>Phytoplankton communities of polar regions-Diversity depending on environmental conditions and chemical anthropopressure</t>
  </si>
  <si>
    <t>JOURNAL OF ENVIRONMENTAL MANAGEMENT</t>
  </si>
  <si>
    <t>Arctic environment; Cyanobacteria; Persistent organic pollutants (POPs); Phytoplankton communities</t>
  </si>
  <si>
    <t>POLYCYCLIC AROMATIC-HYDROCARBONS; PERSISTENT ORGANIC POLLUTANTS; MICROBIAL MAT COMMUNITIES; POLYCHLORINATED-BIPHENYLS; FRESH-WATER; MARINE-PHYTOPLANKTON; SEASONAL OCCURRENCE; NITROGEN-FIXATION; PIGMENT STRUCTURE; MERETTA LAKE</t>
  </si>
  <si>
    <t>The polar regions (Arctic and Antarctic) constitute up to 14% of the biosphere and offer some of the coldest and most arid Earth's environments. Nevertheless several oxygenic phototrophs including some higher plants, mosses, lichens, various algal groups and cyanobacteria, survive that harsh climate and create the base of the trophic relationships in fragile ecosystems of polar environments. Ecosystems in polar regions are characterized by low primary productivity and slow growth rates, therefore they are more vulnerable to disturbance, than those in temperate regions. From this reason, chemical contaminants influencing the growth of photoautotrophic producers might induce serious disorders in the integrity of polar ecosystems. However, for a long time these areas were believed to be free of chemical contamination, and relatively protected from widespread anthropogenic pressure, due their remoteness and extreme climate conditions. Nowadays, there is a growing amount of data that prove that xenobiotics are transported thousands of kilometers by the air and ocean currents and then they are deposed in colder regions and accumulate in many environments, including the habitats of marine and freshwater cyanobacteria. Cyanobacteria (blue green algae), as a natural part of phytoplankton assemblages, are globally distributed, but in high polar ecosystems they represent the dominant primary producers. These microorganisms are continuously exposed to various concentration levels of the compounds that are present in their habitats and act as nourishment or the factors influencing the growth and development of cyanobacteria in other way. The most common group of contaminants in Arctic and Antarctic are persistent organic pollutants (POPs), characterized by durability and resistance to degradation. It is important to determine their concentrations in all phytoplankton species cells and in their environment to get to know the possibility of contaminants to transfer to higher trophic levels, considering however that some strains of microalgae are capable of metabolizing xenobiotics, make them less toxic or even remove them from the environment. (C) 2016 Elsevier Ltd. All rights reserved.</t>
  </si>
  <si>
    <t>[Kosek, Klaudia; Polkowska, Zaneta] Gdansk Univ Technol, Fac Chem, Dept Analyt Chem, 11-12 Narutowicza St, PL-80233 Gdansk, Poland; [Zyszka, Beata; Lipok, Jacek] Opole Univ, Fac Chem, Dept Analyt &amp; Ecol Chem, Oleska 48 St, PL-45052 Opole, Poland</t>
  </si>
  <si>
    <t>Fahrenheit Universities; Gdansk University of Technology; University of Opole</t>
  </si>
  <si>
    <t>Polkowska, Z (corresponding author), Gdansk Univ Technol, Fac Chem, Dept Analyt Chem, 11-12 Narutowicza St, PL-80233 Gdansk, Poland.</t>
  </si>
  <si>
    <t>klaudia_kosek@wp.pl; zanpolko@pg.gda.pl; bzyszka@uni.opole.pl; jalip@uni.opole.pl</t>
  </si>
  <si>
    <t>Polkowska, Zaneta/AAA-3578-2020; Kosek, Klaudia/V-3800-2018</t>
  </si>
  <si>
    <t>Zyszka-Haberecht, Beata/0000-0002-3232-8815; Polkowska, Zaneta/0000-0002-2730-0068; Lipok, Jacek/0000-0002-8567-5351; Kosek, Klaudia/0000-0003-1372-6567</t>
  </si>
  <si>
    <t>National Centre for Research and Development in Poland [PBS3/B8/25/2015]</t>
  </si>
  <si>
    <t>National Centre for Research and Development in Poland(National Centre for Research &amp; Development, Poland)</t>
  </si>
  <si>
    <t>The preparation of this paper was partially supported in the framework of the project number PBS3/B8/25/2015, granted by The National Centre for Research and Development in Poland.</t>
  </si>
  <si>
    <t>ACADEMIC PRESS LTD- ELSEVIER SCIENCE LTD</t>
  </si>
  <si>
    <t>24-28 OVAL RD, LONDON NW1 7DX, ENGLAND</t>
  </si>
  <si>
    <t>0301-4797</t>
  </si>
  <si>
    <t>1095-8630</t>
  </si>
  <si>
    <t>J ENVIRON MANAGE</t>
  </si>
  <si>
    <t>J. Environ. Manage.</t>
  </si>
  <si>
    <t>10.1016/j.jenvman.2016.01.026</t>
  </si>
  <si>
    <t>DH3IO</t>
  </si>
  <si>
    <t>WOS:000372680900027</t>
  </si>
  <si>
    <t>Blix, AS</t>
  </si>
  <si>
    <t>Blix, Arnoldus Schytte</t>
  </si>
  <si>
    <t>Adaptations to polar life in mammals and birds</t>
  </si>
  <si>
    <t>Arctic; Antarctic; Temperature regulation; Starvation; Photoperiod; Circadian rhythms</t>
  </si>
  <si>
    <t>BROWN ADIPOSE-TISSUE; RANGIFER-TARANDUS-TARANDUS; MUSKOXEN OVIBOS-MOSCHATUS; BEARS URSUS-MARITIMUS; COUNTERCURRENT HEAT-EXCHANGE; EXPIRED AIR-TEMPERATURE; WILLOW PTARMIGAN CHICKS; HARE LEPUS-ARCTICUS; FOX ALOPEX-LAGOPUS; GRAY SEAL PUPS</t>
  </si>
  <si>
    <t>This Review presents a broad overview of adaptations of truly Arctic and Antarctic mammals and birds to the challenges of polar life. The polar environment may be characterized by grisly cold, scarcity of food and darkness in winter, and lush conditions and continuous light in summer. Resident animals cope with these changes by behavioural, physical and physiological means. These include responses aimed at reducing exposure, such as 'balling up', huddling and shelter building; seasonal changes in insulation by fur, plumage and blubber; and circulatory adjustments aimed at preservation of core temperature, to which end the periphery and extremities are cooled to increase insulation. Newborn altricial animals have profound tolerance to hypothermia, but depend on parental care for warmth, whereas precocial mammals are well insulated and respond to cold with non-shivering thermogenesis in brown adipose tissue, and precocial birds shiver to produce heat. Most polar animals prepare themselves for shortness of food during winter by the deposition of large amounts of fat in times of plenty during autumn. These deposits are governed by a sliding set-point for body fatness throughout winter so that they last until the sun reappears in spring. Polar animals are, like most others, primarily active during the light part of the day, but when the sun never sets in summer and darkness prevails during winter, high-latitude animals become intermittently active around the clock, allowing opportunistic feeding at all times. The importance of understanding the needs of the individuals of a species to understand the responses of populations in times of climate change is emphasized.</t>
  </si>
  <si>
    <t>[Blix, Arnoldus Schytte] Univ Tromso, Dept Arctic Biol, N-9037 Tromso, Norway; [Blix, Arnoldus Schytte] Univ Cambridge St Catharines Coll, Cambridge CB2 1RL, England</t>
  </si>
  <si>
    <t>UiT The Arctic University of Tromso; University of Cambridge</t>
  </si>
  <si>
    <t>Blix, AS (corresponding author), Univ Tromso, Dept Arctic Biol, N-9037 Tromso, Norway.;Blix, AS (corresponding author), Univ Cambridge St Catharines Coll, Cambridge CB2 1RL, England.</t>
  </si>
  <si>
    <t>asb000@uit.no</t>
  </si>
  <si>
    <t>10.1242/jeb.120477</t>
  </si>
  <si>
    <t>WOS:000374958100006</t>
  </si>
  <si>
    <t>Caiazzo, L; Becagli, S; Frosini, D; Giardi, F; Severi, M; Traversi, R; Udisti, R</t>
  </si>
  <si>
    <t>Caiazzo, Laura; Becagli, Silvia; Frosini, Daniele; Giardi, Fabio; Severi, Mirko; Traversi, Rita; Udisti, Roberto</t>
  </si>
  <si>
    <t>Spatial and temporal variability of snow chemical composition and accumulation rate at Talos Dome site (East Antarctica)</t>
  </si>
  <si>
    <t>Ion species; Snow layer; Talos Dome; Spatial variability; Accumulation rate</t>
  </si>
  <si>
    <t>ICE-CORE; CHRONOLOGY AICC2012; AMMONIUM; LAYERS; OCEAN; DIMETHYLSULFIDE; EMISSIONS; AEROSOL; NITRATE; RECORD</t>
  </si>
  <si>
    <t>Five snow pits and five fim cores were sampled during the 2003-2004 Italian Antarctic Campaign at Talos Dome (East Antarctica), where a deep ice core (TALDICE, TALos Dome Ice CorE, 1650 m depth) was drilled in 2005-2008 and analyzed for ionic content. Particular attention is spent in applying decontamination procedures to the firn cores, as core sections were stored for approximately 10 years before analysis. By considering the snow pit samples to be unperturbed, the comparison with firn core samples from the same location shows that ammonium, nitrate and MSA are affected by storage post-depositional losses. All the other measured ions are confirmed to be irreversibly deposited in the snow layer. The removal of the most external layers (few centimeters) from the firn core sections is proved to be an effective decontamination procedure. High-resolution profiles of seasonal markers (nitrate, sulfate and MSA) allow a reliable stratigraphic dating and a seasonal characterization of the samples. The calculated mean accumulation-rate values range from 70 to 85 mm w.e. year-I, in the period 2003-1973 with small differences between two sectors: 70-74 mm 1N.e. year-in the NNE sector (spanning 2003-1996 years) and 81-92 mm w.e. year-1 in the SSW sector (spanning 20031980 years). This evidence is interpreted as a coupled effect of wind-driven redistribution processes in accumulation/ablation areas. Statistical treatment applied to the concentration values of the snow pits and firn cores samples collected in different points reveals a larger temporal variability than spatial one both in terms of concentration of chemical markers and annual accumulation. The low spatial variability of the accumulation rate and chemical composition measured in the five sites demonstrates that the TALDICE ice core paleo-environmental and paleo-climatic stratigraphies can be considered as reliably representative for the Talos Dome area. (C) 2016 Elsevier B.V. All rights reserved.</t>
  </si>
  <si>
    <t>[Caiazzo, Laura; Becagli, Silvia; Frosini, Daniele; Giardi, Fabio; Severi, Mirko; Traversi, Rita; Udisti, Roberto] Univ Florence, Dept Chem Ugo Schiff, I-50019 Florence, Italy</t>
  </si>
  <si>
    <t>University of Florence</t>
  </si>
  <si>
    <t>Traversi, R (corresponding author), Univ Florence, Dept Chem Ugo Schiff, I-50019 Florence, Italy.</t>
  </si>
  <si>
    <t>rita.traversi@unifi.it</t>
  </si>
  <si>
    <t>Giardi, Fabio/AAP-1091-2020; Caiazzo, Laura/AAT-1502-2020; Becagli, Silvia/GNW-2665-2022; Traversi, Rita/M-7586-2015; Severi, Mirko/J-2508-2012</t>
  </si>
  <si>
    <t>Giardi, Fabio/0000-0003-0291-7800; Caiazzo, Laura/0000-0001-7932-2499; Traversi, Rita/0000-0002-9790-2195; Severi, Mirko/0000-0003-1511-6762</t>
  </si>
  <si>
    <t>MIUR-PNRA program; PNRA consortium; University of Milano-Bicocca; University of Venice</t>
  </si>
  <si>
    <t>MIUR-PNRA program(Ministry of Education, Universities and Research (MIUR)); PNRA consortium; University of Milano-Bicocca; University of Venice</t>
  </si>
  <si>
    <t>This research was financially supported by the MIUR-PNRA program through a co-operation agreement among the PNRA consortium, University of Milano-Bicocca, and University of Venice in the framework of the Glaciology and Chemistry of Polar Environments projects.</t>
  </si>
  <si>
    <t>10.1016/j.scitotenv.2016.01.087</t>
  </si>
  <si>
    <t>DF3EM</t>
  </si>
  <si>
    <t>WOS:000371226700044</t>
  </si>
  <si>
    <t>Odeyemi, OA</t>
  </si>
  <si>
    <t>Odeyemi, Olumide A.</t>
  </si>
  <si>
    <t>Incidence and prevalence of Vibrio parahaemolyticus in seafood: a systematic review and meta-analysis</t>
  </si>
  <si>
    <t>SPRINGERPLUS</t>
  </si>
  <si>
    <t>Seafood safety and quality; Prevalence; Reservoir; V. parahaemolyticus; Shellfish</t>
  </si>
  <si>
    <t>POLYMERASE-CHAIN-REACTION; POTENTIALLY PATHOGENIC VIBRIO; OYSTERS CRASSOSTREA-GIGAS; RAPID DETECTION; MOLECULAR CHARACTERIZATION; MOLLUSCAN SHELLFISH; CHROMOGENIC MEDIUM; VIRULENT-STRAINS; ANADARA-GRANOSA; RISK-ASSESSMENT</t>
  </si>
  <si>
    <t>Vibrio parahaemolyticus is an important seafood borne human pathogen worldwide due to it occurrence, prevalence and ability to cause gastrointestinal infections. This current study aim at investigating the incidence and prevalence of V. parahaemolyticus in seafood using systematic review-meta-analysis by exploring heterogeneity among primary studies. A comprehensive systematic review and meta-analysis of peer reviewed primary studies reported between 2003 and 2015 for the occurrence and prevalence of V. parahaemolyticus in seafood was conducted using isolation, detection, prevalence, incidence, occurrence or enumeration and V. parahaemolyticus as search algorithms in Web of Science (Science Direct) and ProQuest of electronic bibliographic databases. Data extracted from the primary studies were then analyzed with fixed effect meta-analysis model for effect rate to explore heterogeneity between the primary studies. Publication bias was evaluated using funnel plot. A total of 10,819 articles were retrieved from the data bases of which 48 studies met inclusion criteria. V. parahaemolyticus could only be isolated from 2761 (47.5 %) samples of 5811 seafood investigated. The result of this study shows that incidence of V. parahaemolyticus was more prevalent in oysters with overall prevalence rate of 63.4 % (95 % CI 0.592-0.674) than other seafood. Overall prevalence rate of clams was 52.9 % (95 % CI 0.490-0.568); fish 51.0 % (95 % CI 0.476-0.544); shrimps 48.3 % (95 % CI 0.454-0.512) and mussels, scallop and periwinkle: 28.0 % (95 % CI 0.255-0.307). High heterogeneity (p value &lt; 0.001; I-2 = 95.291) was observed mussel compared to oysters (I-2 = 91.024). It could be observed from this study that oysters harbor V. parahaemolyticus based on the prevalence rate than other seafood investigated. The occurrence and prevalence of V. parahaemolyticus is of public health importance, hence, more studies involving seafood such as mussels need to be investigated.</t>
  </si>
  <si>
    <t>[Odeyemi, Olumide A.] Univ Tasmania, Ecol &amp; Biodivers Ctr, Inst Marine &amp; Antarctic Studies, Launceston, Tas 7250, Australia</t>
  </si>
  <si>
    <t>Odeyemi, OA (corresponding author), Univ Tasmania, Ecol &amp; Biodivers Ctr, Inst Marine &amp; Antarctic Studies, Launceston, Tas 7250, Australia.</t>
  </si>
  <si>
    <t>olumide.odeyemi@utas.edu.au</t>
  </si>
  <si>
    <t>Odeyemi, Olumide A/ABE-3206-2021</t>
  </si>
  <si>
    <t>Odeyemi, Olumide A/0000-0002-6041-5027</t>
  </si>
  <si>
    <t>Tasmania Graduate Research Scholarship (TGRS); University of Tasmania</t>
  </si>
  <si>
    <t>The University of Tasmania is appreciated for provision of Tasmania Graduate Research Scholarship (TGRS) and University of Tasmania Full Tuition Scholarship.</t>
  </si>
  <si>
    <t>SPRINGER INT PUBL AG</t>
  </si>
  <si>
    <t>2193-1801</t>
  </si>
  <si>
    <t>SpringerPlus</t>
  </si>
  <si>
    <t>APR 14</t>
  </si>
  <si>
    <t>10.1186/s40064-016-2115-7</t>
  </si>
  <si>
    <t>DL5TA</t>
  </si>
  <si>
    <t>WOS:000375698600020</t>
  </si>
  <si>
    <t>Majewska, R; Convey, P; De Stefano, M</t>
  </si>
  <si>
    <t>Majewska, Roksana; Convey, Peter; De Stefano, Mario</t>
  </si>
  <si>
    <t>Summer Epiphytic Diatoms from Terra Nova Bay and Cape Evans (Ross Sea, Antarctica) - A Synthesis and Final Conclusions</t>
  </si>
  <si>
    <t>KING-GEORGE-ISLAND; BENTHIC DIATOMS; PHYLLOPHORA-ANTARCTICA; WEDDELL SEA; ICE-EDGE; MICROBIAL COMMUNITIES; MARINE MACROALGAE; SURFACE SEDIMENTS; MCMURDO SOUND; POTTER COVE</t>
  </si>
  <si>
    <t>Despite recent advances in polar marine biology and related fields, many aspects of the ecological interactions that are crucial for the functioning of Antarctic shallow water habitats remain poorly understood. Although epiphytic diatoms play an essential role in the Antarctic marine food web, basic information regarding their ecology, biodiversity and biogeography is largely unavailable. Here, we synthesise studies on Ross Sea epiphytic diatoms collected during 11 summer Antarctic expeditions between the years 1989/90 and 2011/12, presenting a full list of diatom taxa associated with three macroalgal species (Iridaea cordata, Phyllophora antarctica, and Plocamium cartilagineum) and their epiphytic sessile fauna. Diatom communities found during the three summer months at various depths and sampling stations differed significantly in terms of species composition, growth form structure and abundances. Densities ranged from 21 to &gt;8000 cells mm(-2), and were significantly higher on the surface of epiphytic micro-fauna than on any of the macroalgal species examined. Generally, host organisms characterized by higher morphological heterogeneity (sessile micro-fauna, ramified Plocamium) supported richer diatom communities than those with more uniform surfaces (Iridaea). Differences between epiphytic communities associated with different macroalgae were reflected better in species composition than in growth form structure. The latter changed significantly with season, which was related strongly to the changing ice conditions. A general trend towards an increasing number of erect forms in deeper waters and tube-dwelling diatoms in the shallowest sites (2-5 m) was also observed. This study explores further important and largely previously unknown aspects of relationships and interactions between Antarctic epiphytic diatoms and their micro-and macro-environments.</t>
  </si>
  <si>
    <t>[Majewska, Roksana; De Stefano, Mario] Univ Naples 2, Dept Environm Biol &amp; Pharmaceut Sci &amp; Technol, I-81100 Caserta, Italy; [Majewska, Roksana] Magna Graecia Univ Catanzaro, BioNEM Lab, Dept Expt &amp; Clin Med, I-88100 Catanzaro, Italy; [Convey, Peter] British Antarctic Survey, Nat Environm Res Council, High Cross, Madingley Rd, Cambridge CB3 0ET, England</t>
  </si>
  <si>
    <t>Universita della Campania Vanvitelli; Magna Graecia University of Catanzaro; UK Research &amp; Innovation (UKRI); Natural Environment Research Council (NERC); NERC British Antarctic Survey</t>
  </si>
  <si>
    <t>Majewska, R (corresponding author), Univ Naples 2, Dept Environm Biol &amp; Pharmaceut Sci &amp; Technol, I-81100 Caserta, Italy.;Majewska, R (corresponding author), Magna Graecia Univ Catanzaro, BioNEM Lab, Dept Expt &amp; Clin Med, I-88100 Catanzaro, Italy.</t>
  </si>
  <si>
    <t>roksana.majewska@unina2.it</t>
  </si>
  <si>
    <t>Majewska, Roksana/P-1280-2015; Convey, Peter/AAV-5728-2020</t>
  </si>
  <si>
    <t>Majewska, Roksana/0000-0003-2681-4304; Convey, Peter/0000-0001-8497-9903; DE STEFANO, Mario/0000-0003-0342-192X</t>
  </si>
  <si>
    <t>Second University of Naples; Italian National Program of Research in Antarctica (PNRA) [2010/A1.02]; NERC; Natural Environment Research Council; NERC [bas0100036] Funding Source: UKRI; Natural Environment Research Council [bas0100036] Funding Source: researchfish</t>
  </si>
  <si>
    <t>Second University of Naples; Italian National Program of Research in Antarctica (PNRA)(Ministry of Education, Universities and Research (MIUR)); NERC(UK Research &amp; Innovation (UKRI)Natural Environment Research Council (NERC));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</si>
  <si>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This work was supported by the Second University of Naples (www.unina2.it) and the Italian National Program of Research in Antarctica (PNRA) co-ordinated by the Italian National Research Council (www.cnr.it/sitocnr/home.html) [grant ID: 2010/A1.02, MD]. PC is supported by the Natural Environment Research Council (www.nerc.ac.uk) core funding to the British Antarctic Survey (www.bas.ac.uk) Biodiversity, Evolution and Adaptation Team. The funders had no role in study design, data collection and analysis, decision to publish, or preparation of the manuscript.; This work was supported by the Second University of Naples and the Italian National Program of Research in Antarctica (PNRA) co-ordinated by the Italian National Research Council [2010/A1.02]. PC is supported by NERC core funding to the BAS Biodiversity, Evolution and Adaptation Team. We thank Lukasz Polanski, who kindly provided the sampling site map (Fig 1). This paper also contributes to the SCAR 'State of the Antarctic Ecosystem' (AntEco) research programme.</t>
  </si>
  <si>
    <t>e0153254</t>
  </si>
  <si>
    <t>10.1371/journal.pone.0153254</t>
  </si>
  <si>
    <t>DJ3UH</t>
  </si>
  <si>
    <t>gold, Green Published, Green Accepted, Green Submitted</t>
  </si>
  <si>
    <t>WOS:000374131700030</t>
  </si>
  <si>
    <t>Kathayat, G; Cheng, H; Sinha, A; Spötl, C; Edwards, RL; Zhang, HW; Li, XL; Yi, L; Ning, YF; Cai, YJ; Lui, WGL; Breitenbach, SFM</t>
  </si>
  <si>
    <t>Kathayat, Gayatri; Cheng, Hai; Sinha, Ashish; Spoetl, Christoph; Edwards, R. Lawrence; Zhang, Haiwei; Li, Xianglei; Yi, Liang; Ning, Youfeng; Cai, Yanjun; Lui, Weiguo Lui; Breitenbach, Sebastian F. M.</t>
  </si>
  <si>
    <t>Indian monsoon variability on millennial-orbital timescales</t>
  </si>
  <si>
    <t>ASIAN MONSOON; HULU CAVE; CLIMATE; RECORD; PRECIPITATION; U-234; SCALE</t>
  </si>
  <si>
    <t>The Indian summer monsoon (ISM) monsoon is critical to billions of people living in the region. Yet, significant debates remain on primary ISM drivers on millennial-orbital timescales. Here, we use speleothem oxygen isotope (delta O-18) data from Bittoo cave, Northern India to reconstruct ISM variability over the past 280,000 years. We find strong coherence between North Indian and Chinese speleothem delta O-18 records from the East Asian monsoon domain, suggesting that both Asian monsoon subsystems exhibit a coupled response to changes in Northern Hemisphere summer insolation (NHSI) without significant temporal lags, supporting the view that the tropical-subtropical monsoon variability is driven directly by precession-induced changes in NHSI. Comparisons of the North Indian record with both Antarctic ice core and sea-surface temperature records from the southern Indian Ocean over the last glacial period do not suggest a dominant role of Southern Hemisphere climate processes in regulating the ISM variability on millennial-orbital timescales.</t>
  </si>
  <si>
    <t>[Kathayat, Gayatri; Cheng, Hai; Zhang, Haiwei; Li, Xianglei; Ning, Youfeng] Xi An Jiao Tong Univ, Inst Global Environm Change, Xian 710049, Peoples R China; [Cheng, Hai; Edwards, R. Lawrence] Univ Minnesota, Dept Earth Sci, Minneapolis, MN 55455 USA; [Sinha, Ashish] Calif State Univ Dominguez Hills, Dept Earth Sci, Carson, CA 90747 USA; [Spoetl, Christoph] Univ Innsbruck, Inst Geol, Innrain 52, A-6020 Innsbruck, Austria; [Yi, Liang] Tongji Univ, State Key Lab Marine Geol, Shanghai 200092, Peoples R China; [Cai, Yanjun; Lui, Weiguo Lui] Chinese Acad Sci, Inst Earth Environm, Xian 710054, Peoples R China; [Breitenbach, Sebastian F. M.] Univ Cambridge, Dept Earth Sci, Downing St, Cambridge CB2 3EQ, England; [Breitenbach, Sebastian F. M.] Ruhr Univ Bochum, Inst Geol Mineral &amp; Geophys, Univ Str 150, D-44801 Bochum, Germany</t>
  </si>
  <si>
    <t>Xi'an Jiaotong University; University of Minnesota System; University of Minnesota Twin Cities; California State University System; California State University Dominguez Hills; University of Innsbruck; Tongji University; Chinese Academy of Sciences; Institute of Earth Environment, CAS; University of Cambridge; Ruhr University Bochum</t>
  </si>
  <si>
    <t>Cheng, H (corresponding author), Xi An Jiao Tong Univ, Inst Global Environm Change, Xian 710049, Peoples R China.;Cheng, H (corresponding author), Univ Minnesota, Dept Earth Sci, Minneapolis, MN 55455 USA.</t>
  </si>
  <si>
    <t>cheng021@umn.edu</t>
  </si>
  <si>
    <t>Edwards, R. Lawrence/I-3124-2014; Breitenbach, Sebastian F.M./C-2529-2014; Breitenbach, Sebastian/AAB-1420-2019; CHENG, HAI/H-3413-2017; Yi, Liang/AAM-9737-2020; Edwards, Richard/JAX-3732-2023; Cai, Yanjun/A-9462-2010</t>
  </si>
  <si>
    <t>CHENG, HAI/0000-0002-5305-9458; Yi, Liang/0000-0003-3377-8591; Li, Xianglei/0000-0002-8464-9020; Cai, Yanjun/0000-0001-7063-5050; Kathayat, Gayatri/0000-0001-9333-9385; Zhang, Haiwei/0000-0002-0855-1283</t>
  </si>
  <si>
    <t>National Natural Science Foundation of China [NSFC 41230524, NSFC 4157020432]; Chinese National Basic Research Program [2013CB955902]; National Science Foundation [ATM: 0823554, 0502535, 0908792, 1103404, 1137693]; Directorate For Geosciences; Div Atmospheric &amp; Geospace Sciences [1103403] Funding Source: National Science Foundation; Division Of Earth Sciences; Directorate For Geosciences [0908792] Funding Source: National Science Foundation</t>
  </si>
  <si>
    <t>National Natural Science Foundation of China(National Natural Science Foundation of China (NSFC)); Chinese National Basic Research Program(National Basic Research Program of China); National Science Foundation(National Science Foundation (NSF)); Directorate For Geosciences; Div Atmospheric &amp; Geospace Sciences(National Science Foundation (NSF)NSF - Directorate for Geosciences (GEO)); Division Of Earth Sciences; Directorate For Geosciences(National Science Foundation (NSF)NSF - Directorate for Geosciences (GEO))</t>
  </si>
  <si>
    <t>We thank D.S. Chuhan, C.S. Chuhan, A.S. Kathayat, C.S. Kathayat, and J. Biswas for their assistance during fieldwork. This work is supported by grants form National Natural Science Foundation of China to H.C. (NSFC 41230524), Chinese National Basic Research Program to H.C. (2013CB955902), National Natural Science Foundation of China to H.C. (NSFC 4157020432), and National Science Foundation to A.S. (ATM: 0823554), and to R.L.E and H.C. (0502535, 0908792, 1103404 and 1137693).</t>
  </si>
  <si>
    <t>APR 13</t>
  </si>
  <si>
    <t>10.1038/srep24374</t>
  </si>
  <si>
    <t>DJ0TB</t>
  </si>
  <si>
    <t>WOS:000373916200003</t>
  </si>
  <si>
    <t>Kang, S; Han, SR; Oh, TJ; Park, H</t>
  </si>
  <si>
    <t>Kang, Seunghyun; Han, So-Ra; Oh, Tae-Jin; Park, Hyun</t>
  </si>
  <si>
    <t>Complete genome sequence of thiosulfate-oxidizing Bosea sp strain PAMC26642 isolated from an Arctic lichen</t>
  </si>
  <si>
    <t>Bosea sp PAMC26642; Complete genome sequence; Thiosulfate-oxidizing bacteria; Arctic lichen</t>
  </si>
  <si>
    <t>SP NOV.; BACTERIUM</t>
  </si>
  <si>
    <t>Thiosulfate-oxidizing Bosea sp. strain PAMC26642 was isolated from the Arctic lichen Stereocaulon sp. Complete genome sequencing of Bosea sp. PAMC26642 revealed several genes involved in thiosulfate oxidation. An analysis of the Bosea sp. PAMC26642 genome will provide novel insight into the genetic basis of its physiology and enable further analysis of key genes in the thiosulfate oxidation pathway. (C) 2016 Elsevier B.V. All rights reserved.</t>
  </si>
  <si>
    <t>[Kang, Seunghyun; Park, Hyun] Korea Polar Res Inst KOPRI, 213-3 Songdo Dong, Inchon 21990, South Korea; [Han, So-Ra; Oh, Tae-Jin] SunMoon Univ, Dept BT Convergent Pharmaceut Engn, 100 Kalsan Ri, Asan 31460, Chungnam, South Korea</t>
  </si>
  <si>
    <t>Korea Polar Research Institute (KOPRI); Sun Moon University</t>
  </si>
  <si>
    <t>Park, H (corresponding author), Korea Polar Res Inst KOPRI, 213-3 Songdo Dong, Inchon 21990, South Korea.;Oh, TJ (corresponding author), SunMoon Univ, Dept BT Convergent Pharmaceut Engn, 100 Kalsan Ri, Asan 31460, Chungnam, South Korea.</t>
  </si>
  <si>
    <t>tjoh3782@sunmoon.ac.kr; hpark@kopri.re.kr</t>
  </si>
  <si>
    <t>APR 10</t>
  </si>
  <si>
    <t>10.1016/j.jbiotec.2016.02.033</t>
  </si>
  <si>
    <t>DG8FK</t>
  </si>
  <si>
    <t>WOS:000372318200008</t>
  </si>
  <si>
    <t>Ahn, DH; Han, SR; Oh, TJ; Park, H</t>
  </si>
  <si>
    <t>Ahn, Do-Hwan; Han, So-Ra; Oh, Tae-Jin; Park, Hyun</t>
  </si>
  <si>
    <t>Complete genome sequence of ionizing radiation-resistant Hymenobacter sp strain PAMC26628 isolated from an Arctic lichen</t>
  </si>
  <si>
    <t>Hymenobacter sp PAMC26628; Complete genome sequence; Radiation-resistance; Nucleotide excision repair</t>
  </si>
  <si>
    <t>BACTERIUM</t>
  </si>
  <si>
    <t>Ionizing radiation-resistant Hymenobacter sp. strain PAMC26628 was isolated from Stereocaulon sp., an Arctic lichen. Complete genome sequencing of Hymenobacter sp. PAMC26628 revealed one chromosome (5,277,381 bp), one plasmid (89,596 bp), and several genes involved in nucleotide excision repair, a DNA damage removal pathway. An analysis of the Hymenobacter sp. PAMC26628 genome will help us understand its evolution and provide novel insight into the adaptations that allow this organism to survive in the extreme cold of the Arctic. (C) 2016 Elsevier B.V. All rights reserved.</t>
  </si>
  <si>
    <t>[Ahn, Do-Hwan; Park, Hyun] Korea Polar Res Inst KOPRI, 213-3 Songdo Dong, Inchon 21990, South Korea; [Han, So-Ra; Oh, Tae-Jin] SunMoon Univ, Dept BT Convergent Pharmaceut Engn, 100 Kalsan Ri, Asan 31460, Chungnam, South Korea</t>
  </si>
  <si>
    <t>Antarctic organisms: Cold-Adaptation Mechanisms - Korea Polar Research Institute [PE16070]</t>
  </si>
  <si>
    <t>Antarctic organisms: Cold-Adaptation Mechanisms - Korea Polar Research Institute</t>
  </si>
  <si>
    <t>10.1016/j.jbiotec.2016.02.031</t>
  </si>
  <si>
    <t>WOS:000372318200011</t>
  </si>
  <si>
    <t>Jager, T; Ravagnan, E</t>
  </si>
  <si>
    <t>Jager, Tjalling; Ravagnan, Elisa</t>
  </si>
  <si>
    <t>Modelling growth of northern krill (Meganyctiphanes norvegica) using an energy-budget approach</t>
  </si>
  <si>
    <t>ECOLOGICAL MODELLING</t>
  </si>
  <si>
    <t>Dynamic energy budget; DEBkiss; Meganyctiphanes norvegica; Life-history traits; Growth modelling; Krill</t>
  </si>
  <si>
    <t>EUPHAUSIA-SUPERBA; ANTARCTIC KRILL; CRUSTACEA-EUPHAUSIACEA; POPULATION-DYNAMICS; GENERIC MODEL; LIFE-HISTORY; RESPIRATION; KATTEGAT; ATLANTIC; CYCLE</t>
  </si>
  <si>
    <t>Northern krill (Meganyctiphanes norvegica) is an important species in the North Atlantic and the Mediterranean Sea, but very little life-history information is available under controlled (laboratory) conditions. Here, we use the DEBkiss model to piece together the available data into a quantitative energy budget. We use this model to analyse larval growth curves, and to reconstruct the feeding history for field populations from their (reconstructed) multi-year growth patterns. The resulting model parameters are also used to provide estimates for respiration, feeding and reproduction rates that are consistent with measured values. Many uncertainties remain, but this analysis demonstrates how simple and generic energy-budget models have the potential to integrate observations on different traits, to interpret growth as a function of food and temperature, and to compare different species in a meaningful manner. (C) 2016 Elsevier B.V. All rights reserved.</t>
  </si>
  <si>
    <t>[Jager, Tjalling] DEBtox Res, De Bilt, Netherlands; [Ravagnan, Elisa] Int Res Inst Stavanger, IRIS Environm, Postboks 8046, N-4068 Stavanger, Norway</t>
  </si>
  <si>
    <t>Jager, T (corresponding author), DEBtox Res, De Bilt, Netherlands.</t>
  </si>
  <si>
    <t>tjalling@debtox.nl</t>
  </si>
  <si>
    <t>Jager, Tjalling/D-8168-2011</t>
  </si>
  <si>
    <t>Jager, Tjalling/0000-0002-4424-1442</t>
  </si>
  <si>
    <t>Research Council of Norway through WP3: Energetics as a link from sub-individuals to populations [204023/E40]</t>
  </si>
  <si>
    <t>Research Council of Norway through WP3: Energetics as a link from sub-individuals to populations</t>
  </si>
  <si>
    <t>This study was financially supported by the Research Council of Norway through the grant 204023/E40 Integrated model system: Risk and Ecosystem Based Management of Arctic waters, WP3: Energetics as a link from sub-individuals to populations.</t>
  </si>
  <si>
    <t>0304-3800</t>
  </si>
  <si>
    <t>1872-7026</t>
  </si>
  <si>
    <t>ECOL MODEL</t>
  </si>
  <si>
    <t>Ecol. Model.</t>
  </si>
  <si>
    <t>10.1016/j.ecolmodel.2015.12.020</t>
  </si>
  <si>
    <t>DG3BL</t>
  </si>
  <si>
    <t>WOS:000371944400003</t>
  </si>
  <si>
    <t>Hawes, TC</t>
  </si>
  <si>
    <t>Hawes, Timothy C.</t>
  </si>
  <si>
    <t>Micro-terraforming by Antarctic springtails (Hexapoda: Entognatha)</t>
  </si>
  <si>
    <t>JOURNAL OF NATURAL HISTORY</t>
  </si>
  <si>
    <t>Autogenic engineering; Collembola; cuticular hydrocarbons; exuviae; microhabitat; moulting</t>
  </si>
  <si>
    <t>GOMPHIOCEPHALUS-HODGSONI; CRYPTOPYGUS-ANTARCTICUS; PROGLACIAL CHRONOSEQUENCES; BIOTIC INTERACTIONS; VICTORIA LAND; COLLEMBOLA; LIFE; AGGREGATION; COMMUNITIES; ECOSYSTEMS</t>
  </si>
  <si>
    <t>It has long been an axiom of Antarctic terrestrial ecology that interactions between terrestrial invertebrates and their abiotic environment are unidirectional: they are affected by their extreme environment in numerous ways, but they themselves do not affect their environment. Field observations in tandem with laboratory investigations of the exuvial refugia of the springtail Gomphiocephalus hodgsoni Carpenter, reported here, challenge this long-held assumption. These previously undescribed structures consist of minute lithic particulate matter that has been bound together by the accumulation of moult exuviae. Macrophotography, microscopy and manipulation assays demonstrated that the exuviae act as a kind of cement'. Detachment of exuviae by emulsification indicated that this is mediated by the accumulation of cuticular hydrocarbons (retained in shed exuviae) at the lithic-exuvial interface. In addition to re-enforcing preferred microhabitat features by extending the hygrically buffered refuge phenotype, these structures contribute to primary soil formation processes through the structural cohesion of particulate matter. These by-products of moulting behaviour represent the first tangible evidence of environmental modification by terrestrial invertebrates on the Antarctic continent.</t>
  </si>
  <si>
    <t>[Hawes, Timothy C.] Khon Kaen Univ, Int Coll, Khon Kaen, Thailand; [Hawes, Timothy C.] Univ Otago, Dept Zool, POB 56, Dunedin, New Zealand</t>
  </si>
  <si>
    <t>Khon Kaen University; University of Otago</t>
  </si>
  <si>
    <t>Hawes, TC (corresponding author), Khon Kaen Univ, Int Coll, Khon Kaen, Thailand.;Hawes, TC (corresponding author), Univ Otago, Dept Zool, POB 56, Dunedin, New Zealand.</t>
  </si>
  <si>
    <t>timothyhawes@hotmail.com</t>
  </si>
  <si>
    <t>0022-2933</t>
  </si>
  <si>
    <t>1464-5262</t>
  </si>
  <si>
    <t>J NAT HIST</t>
  </si>
  <si>
    <t>J. Nat. Hist.</t>
  </si>
  <si>
    <t>13-14</t>
  </si>
  <si>
    <t>10.1080/00222933.2015.1091098</t>
  </si>
  <si>
    <t>Biodiversity Conservation; Ecology; Zoology</t>
  </si>
  <si>
    <t>Biodiversity &amp; Conservation; Environmental Sciences &amp; Ecology; Zoology</t>
  </si>
  <si>
    <t>DD6ML</t>
  </si>
  <si>
    <t>WOS:000370038200001</t>
  </si>
  <si>
    <t>Smart, JJ; Chin, A; Baje, L; Green, ME; Appleyard, SA; Tobin, AJ; Simpfendorfer, CA; White, WT</t>
  </si>
  <si>
    <t>Smart, Jonathan J.; Chin, Andrew; Baje, Leontine; Green, Madeline E.; Appleyard, Sharon A.; Tobin, Andrew J.; Simpfendorfer, Colin A.; White, William T.</t>
  </si>
  <si>
    <t>Effects of Including Misidentified Sharks in Life History Analyses: A Case Study on the Grey Reef Shark Carcharhinus amblyrhynchos from Papua New Guinea</t>
  </si>
  <si>
    <t>MODELING FISH GROWTH; BLACKTIP SHARK; REPRODUCTIVE-BIOLOGY; AGE-DETERMINATION; MULTIMODEL INFERENCE; FISHERIES; TILSTONI; LIMBATUS; VALIDATION; SELECTION</t>
  </si>
  <si>
    <t>Fisheries observer programs are used around the world to collect crucial information and samples that inform fisheries management. However, observer error may misidentify similar -looking shark species. This raises questions about the level of error that species misidentifications could introduce to estimates of species' life history parameters. This study addressed these questions using the Grey Reef Shark Carcharhinus amblyrhynchos as a case study. Observer misidentification rates were quantified by validating species identifications using diagnostic photographs taken on board supplemented with DNA barcoding. Length-at-age and maturity ogive analyses were then estimated and compared with and without the misidentified individuals. Vertebrae were retained from a total of 155 sharks identified by observers as C. amblyrhynchos. However, 22 (14%) of these were sharks were misidentified by the observers and were subsequently re -identified based on photographs and/or DNA barcoding. Of the 22 individuals misidentified as C. amblyrhynchos, 16 (73%) were detected using photographs and a further 6 via genetic validation. If misidentified individuals had been included, substantial error would have been introduced to both the length -at -age and the maturity estimates. Thus validating the species identification, increased the accuracy of estimated life history parameters for C. amblyrhynchos. From the corrected sample a multi -model inference approach was used to estimate growth for C. amblyrhynchos using three candidate models. The model averaged length-at-age parameters for C. amblyrhynchos with the sexes combined were (L) over bar infinity= 159 cm TL and L,= 72 cm TL. Females mature at a greater length (150 = 136 cm TL) and older age (A(50) = 9.1 years) than males (150 = 123 cm TL; A(50) = 5.9 years). The inclusion of techniques to reduce misidentification in observer programs will improve the results of life history studies and ultimately improve management through the use of more accurate data for assessments.</t>
  </si>
  <si>
    <t>[Smart, Jonathan J.; Chin, Andrew; Baje, Leontine; Tobin, Andrew J.; Simpfendorfer, Colin A.] James Cook Univ, Ctr Sustainable Trop Fisheries &amp; Aquaculture, Townsville, Qld 4811, Australia; [Smart, Jonathan J.; Chin, Andrew; Baje, Leontine; Tobin, Andrew J.; Simpfendorfer, Colin A.] James Cook Univ, Coll Marine &amp; Environm Sci, Townsville, Qld 4811, Australia; [Baje, Leontine] Natl Fisheries Author, Port Moresby, Papua N Guinea; [Green, Madeline E.] Univ Tasmania, Inst Marine &amp; Antarctic Studies, Hobart, Tas, Australia; [Green, Madeline E.; Appleyard, Sharon A.; White, William T.] CSIRO Oceans &amp; Atmosphere, Hobart, Tas, Australia; [Green, Madeline E.; Appleyard, Sharon A.; White, William T.] CSIRO Natl Res Collect Australia, Australian Natl Fish Collect, Hobart, Tas, Australia</t>
  </si>
  <si>
    <t>James Cook University; James Cook University; University of Tasmania; Commonwealth Scientific &amp; Industrial Research Organisation (CSIRO); Commonwealth Scientific &amp; Industrial Research Organisation (CSIRO)</t>
  </si>
  <si>
    <t>Smart, JJ (corresponding author), James Cook Univ, Ctr Sustainable Trop Fisheries &amp; Aquaculture, Townsville, Qld 4811, Australia.;Smart, JJ (corresponding author), James Cook Univ, Coll Marine &amp; Environm Sci, Townsville, Qld 4811, Australia.</t>
  </si>
  <si>
    <t>jonathan.smart@my.jcu.edu.au</t>
  </si>
  <si>
    <t>appleyard, sharon/D-6076-2012; Simpfendorfer, Colin A/G-9681-2011; Appleyard, Sharon/AAJ-9942-2020; Chin, Andrew/C-2254-2008; Smart, jonathan/W-2971-2019; White, William/B-9748-2009</t>
  </si>
  <si>
    <t>appleyard, sharon/0000-0002-3105-1690; Appleyard, Sharon/0000-0002-3105-1690; Chin, Andrew/0000-0003-1813-4042; Smart, jonathan/0000-0003-2070-3208; White, William/0000-0001-9705-2453; Green, Madeline Elizabeth/0000-0002-5037-2043</t>
  </si>
  <si>
    <t>Australian Centre for International Agricultural Research (ACIAR) [FIS/2012/102]; National Fisheries Authority (NFA); Commonwealth Scientific and Industrial Research Organisation (CSIRO); James Cook University (JCU); Australian post-graduate award; Oceania Chondrichthyan Society (OCS) Passions of Paradise award; CSIRO Wealth from Oceans scholarship</t>
  </si>
  <si>
    <t>Australian Centre for International Agricultural Research (ACIAR)(Australian Ctr Intl Agr Res); National Fisheries Authority (NFA); Commonwealth Scientific and Industrial Research Organisation (CSIRO)(Commonwealth Scientific &amp; Industrial Research Organisation (CSIRO)); James Cook University (JCU); Australian post-graduate award(Australian Government); Oceania Chondrichthyan Society (OCS) Passions of Paradise award; CSIRO Wealth from Oceans scholarship</t>
  </si>
  <si>
    <t>This project was funded by the Australian Centre for International Agricultural Research (ACIAR; project FIS/2012/102), National Fisheries Authority (NFA), the Commonwealth Scientific and Industrial Research Organisation (CSIRO), and James Cook University (JCU). Special thanks to Drs Chris Barlow and Jes Sammut for their support of this project. The lead author was supported by an Australian post-graduate award, an Oceania Chondrichthyan Society (OCS) Passions of Paradise award, and a CSIRO Wealth from Oceans scholarship. The authors would like to thank Brian Kumasi, Luanah Yaman, Leban Gisawa and Ludwig Kumoru from the NFA for their continued support and collaboration on this project. For laboratory assistance we thank Brooke D'Alberto, Samantha Sherman, Satoshi Shiratsuchi and Andrea Cabrera Garcia. We would like to thank the fishers of the longline vessels and a special thanks to the NFA on-board fisheries observers who collected the data and vertebrae: Jackson Maravee, Noah Lurang Jr, Daniel Sau, Murphy John, Paliau Parkop, Towai Peli and Udill Jotham.</t>
  </si>
  <si>
    <t>APR 8</t>
  </si>
  <si>
    <t>e0153116</t>
  </si>
  <si>
    <t>10.1371/journal.pone.0153116</t>
  </si>
  <si>
    <t>DI6JK</t>
  </si>
  <si>
    <t>Green Accepted, Green Published, Green Submitted, gold</t>
  </si>
  <si>
    <t>WOS:000373604800016</t>
  </si>
  <si>
    <t>Najnin, T; Siddiqui, KS; Taha; Elkaid, N; Kornfeld, G; Curmi, PMG; Cavicchioli, R</t>
  </si>
  <si>
    <t>Najnin, T.; Siddiqui, K. S.; Taha; Elkaid, N.; Kornfeld, G.; Curmi, P. M. G.; Cavicchioli, R.</t>
  </si>
  <si>
    <t>Characterization of a temperature-responsive two component regulatory system from the Antarctic archaeon, Methanococcoides burtonii</t>
  </si>
  <si>
    <t>DIFFERENTIAL SCANNING CALORIMETRY; COLD SHOCK RESPONSE; SIGNAL-TRANSDUCTION; ESCHERICHIA-COLI; PHOSPHATASE-ACTIVITY; AGROBACTERIUM-TUMEFACIENS; TRANSMEMBRANE RECEPTORS; CRYSTAL-STRUCTURE; HISTIDINE KINASE; PROTEIN</t>
  </si>
  <si>
    <t>Cold environments dominate the Earth's biosphere and the resident microorganisms play critical roles in fulfilling global biogeochemical cycles. However, only few studies have examined the molecular basis of thermosensing; an ability that microorganisms must possess in order to respond to environmental temperature and regulate cellular processes. Two component regulatory systems have been inferred to function in thermal regulation of gene expression, but biochemical studies assessing these systems in Bacteria are rare, and none have been performed in Archaea or psychrophiles. Here we examined the LtrK/LtrR two component regulatory system from the Antarctic archaeon, Methanococcoides burtonii, assessing kinase and phosphatase activities of wild-type and mutant proteins. LtrK was thermally unstable and had optimal phosphorylation activity at 10 degrees C (the lowest optimum activity for any psychrophilic enzyme), high activity at 0 degrees C and was rapidly thermally inactivated at 30 degrees C. These biochemical properties match well with normal environmental temperatures of M. burtonii (0-4 degrees C) and the temperature this psychrophile is capable of growing at in the laboratory (-2 to 28 degrees C). Our findings are consistent with a role for LtrK in performing phosphotransfer reactions with LtrR that could lead to temperature-dependent gene regulation.</t>
  </si>
  <si>
    <t>[Najnin, T.; Taha; Elkaid, N.; Kornfeld, G.; Cavicchioli, R.] Univ New S Wales, Sch Biotechnol &amp; Biomol Sci, Sydney, NSW 2052, Australia; [Siddiqui, K. S.] King Fahd Univ Petr &amp; Minerals, Dept Life Sci, Dhahran 31261, Saudi Arabia; [Curmi, P. M. G.] Univ New S Wales, Sch Phys, Sydney, NSW 2052, Australia</t>
  </si>
  <si>
    <t>University of New South Wales Sydney; King Fahd University of Petroleum &amp; Minerals; University of New South Wales Sydney</t>
  </si>
  <si>
    <t>Cavicchioli, R (corresponding author), Univ New S Wales, Sch Biotechnol &amp; Biomol Sci, Sydney, NSW 2052, Australia.;Curmi, PMG (corresponding author), Univ New S Wales, Sch Phys, Sydney, NSW 2052, Australia.</t>
  </si>
  <si>
    <t>p.curmi@unsw.edu.au; r.cavicchioli@unsw.edu.au</t>
  </si>
  <si>
    <t>Curmi, Paul/G-7185-2011; Cavicchioli, Ricardo/D-4341-2013</t>
  </si>
  <si>
    <t>Curmi, Paul/0000-0001-5762-7638; Siddiqui, Khawar/0000-0001-8574-3177; Cavicchioli, Ricardo/0000-0001-8989-6402</t>
  </si>
  <si>
    <t>Australian Research Council [DP110103232]</t>
  </si>
  <si>
    <t>Australian Research Council(Australian Research Council)</t>
  </si>
  <si>
    <t>This work was supported by the Australian Research Council through grant DP110103232. We thank Cuong Nguyen, Roberta Davies, Janice Aldrich-Wright, Haluk Ertan and Tim Charlton for helpful advice and assistance with protein purification and biophysical analyses.</t>
  </si>
  <si>
    <t>APR 7</t>
  </si>
  <si>
    <t>10.1038/srep24278</t>
  </si>
  <si>
    <t>DI6AX</t>
  </si>
  <si>
    <t>WOS:000373582700001</t>
  </si>
  <si>
    <t>Tarling, GA; Hill, S; Peat, H; Fielding, S; Reiss, C; Atkinson, A</t>
  </si>
  <si>
    <t>Tarling, G. A.; Hill, S.; Peat, H.; Fielding, S.; Reiss, C.; Atkinson, A.</t>
  </si>
  <si>
    <t>Growth and shrinkage in Antarctic krill Euphausia superba is sex-dependent</t>
  </si>
  <si>
    <t>Southern Ocean; Population dynamics; Production; Life cycle; Fishery</t>
  </si>
  <si>
    <t>MEGANYCTIPHANES-NORVEGICA; MODELING GROWTH; BODY SHRINKAGE; SOUTHERN-OCEAN; LIPID-CONTENT; LARVAL KRILL; AGE; LENGTH; CRUSTACEA; MATURITY</t>
  </si>
  <si>
    <t>The ability of Antarctic krill Euphausia superba Dana to withstand the overwintering period is critical to their success. Laboratory evidence suggests that krill may shrink in body length during this time in response to the low availability of food. Nevertheless, verification that krill can shrink in the natural environment is lacking because winter data are difficult to obtain. One of the few sources of winter krill population data is from commercial vessels. We examined length-frequency data of adult krill (&gt; 35 mm total body length) obtained from commercial vessels in the Scotia-Weddell region and compared our results with those obtained from a combination of science and commercial sampling operations carried out in this region at other times of the year. Our analyses revealed body-length shrinkage in adult females but not males during winter, based on both the tracking of modal size classes over seasons and sex-ratio patterns. Other explanatory factors, such as differential mortality, immigration and emigration, could not explain the observed differences. The same pattern was also observed at South Georgia and in the Western Antarctic Peninsula. Fitted seasonally modulated von Bertalanffy growth functions predicted a pattern of overwintering shrinkage in all body-length classes of females, but only stagnation in growth in males. This shrinkage most likely reflects morphometric changes resulting from the contraction of the ovaries and is not necessarily an outcome of winter hardship. The sex-dependent changes that we observed need to be incorporated into life cycle and population dynamic models of this species, particularly those used in managing the fishery.</t>
  </si>
  <si>
    <t>[Tarling, G. A.; Hill, S.; Peat, H.; Fielding, S.] British Antarctic Survey, Nat Environm Res Council, Madingley Rd, Cambridge CB3 0ET, England; [Reiss, C.] SW Fisheries Sci Ctr, 8604 La Jolla Shores Dr, La Jolla, CA 92037 USA; [Atkinson, A.] Plymouth Marine Lab, Prospect Pl, Plymouth PL1 3DH, Devon, England</t>
  </si>
  <si>
    <t>UK Research &amp; Innovation (UKRI); Natural Environment Research Council (NERC); NERC British Antarctic Survey; National Oceanic Atmospheric Admin (NOAA) - USA; Plymouth Marine Laboratory</t>
  </si>
  <si>
    <t>Atkinson, Angus/HOH-3417-2023; Fielding, Sophie/E-5137-2012; Simeon, Hill L/B-2307-2008; Peat, Helen J/E-9666-2015</t>
  </si>
  <si>
    <t>Peat, Helen/0000-0003-2017-8597</t>
  </si>
  <si>
    <t>NERC [bas0100035, pml010009, NE/L003279/1] Funding Source: UKRI; Natural Environment Research Council [NE/L003279/1, bas0100035, pml010009] Funding Source: researchfish</t>
  </si>
  <si>
    <t>10.3354/meps11634</t>
  </si>
  <si>
    <t>DJ5IT</t>
  </si>
  <si>
    <t>WOS:000374241200005</t>
  </si>
  <si>
    <t>Wallner, A; Feige, J; Kinoshita, N; Paul, M; Fifield, LK; Golser, R; Honda, M; Linnemann, U; Matsuzaki, H; Merchel, S; Rugel, G; Tims, SG; Steier, P; Yamagata, T; Winkler, SR</t>
  </si>
  <si>
    <t>Wallner, A.; Feige, J.; Kinoshita, N.; Paul, M.; Fifield, L. K.; Golser, R.; Honda, M.; Linnemann, U.; Matsuzaki, H.; Merchel, S.; Rugel, G.; Tims, S. G.; Steier, P.; Yamagata, T.; Winkler, S. R.</t>
  </si>
  <si>
    <t>Recent near-Earth supernovae probed by global deposition of interstellar radioactive 60Fe</t>
  </si>
  <si>
    <t>MASSIVE STARS; NUCLEOSYNTHESIS; EXPLOSION; AL-26; DUST</t>
  </si>
  <si>
    <t>The rate of supernovae in our local Galactic neighbourhood within a distance of about 100 parsecs from Earth is estimated to be one every 2-4 million years, based on the total rate in the Milky Way (2.0 +/- 0.7 per century(1,2)). Recent massive-star and supernova activity in Earth's vicinity may be traced by radionuclides with half-lives of up to 100 million years(3-6), if trapped in interstellar dust grains that penetrate the Solar System. One such radionuclide is Fe-60 (with a half-life of 2.6 million years)(7,8), which is ejected in supernova explosions and winds from massive stars(1,2,9). Here we report that the Fe-60 signal observed previously in deep-sea crusts(10,11) is global, extended in time and of interstellar origin from multiple events. We analysed deep-sea archives from all major oceans for Fe-60 deposition via the accretion of interstellar dust particles. Our results reveal Fe-60 interstellar influxes onto Earth at 1.5-3.2 million years ago and at 6.5-8.7 million years ago. The signal measured implies that a few per cent of fresh Fe-60 was captured in dust and deposited on Earth. Our findings indicate multiple supernova and massive-star events during the last ten million years at distances of up to 100 parsecs.</t>
  </si>
  <si>
    <t>[Wallner, A.; Fifield, L. K.; Tims, S. G.] Australian Natl Univ, Res Sch Phys &amp; Engn, Dept Nucl Phys, GPO Box 4, Canberra, ACT 2601, Australia; [Feige, J.; Golser, R.; Steier, P.; Winkler, S. R.] Univ Vienna, Fac Phys Isotope Res, VERA Lab, Wahringer Str 17, A-1090 Vienna, Austria; [Kinoshita, N.] Shimizu Corp, Inst Technol, Tokyo 1358530, Japan; [Paul, M.] Hebrew Univ Jerusalem, Racah Inst Phys, IL-91904 Jerusalem, Israel; [Honda, M.] Univ Tsukuba, Grad Sch Pure &amp; Appl Sci, Tsukuba, Ibaraki 3058577, Japan; [Linnemann, U.] Senckenberg Collect Nat Hist Dresden, GeoPlasmaLab, Konigsbrucker Landstr 159, D-01109 Dresden, Germany; [Matsuzaki, H.] Univ Tokyo, Univ Museum, MALT Micro Anal Lab, Tandem Accelerator, Tokyo 1130032, Japan; [Merchel, S.; Rugel, G.] Helmholtz Inst Resource Technol, HZDR, D-01328 Dresden, Germany; [Yamagata, T.] Nihon Univ, Grad Sch Integrated Basic Sci, Tokyo 1568550, Japan; [Feige, J.] Berlin Inst Technol, Dept Astron &amp; Astrophys, Hardenbergstr 36, D-10623 Berlin, Germany</t>
  </si>
  <si>
    <t>Australian National University; University of Vienna; Shimizu Corporation; Hebrew University of Jerusalem; University of Tsukuba; Senckenberg Gesellschaft fur Naturforschung (SGN); University of Tokyo; Helmholtz Association; Helmholtz-Zentrum Dresden-Rossendorf (HZDR); Nihon University; Technical University of Berlin</t>
  </si>
  <si>
    <t>Wallner, A (corresponding author), Australian Natl Univ, Res Sch Phys &amp; Engn, Dept Nucl Phys, GPO Box 4, Canberra, ACT 2601, Australia.</t>
  </si>
  <si>
    <t>anton.wallner@anu.edu.au</t>
  </si>
  <si>
    <t>Steier, Peter/AAZ-6043-2020; Golser, Robin/D-7908-2019; Wallner, Anton/G-1480-2011; Tims, Stephen/P-6505-2015</t>
  </si>
  <si>
    <t>Golser, Robin/0000-0002-4934-6278; Wallner, Anton/0000-0003-2804-3670; Kinoshita, Norikazu/0000-0001-9135-483X; Steier, Peter/0000-0002-6144-2449; Merchel, Silke/0000-0002-8755-3980; Rugel, Georg/0000-0002-0176-8842; Fifield, Leslie/0000-0003-2866-4944; Tims, Stephen/0000-0001-6014-0126; Honda, Maki/0000-0002-9548-1745; Feige, Jenny/0000-0002-3187-7898; Winkler, Stephan/0000-0001-8348-3260</t>
  </si>
  <si>
    <t>Austrian Science Fund (FWF) [I428-N16]; ESF Eurogenesis programme; Australian Research Council (ARC) [DP14100136]; Japan Society for the Promotion of Science (JSPS) KAKENHI [26800161]; University of Vienna; Grants-in-Aid for Scientific Research [26800161] Funding Source: KAKEN</t>
  </si>
  <si>
    <t>Austrian Science Fund (FWF)(Austrian Science Fund (FWF)); ESF Eurogenesis programme; Australian Research Council (ARC)(Australian Research Council); Japan Society for the Promotion of Science (JSPS) KAKENHI(Ministry of Education, Culture, Sports, Science and Technology, Japan (MEXT)Japan Society for the Promotion of ScienceGrants-in-Aid for Scientific Research (KAKENHI)); University of Vienna; Grants-in-Aid for Scientific Research(Ministry of Education, Culture, Sports, Science and Technology, Japan (MEXT)Japan Society for the Promotion of ScienceGrants-in-Aid for Scientific Research (KAKENHI))</t>
  </si>
  <si>
    <t>This work was funded by (1) the Austrian Science Fund (FWF), project number I428-N16 and within the ESF Eurogenesis programme; (2) the Australian Research Council (ARC), project number DP14100136; and (3) the Japan Society for the Promotion of Science (JSPS) KAKENHI grant number 26800161. J.F. acknowledges a stipend (Abschlussstipendium) from the University of Vienna. We thank the Antarctic Marine Geology Research Facility, Florida State University, USA (C. Sjunneskog) for providing the sediment cores, P. DeDeckker (ANU) for help in selecting the cores; JOGMEC, Japan for supplying the crust; and P. Martinez Arbizu and M. Turkay for providing the nodules. Stable isotope measurements were performed by A. Ritter and S. Gurlit (HZDR) and V. Guillouat (CEREGE, France). We appreciate the support of M. Frohlich, S. Akhmadaliev, S. Pavetich, R. Ziegenrucker and P. Collon. We thank M. Lugaro and A. Karakas for information on (super) asymptotic-giant-branch stars and D. Bourles on dating methods in deep-sea sediments. We thank D. Schumann for providing 60Fe standard material.</t>
  </si>
  <si>
    <t>10.1038/nature17196</t>
  </si>
  <si>
    <t>DI5RE</t>
  </si>
  <si>
    <t>WOS:000373555500034</t>
  </si>
  <si>
    <t>Barbosa, A; Balagué, V; Valera, F; Martínez, A; Benzal, J; Motas, M; Diaz, JI; Mira, A; Pedrós-Alió, C</t>
  </si>
  <si>
    <t>Barbosa, Andres; Balague, Vanessa; Valera, Francisco; Martinez, Ana; Benzal, Jesus; Motas, Miguel; Diaz, Julia I.; Mira, Alex; Pedros-Alio, Carlos</t>
  </si>
  <si>
    <t>Age-Related Differences in the Gastrointestinal Microbiota of Chinstrap Penguins (Pygoscelis antarctica)</t>
  </si>
  <si>
    <t>INTERSPECIFIC VARIATIONS; INTESTINAL MICROBIOTA; BACTERIAL PATHOGENS; CLOACAL BACTERIA; COMMUNITY; GROWTH; EVOLUTION; BIRDS</t>
  </si>
  <si>
    <t>The gastrointestinal tract microbiota is known to play very important roles in the well being of animals. It is a complex community composed by hundreds of microbial species interacting closely among them and with their host, that is, a microbial ecosystem. The development of high throughput sequencing techniques allows studying the diversity of such communities in a realistic way and considerable work has been carried out in mammals and some birds such as chickens. Wild birds have received less attention and in particular, in the case of penguins, only a few individuals of five species have been examined with molecular techniques. We collected cloacal samples from Chinstrap penguins in the Vapour Col rookery in Deception Island, Antarctica, and carried out pyrosequencing of the V1-V3 region of the 16S rDNA in samples from 53 individuals, 27 adults and 26 chicks. This provided the first description of the Chinstrap penguin gastrointestinal tract microbiota and the most extensive in any penguin species. Firmicutes, Bacteoridetes, Proteobacteria, Fusobacteria, Actinobacteria, and Tenericutes were the main components. There were large differences between chicks and adults. The former had more Firmicutes and the latter more Bacteroidetes and Proteobacteria. In addition, adults had richer and more diverse bacterial communities than chicks. These differences were also observed between parents and their offspring. On the other hand, nests explained differences in bacterial communities only among chicks. We suggest that environmental factors have a higher importance than genetic factors in the microbiota composition of chicks. The results also showed surprisingly large differences in community composition with other Antarctic penguins including the congeneric Adelie and Gentoo penguins.</t>
  </si>
  <si>
    <t>[Barbosa, Andres] CSIC, Museo Nacl Ciencias Nat, Dept Ecol Evolut, E-28006 Madrid, Spain; [Balague, Vanessa; Pedros-Alio, Carlos] CSIC, Inst Ciencies Mar, Dept Biol Marina &amp; Oceanog, Barcelona, Spain; [Valera, Francisco; Benzal, Jesus] CSIC, Estn Expt Zonas Aridas, Dept Ecol Func &amp; Evolut, Almeria, Spain; [Martinez, Ana] Univ Nacl Autonoma Mexico, Inst Invest Mat, Mexico City 04510, DF, Mexico; [Motas, Miguel] Univ Murcia, Fac Vet, Murcia, Spain; [Diaz, Julia I.] CCT La Plata CONICET UNLP, Ctr Estudios Parasitol &amp; Vectores, La Plata, Buenos Aires, Argentina; [Mira, Alex] FISABIO Fdn, Ctr Adv Res Publ Hlth, Dept Genom &amp; Hlth, Valencia, Spain; [Pedros-Alio, Carlos] CSIC, Ctr Nacl Biotecnol, Syst &amp; Synthet Biol Program, Madrid, Spain</t>
  </si>
  <si>
    <t>Consejo Superior de Investigaciones Cientificas (CSIC); CSIC - Museo Nacional de Ciencias Naturales (MNCN); Consejo Superior de Investigaciones Cientificas (CSIC); CSIC - Centro Mediterraneo de Investigaciones Marinas y Ambientales (CMIMA); CSIC - Instituto de Ciencias del Mar (ICM); Consejo Superior de Investigaciones Cientificas (CSIC); CSIC - Estacion Experimental de Zonas Aridas (EEZA); Universidad Nacional Autonoma de Mexico; University of Murcia; Consejo Nacional de Investigaciones Cientificas y Tecnicas (CONICET); National University of La Plata; Consejo Superior de Investigaciones Cientificas (CSIC); CSIC - Centro Nacional de Biotecnologia (CNB)</t>
  </si>
  <si>
    <t>Pedrós-Alió, C (corresponding author), CSIC, Ctr Nacl Biotecnol, Syst &amp; Synthet Biol Program, Madrid, Spain.</t>
  </si>
  <si>
    <t>cpedros@cnb.csic.es</t>
  </si>
  <si>
    <t>Motas, Miguel/L-3061-2014; Benzal, Jesús/T-4555-2017; Valera, Francisco/R-3437-2019; Mira, Alex/A-7244-2010; Martin, Angeles S./U-1520-2017; Barbosa, Andrés/C-3208-2008; Pedros-Alio, Carlos/H-1222-2011</t>
  </si>
  <si>
    <t>Valera, Francisco/0000-0003-2266-8899; Barbosa, Andrés/0000-0001-8434-3649; Motas Guzman, Miguel/0000-0002-2229-7779; Mira, Alex/0000-0002-9127-3877; Pedros-Alio, Carlos/0000-0003-1009-4277; Martinez, Ana/0000-0002-0515-1946; Balague, Vanessa/0000-0001-6813-8207</t>
  </si>
  <si>
    <t>Ministerio de Economia y Competitividad (Espana) [CGL2007-60369, CTM2011-24427]; Marine Gems Ministerio de Economia y Competitividad (Espana) [CTM2010-20361]; EcoBGM Ministerio de Economia y Competitividad (Espana) [CTM2013-48292-C3-1-R]</t>
  </si>
  <si>
    <t>Ministerio de Economia y Competitividad (Espana)(Spanish Government); Marine Gems Ministerio de Economia y Competitividad (Espana); EcoBGM Ministerio de Economia y Competitividad (Espana)</t>
  </si>
  <si>
    <t>CGL2007-60369 Ministerio de Economia y Competitividad (Espana, http://www.mineco.gob.es/) AB, CTM2011-24427 Ministerio de Economia y Competitividad (Espana, http://www.mineco.gob.es/) AB, CTM2010-20361 Marine Gems Ministerio de Economia y Competitividad (Espana, http://www.mineco.gob.es) CPA, CTM2013-48292-C3-1-R EcoBGM Ministerio de Economia y Competitividad (Espana, http://ww.mineco.gob.es/) CPA.</t>
  </si>
  <si>
    <t>e0153215</t>
  </si>
  <si>
    <t>10.1371/journal.pone.0153215</t>
  </si>
  <si>
    <t>DI6KO</t>
  </si>
  <si>
    <t>Green Submitted, gold, Green Published</t>
  </si>
  <si>
    <t>WOS:000373608000103</t>
  </si>
  <si>
    <t>Best, PB; Photopoulou, T</t>
  </si>
  <si>
    <t>Best, Peter B.; Photopoulou, Theoni</t>
  </si>
  <si>
    <t>Identifying the demon whale-biter: Patterns of scarring on large whales attributed to a cookie-cutter shark Isistius sp</t>
  </si>
  <si>
    <t>BRASILIENSIS; TRANSPORT; MOVEMENTS; COAST; COST</t>
  </si>
  <si>
    <t>The presence of crater-like wounds on cetaceans and other large marine vertebrates and invertebrates has been attributed to various organisms. We review the evidence for the identity of the biting agent responsible for crater wounds on large whales, using data collected from sei (Balaenoptera borealis), fin (B. physalus), inshore and offshore Bryde's (B. brydeii sp) and sperm whales (Physeter macrocephalus) examined at the Donkergat whaling station, Saldanha Bay, South Africa between March and October 1963. We then analyse the intensity and trends in its predation on large whales. Despite the scarcity of local records, we conclude that a cookie-cutter shark Isistius sp is the most likely candidate. We make inferences about the trends in (1) total counts of unhealed bitemarks, and (2) the proportion of unhealed bitemarks that were recent. We use day of the year; reproductive class, social grouping or sex; depth interval and body length as candidate covariates. The models with highest support for total counts of unhealed bitemarks involve the day of the year in all species. Depth was an important predictor in all species except offshore Bryde's whales. Models for the proportion of recent bites were only informative for sei and fin whales. We conclude that temporal scarring patterns support what is currently hypothesized about the distribution and movements of these whale species, given that Isistius does not occur in the Antarctic and has an oceanic habitat. The incidence of fresh bites confirms the presence of Isistius in the region. The lower numbers of unhealed bites on medium-sized sperm whales suggests that this group spends more time outside the area in which bites are incurred, providing a clue to one of the biggest gaps in our understanding of the movements of mature and maturing sperm males.</t>
  </si>
  <si>
    <t>[Best, Peter B.] Univ Pretoria, Dept Zool &amp; Entomol, Mammal Res Inst, ZA-0002 Pretoria, South Africa; [Photopoulou, Theoni] Univ Cape Town, Dept Stat Sci, Ctr Stat Ecol Environm &amp; Conservat, ZA-7700 Rondebosch, South Africa</t>
  </si>
  <si>
    <t>University of Pretoria; University of Cape Town</t>
  </si>
  <si>
    <t>Photopoulou, T (corresponding author), Univ Cape Town, Dept Stat Sci, Ctr Stat Ecol Environm &amp; Conservat, ZA-7700 Rondebosch, South Africa.</t>
  </si>
  <si>
    <t>theoni.photopoulou@gmail.com</t>
  </si>
  <si>
    <t>Photopoulou, Theoni/E-3994-2012</t>
  </si>
  <si>
    <t>Photopoulou, Theoni/0000-0001-9616-9940</t>
  </si>
  <si>
    <t>e0152643</t>
  </si>
  <si>
    <t>10.1371/journal.pone.0152643</t>
  </si>
  <si>
    <t>WOS:000373608000031</t>
  </si>
  <si>
    <t>Boy, J; Godoy, R; Shibistova, O; Boy, D; McCulloch, R; de la Fuente, AA; Morales, MA; Mikutta, R; Guggenberger, G</t>
  </si>
  <si>
    <t>Boy, Jens; Godoy, Roberto; Shibistova, Olga; Boy, Diana; McCulloch, Robert; de la Fuente, Alberto Andrino; Morales, Mauricio Aguirre; Mikutta, Robert; Guggenberger, Georg</t>
  </si>
  <si>
    <t>Successional patterns along soil development gradients formed by glacier retreat in the Maritime Antarctic, King George Island</t>
  </si>
  <si>
    <t>REVISTA CHILENA DE HISTORIA NATURAL</t>
  </si>
  <si>
    <t>Temporal gradients; Chronosequences; Soil succession; Soil organic carbon; Ornithic; Mycorrhiza; Maritime Antarctica; King George Island</t>
  </si>
  <si>
    <t>DESCHAMPSIA-ANTARCTICA; ORGANIC-MATTER; DAMMA GLACIER; PENINSULA; VEGETATION; EVOLUTION; EXPANSION; CRYOSOLS; CARBON</t>
  </si>
  <si>
    <t>Background: Maritime Antarctica is severely affected by climate change and accelerating glacier retreat forming temporal gradients of soil development. Successional patterns of soil development and plant succession in the region are largely unknown, as are the feedback mechanisms between both processes. Here we identify three temporal gradients representing horizontal and vertical glacier retreat, as well as formation of raised beaches due to isostatic uplift, and describe soil formation and plant succession along them. Our hypotheses are (i) plants in Antarctica are able to modulate the two base parameters in soil development, organic C content and pH, along the temporal gradients, leading to an increase in organic carbon and soil acidity at relatively short time scales, (ii) the soil development induces succession along these gradients, and (iii) with increasing soil development, bryophytes and Deschampsia antarctica develop mycorrhiza in maritime Antarctica in order to foster interaction with soil. Results: All temporal gradients showed soil development leading to differentiation of soil horizons, carbon accumulation and increasing pH with age. Photoautptroph succession occurred rapidly after glacier retreat, but occurrences of mosses and lichens interacting with soils by rhizoids or rhizines were only observed in the later stages. The community of ground dwelling mosses and lichens is the climax community of soil succession, as the Antarctic hairgrass D. antarctica was restricted to ornithic soils. Neither D. antarctica nor mosses at the best developed soils showed any sign of mycorrhization. Conclusion: Temporal gradients formed by glacier retreat can be identified in maritime Antarctic, where soil development and plant succession of a remarkable pace can be observed, although pseudo-succession occurs by fertilization gradients caused by bird feces. Thus, the majority of ice-free surface in Antarctica is colonized by plant communities which interact with soil by litter input rather than by direct transfer of photoassimilates to soil.</t>
  </si>
  <si>
    <t>[Boy, Jens; Shibistova, Olga; Boy, Diana; de la Fuente, Alberto Andrino; Morales, Mauricio Aguirre; Guggenberger, Georg] Leibniz Univ Hannover, Inst Soil Sci, Herrenhauser Str 2, D-30419 Hannover, Germany; [Godoy, Roberto] Univ Austral Chile, Inst Ciencias Ambientales &amp; Evolut, Valdivia, Chile; [McCulloch, Robert] Univ Stirling, Biol &amp; Environm Sci, Stirling FK9 4LA, Scotland; [Mikutta, Robert] Univ Halle Wittenberg, Inst Soil Sci, D-06108 Halle, Germany; [Shibistova, Olga] VN Sukachev Inst Forest, Krasnoyarsk, Russia</t>
  </si>
  <si>
    <t>Leibniz University Hannover; Universidad Austral de Chile; University of Stirling; Martin Luther University Halle Wittenberg; Russian Academy of Sciences; Krasnoyarsk Science Center of the Siberian Branch of the Russian Academy of Sciences; Sukachev Institute of Forest, Siberian Branch, Russian Academy of Sciences</t>
  </si>
  <si>
    <t>Godoy, R (corresponding author), Univ Austral Chile, Inst Ciencias Ambientales &amp; Evolut, Valdivia, Chile.</t>
  </si>
  <si>
    <t>rgodoy@uach.cl</t>
  </si>
  <si>
    <t>Shibistova, Olga/AAP-1594-2020; Guggenberger, Georg/C-8423-2013; Boy, Jens/B-2926-2018</t>
  </si>
  <si>
    <t>Guggenberger, Georg/0000-0002-6962-8264; McCulloch, Robert/0000-0001-5542-3703; Boy, Diana/0000-0001-7188-8623; Mikutta, Robert/0000-0002-7186-6528; Boy, Jens/0000-0002-2751-957X</t>
  </si>
  <si>
    <t>Instituto Antarctico Chileno [INACH-T 28-11]; Deutsche Forschungsgemeinschaft (DFG) [BO 3741-2-1]; [SPP 1158]</t>
  </si>
  <si>
    <t>Instituto Antarctico Chileno; Deutsche Forschungsgemeinschaft (DFG)(German Research Foundation (DFG));</t>
  </si>
  <si>
    <t>We cordially thank the Instituto Antarctico Chileno (INACH-T 28-11) and the Deutsche Forschungsgemeinschaft (DFG, BO 3741-2-1, in the framework of the priority programme SPP 1158 Antarctic Research with comparative investigations in Arctic ice areas) for supporting this research and acknowledge the assistance of the staff at the Prof. Julio Escudero Station at Fildes. We are also grateful to Roger Michael Klatt, Pieter Wiese, Leopold Sauheitl, Joanna Weiss, Norman Gentsch and Christian Weiss for their support with this work. Special Acknwoledgements to Y. Villagra and F. Osorio for the identification of Lichens and Bryophytes species, respectively. We especially thank the reviewers for their appreciated input to the manuscript.</t>
  </si>
  <si>
    <t>SOC BIOLGIA CHILE</t>
  </si>
  <si>
    <t>SANTIAGO</t>
  </si>
  <si>
    <t>CASILLA 16164, SANTIAGO 9, CHILE</t>
  </si>
  <si>
    <t>0716-078X</t>
  </si>
  <si>
    <t>0717-6317</t>
  </si>
  <si>
    <t>REV CHIL HIST NAT</t>
  </si>
  <si>
    <t>Rev. Chil. Hist. Nat.</t>
  </si>
  <si>
    <t>APR 6</t>
  </si>
  <si>
    <t>10.1186/s40693-016-0056-8</t>
  </si>
  <si>
    <t>DI2LX</t>
  </si>
  <si>
    <t>WOS:000373328400001</t>
  </si>
  <si>
    <t>Navarro, NP; Huovinen, P; Gómez, I</t>
  </si>
  <si>
    <t>Navarro, Nelso P.; Huovinen, Pirjo; Gomez, Ivan</t>
  </si>
  <si>
    <t>Stress tolerance of Antarctic macroalgae in the early life stages</t>
  </si>
  <si>
    <t>Antarctica; Reproductive cells; Seaweeds; Temperature; UV tolerance</t>
  </si>
  <si>
    <t>UV-RADIATION; TEMPERATURE REQUIREMENTS; ULTRAVIOLET-RADIATION; PHOTOSYNTHESIS; LIGHT; SUSCEPTIBILITY; SENSITIVITY; ZOOSPORES; GROWTH; LAMINARIALES</t>
  </si>
  <si>
    <t>Background: Early life stages of macroalgae, especially from polar species, can be highly vulnerable to physical stressors, leading to important consequences for the fate of the whole population in scenarios of changing environmental variability. In the present study, tolerance to UV and temperature stress, as measured by rapid adjustment of photochemistry, F-v/F-m, and photosynthetic characteristics based on P-E curves (ETRmax, a and E-k), was assessed in the early life stages of six Antarctic macroalgal species from eulittoral (Pyropia endiviifolia, Iridaea cordata, Adenocystis utricularis and Monostroma hariotii) and sublittoral (Ascoseira mirabilis and Gigartina skottsbergii). Results: Reproductive cells of eulittoral species showed the highest light demands (E-k &gt; 45 mu mol photon m(-2) s(-1)) when compared to those from sublittoral species (E-k &lt; 30 mu mol photon m(-2) s(-1)). Short-term experiments of 1 h revealed that reproductive cells of P. endiviifolia, A. utricularis and M. hariotii had the highest temperature tolerance with a decrease of F-v/F-m observed only at 30 degrees C, while carpospores of G. skottsbergii exhibited the highest sensitivity to temperature increase with a decrease of F-v/F-m, which could be observed at 5 degrees C. UV tolerance was observed in reproductive cells of the eulittoral species with &lt; 20 % inhibition in F-v/F-m from UV after four hours of exposure, while sublittoral species were more sensitive with &gt; 30 % inhibition in F-v/F-m in the same condition. Enhanced temperature (7 and 12 degrees C) improved the tolerance of I. cordata compared to 2 degrees C, but exacerbated the detrimental effects of UV on A. mirabilis. Conclusion: Results showed that photosynthetic characteristics varied among reproductive cells of different species, reflecting the vertical zonation of parental thalli. Otherwise, these differences appear to underlie biogeographical and evolutionary components. In addition, UV tolerance was modulated by temperature increase, while temperature increase, in turn, ameliorated the detrimental effects of stress treatments in some eulittoral species (I. cordata tetraspores). In sublittoral A. mirabilis gametangia, temperature exacerbated the reduction of photosynthetic efficiency.</t>
  </si>
  <si>
    <t>[Navarro, Nelso P.; Huovinen, Pirjo; Gomez, Ivan] Univ Austral Chile, Inst Ciencias Marinas &amp; Limnol, Casilla 567, Valdivia, Chile; [Navarro, Nelso P.] Univ Magallanes, Punta Arenas, Chile; [Huovinen, Pirjo; Gomez, Ivan] Ctr FONDAP Invest Ecosistemas Marinos Altas Latit, Valdivia, Chile</t>
  </si>
  <si>
    <t>Universidad Austral de Chile; Universidad de Magallanes</t>
  </si>
  <si>
    <t>Navarro, NP (corresponding author), Univ Austral Chile, Inst Ciencias Marinas &amp; Limnol, Casilla 567, Valdivia, Chile.;Navarro, NP (corresponding author), Univ Magallanes, Punta Arenas, Chile.</t>
  </si>
  <si>
    <t>nelso.navarro@umag.cl</t>
  </si>
  <si>
    <t>Comision Nacional de Investigacion Cientifica y Tecnologica (CONICYT) [ANILLO ART1101]</t>
  </si>
  <si>
    <t>Comision Nacional de Investigacion Cientifica y Tecnologica (CONICYT)(Comision Nacional de Investigacion Cientifica y Tecnologica (CONICYT))</t>
  </si>
  <si>
    <t>The authors are grateful to the Comision Nacional de Investigacion Cientifica y Tecnologica (CONICYT) for financial support through the grant ANILLO ART1101. The authors thank the Instituto Antartico Chileno (INACH) for logistical support at the Antarctic Base Station Profesor Julio Escudero. We also thank the scientific diving team of I. Garrido, M. J. Diaz, and J. Bravo for collecting the macroalgal material. This is contribution # 10 of the ANILLO ART1101 project.</t>
  </si>
  <si>
    <t>APR 4</t>
  </si>
  <si>
    <t>10.1186/s40693-016-0051-0</t>
  </si>
  <si>
    <t>DI2LM</t>
  </si>
  <si>
    <t>WOS:000373327300001</t>
  </si>
  <si>
    <t>Koenig, Z; Provost, C; Park, YH; Ferrari, R; Sennéchael, N</t>
  </si>
  <si>
    <t>Koenig, Zoe; Provost, Christine; Park, Young-Hyang; Ferrari, Ramiro; Sennechael, Nathalie</t>
  </si>
  <si>
    <t>Anatomy of the Antarctic Circumpolar Current volume transports through Drake Passage</t>
  </si>
  <si>
    <t>MASCARENE BASIN; TIME-SERIES; FRONTS; EDDIES; MODES</t>
  </si>
  <si>
    <t>The 20 year (October 1992 to August 2013) observation-based volume transport time series of the Antarctic Circumpolar Current (ACC) through Drake Passage (DP) across the Jason altimeter track #104 is analyzed to better understand the ACC transport variability and its potential causes. The time series of three transport components (total (TT), barotropic (BT), and baroclinic (BC)) referenced to 3000 m present energetic intraseasonal fluctuations, with a salient spectral peak at 50 and 36 days, with the largest (least) variance being associated with the BT (BC) component. Low-frequency variations are much less energetic with a significant variance limited to the annual and biannual timescales and show a nonstationary intermittent link with the Southern Annular Mode and the Nino 3.4 index for interannual timescales. The region around 57 degrees S in the Yaghan Basin appears to be a strategic point for a practical monitoring of the ACC transport, as the whole-track TT is significantly correlated with the local TT (r=0.53) and BT (r=0.69) around 57 degrees S. These local BT (and TT) variations are associated with a well-defined tripole pattern in altimetric sea level anomaly (SLA). There is evidence that the tripole pattern associated with BT is locally generated when the BC-associated mesoscale SLAs, which have propagated eastward from an upstream area of DP, cross the Shackleton Fracture Zone to penetrate into the Yaghan Basin. Barotropic basin modes excited within the Yaghan Basin are discussed as a plausible mechanism for the observed energy-containing intraseasonal spectral peaks found in the transport variability.</t>
  </si>
  <si>
    <t>[Koenig, Zoe; Provost, Christine; Park, Young-Hyang; Sennechael, Nathalie] Univ Paris 06, Sorbonne Univ, Lab LOCEAN IPSL, CNRS,IRD,MNHN,UPMC, Paris, France; [Ferrari, Ramiro] UBA, CONICET, CIMA, Buenos Aires, DF, Argentina; [Ferrari, Ramiro] UMI IFAECI 3351, Buenos Aires, DF, Argentina</t>
  </si>
  <si>
    <t>Museum National d'Histoire Naturelle (MNHN); Sorbonne Universite; Centre National de la Recherche Scientifique (CNRS); Institut de Recherche pour le Developpement (IRD); Consejo Nacional de Investigaciones Cientificas y Tecnicas (CONICET); University of Buenos Aires</t>
  </si>
  <si>
    <t>Koenig, Z (corresponding author), Univ Paris 06, Sorbonne Univ, Lab LOCEAN IPSL, CNRS,IRD,MNHN,UPMC, Paris, France.</t>
  </si>
  <si>
    <t>zklod@locean-ipsl.upmc.fr</t>
  </si>
  <si>
    <t>Provost, Christine/0000-0003-4693-3685; Koenig, Zoe/0000-0002-7203-3827</t>
  </si>
  <si>
    <t>CNES (Centre National d'Etudes Spatiales) through OST/ST altimetric program; CNRS-INSU (Institut des Sciences de l'Univers) through LEFE program</t>
  </si>
  <si>
    <t>This paper is a contribution to the DRAKE project that was funded both by CNES (Centre National d'Etudes Spatiales) through the OST/ST altimetric program and by CNRS-INSU (Institut des Sciences de l'Univers) through the LEFE program. We thank Peter Sutherland for most valuable comments on the manuscript and Young-Oh Kwon at WHOI who kindly communicated the code calculating the significance level of spectra against the AR1 red noise model. The current meter data are available at LOCEAN (Christine Provost: cp@locean-ipsl.upmc.fr) and the altimetry data at AVISO (CLS Argos; http://www.aviso.altimetry.fr/en/data.html).</t>
  </si>
  <si>
    <t>APR</t>
  </si>
  <si>
    <t>10.1002/2015JC011436</t>
  </si>
  <si>
    <t>DW2HA</t>
  </si>
  <si>
    <t>WOS:000383462300026</t>
  </si>
  <si>
    <t>Pinto, FL</t>
  </si>
  <si>
    <t>Lertora Pinto, Francisco</t>
  </si>
  <si>
    <t>THE ICEBERGS IN THE ANTARCTIC</t>
  </si>
  <si>
    <t>REVISTA ESTUDIOS HEMISFERICOS Y POLARES</t>
  </si>
  <si>
    <t>Icebergs; Maritime Spaces; Fresh Water; Polar Regions</t>
  </si>
  <si>
    <t>The legal status of the icebergs in the international law should be studied taking into account both its legal status as the place where this resource is present. The icebergs are an ice formation composed of fresh water that can float adrift in the sea, so it is necessary to know whether to apply, for purposes of appropriation and exploitation, the general rules of the law of the sea that governing the different maritime spaces; or well, understand the icebergs as a special resource that requires a particular normative, different from that which exists today in international law.</t>
  </si>
  <si>
    <t>[Lertora Pinto, Francisco] Univ Chile, Santiago, Chile</t>
  </si>
  <si>
    <t>Universidad de Chile</t>
  </si>
  <si>
    <t>Pinto, FL (corresponding author), Las Garzas 6288, Santiago, Chile.</t>
  </si>
  <si>
    <t>franciscolertora@gmail.com</t>
  </si>
  <si>
    <t>CENTRO ESTUDIOS HEMISFERICOS &amp; POLARES</t>
  </si>
  <si>
    <t>VINA DEL MAR</t>
  </si>
  <si>
    <t>CALLE ROMA, 116, CALETA ABARCA, VINA DEL MAR, 2580060, CHILE</t>
  </si>
  <si>
    <t>0718-9230</t>
  </si>
  <si>
    <t>REV ESTUD HEMISFERIC</t>
  </si>
  <si>
    <t>Rev. Estud. Hemisfericos Polares</t>
  </si>
  <si>
    <t>APR-JUN</t>
  </si>
  <si>
    <t>Area Studies</t>
  </si>
  <si>
    <t>DV5QW</t>
  </si>
  <si>
    <t>WOS:000382983700001</t>
  </si>
  <si>
    <t>Fernández, MJ; González, PM</t>
  </si>
  <si>
    <t>Jara Fernandez, Mauricio; Mancilla Gonzalez, Pablo</t>
  </si>
  <si>
    <t>SECOND LIEUTENANT ALBERTO CHANDLER BANNEN AND THE RESCUE OF OTTO NORDENSKJOLD BY THE CORVETTE URUGUAY, 1903</t>
  </si>
  <si>
    <t>Nordenskjold; Chandler; Antarctic</t>
  </si>
  <si>
    <t>This work aims to analyze the involvement of Chilean navy officer Alberto Chandler Bannen in the rescue of Otto Nordenskjold and his crew in Snow Hill, an operation carried out by the Argentinian corvette Uruguay in 1903.</t>
  </si>
  <si>
    <t>[Jara Fernandez, Mauricio] Univ Playa Ancha, Valparaiso, Chile; [Mancilla Gonzalez, Pablo] Univ Santo Tomas, Vina Del Mar, Chile</t>
  </si>
  <si>
    <t>Universidad de Playa Ancha; Universidad Santo Tomas</t>
  </si>
  <si>
    <t>Fernández, MJ (corresponding author), Univ Playa Ancha, Fac Humanidades, Dept Disciplinario Hist, Av Playa Ancha 850, Valparaiso, Chile.;González, PM (corresponding author), Univ Santo Tomas, Direcc Formac Gen, Av 1 Norte, Vina Del Mar 3041, Chile.</t>
  </si>
  <si>
    <t>mjara@upla.cl; pmancillag@santotomas.cl</t>
  </si>
  <si>
    <t>Gonzalez, Pablo Mancilla/C-1931-2016</t>
  </si>
  <si>
    <t>WOS:000382983700004</t>
  </si>
  <si>
    <t>Pérez, LF; Bohoyo, F; Hernández-Molina, FJ; Casas, D; Galindo-Zaldívar, J; Ruano, P; Maldonado, A</t>
  </si>
  <si>
    <t>Perez, Lara F.; Bohoyo, Fernando; Javier Hernandez-Molina, F.; Casas, David; Galindo-Zaldivar, Jesus; Ruano, Patricia; Maldonado, Andres</t>
  </si>
  <si>
    <t>Tectonic activity evolution of the Scotia-Antarctic Plate boundary from mass transport deposit analysis</t>
  </si>
  <si>
    <t>SHACKLETON FRACTURE-ZONE; DRAKE PASSAGE; DEBRIS FLOW; WEDDELL SEA; BATHYMETRIC COMPILATION; CONTINENTAL MARGINS; BASIN DEVELOPMENT; POWELL BASIN; OCEAN-BASIN; RIDGE</t>
  </si>
  <si>
    <t>The spatial distribution and temporal occurrence of mass transport deposits (MTDs) in the sedimentary infill of basins and submerged banks near the Scotia-Antarctic plate boundary allowed us to decode the evolution of the tectonic activity of the relevant structures in the region from the Oligocene to present day. The 1020 MTDs identified in the available data set of multichannel seismic reflection profiles in the region are subdivided according to the geographic and chronological distributions of these features. Their spatial distribution reveals a preferential location along the eastern margins of the eastern basins. This reflects local deformation due to the evolution of the Scotia-Antarctic transcurrent plate boundary and the impact of oceanic spreading along the East Scotia Ridge (ESR). The vertical distribution of the MTDs in the sedimentary record evidences intensified regional tectonic deformation from the middle Miocene to Quaternary. Intensified deformation started at about 15 Ma, when the ESR progressively replaces the West Scotia Ridge (WSR) as the main oceanic spreading center in the Scotia Sea. Coevally with the WSR demise at about 6.5 Ma, increased spreading rates of the ESR and numerous MTDs were formed. The high frequency of MTDs during the Pliocene, mainly along the western basins, is also related to greater tectonic activity due to uplift of the Shackleton Fracture Zone by tectonic inversion and extinction of the Antarctic-Phoenix Ridge and involved changes at late Pliocene. The presence of MTDs in the southern Scotia Sea basins is a relevant indicator of the interplay between sedimentary instability and regional tectonics.</t>
  </si>
  <si>
    <t>[Perez, Lara F.] Geol Survey Denmark &amp; Greenland GEUS, Geophys Dept, Copenhagen, Denmark; [Bohoyo, Fernando; Casas, David] Inst Geol &amp; Minero Espana, Madrid, Spain; [Javier Hernandez-Molina, F.] Royal Holloway Univ London, Dept Earth Sci, Egham, Surrey, England; [Galindo-Zaldivar, Jesus; Ruano, Patricia; Maldonado, Andres] Inst Andaluz Ciencias Tierra, Granada, Spain; [Galindo-Zaldivar, Jesus; Ruano, Patricia] Univ Granada, Dept Geodinam, Granada, Spain</t>
  </si>
  <si>
    <t>Geological Survey Of Denmark &amp; Greenland; University of London; Royal Holloway University London; Consejo Superior de Investigaciones Cientificas (CSIC); CSIC - Instituto Andaluz de Ciencias de la Tierra (IACT); University of Granada</t>
  </si>
  <si>
    <t>Pérez, LF (corresponding author), Geol Survey Denmark &amp; Greenland GEUS, Geophys Dept, Copenhagen, Denmark.</t>
  </si>
  <si>
    <t>lfp@geus.dk</t>
  </si>
  <si>
    <t>Bohoyo, Fernando/AAZ-5990-2021; Pérez, Lara F./H-3572-2015; Galindo-Zaldivar, Jesus/K-3640-2012; Casas, David/B-9576-2009; Bohoyo, Fernando/C-1062-2011; Ruano, Patricia/L-9168-2014</t>
  </si>
  <si>
    <t>Bohoyo, Fernando/0000-0002-1044-8816; Pérez, Lara F./0000-0002-6229-4564; Galindo-Zaldivar, Jesus/0000-0002-3493-2637; Casas, David/0000-0001-5258-7067; Bohoyo, Fernando/0000-0002-1044-8816; Ruano, Patricia/0000-0003-3833-4973</t>
  </si>
  <si>
    <t>Continental Margins Research Group (CMRG) at Royal Holloway University of London (UK); [CTM2011-30241-C01/02ANT]; [CTM2014-60451-C2-1/2]; [CTM2011-13970-E]; [CTM2012-39599-C03]</t>
  </si>
  <si>
    <t>Continental Margins Research Group (CMRG) at Royal Holloway University of London (UK); ; ; ;</t>
  </si>
  <si>
    <t>This work was funded through projects CTM2011-30241-C01/02ANT and CTM2014-60451-C2-1/2, the special action CTM2011-13970-E, and is related to the project CTM2012-39599-C03 as well as the Continental Margins Research Group (CMRG) at Royal Holloway University of London (UK). Finally, we thank the Antarctic Seismic Data Library System (http://sdls.ogs.trieste.it) for access to most of the data interpreted in this study.</t>
  </si>
  <si>
    <t>10.1002/2015JB012622</t>
  </si>
  <si>
    <t>DT6WY</t>
  </si>
  <si>
    <t>WOS:000381626700001</t>
  </si>
  <si>
    <t>Peacock, JR; Selway, K</t>
  </si>
  <si>
    <t>Peacock, J. R.; Selway, K.</t>
  </si>
  <si>
    <t>Magnetotelluric investigation of the Vestfold Hills and Rauer Group, East Antarctica</t>
  </si>
  <si>
    <t>ELECTRICAL-CONDUCTIVITY; MAFIC DYKES; PRYDZ BAY; INVERSION; EVOLUTION; RESPONSES; COMPLEX; METAMORPHISM; CONSTRAINTS; GONDWANA</t>
  </si>
  <si>
    <t>The Vestfold Hills and Rauer Group in East Antarctica have contrasting Archean to Neoproterozoic geological histories and are believed to be juxtaposed along a suture zone that now lies beneath the Sorsdal Glacier. Exact location and age of this suture zone are unknown, as is its relationship to regional deformation associated with the amalgamation of East Gondwana. To image the suture zone, magnetotelluric (MT) data were collected in Prydz Bay, East Antarctica, mainly along a profile crossing the Sorsdal Glacier and regions inland of the Vestfold Hills and Rauer Group islands. Time-frequency analysis of the MT time series yielded three important observations: (1) Wind speeds in excess of similar to 8 m/s reduce coherence between electric and magnetic fields due to charged wind-blown particles of ice and snow. (2) Estimation of the MT transfer function is best between 1000 and 1400 UT when ionospheric Hall currents enhance the magnetic source field. (3) Nonplanar source field effects were minimal but detectable and removed from estimation of the MT transfer function. Inversions of MT data in 2-D and 3-D produce similar resistivity models, where structures in the preferred 3-D resistivity model correlate strongly with regional magnetic data. The electrically conductive Rauer Group is separated from the less conductive Vestfold Hills by a resistive zone under the Sorsdal Glacier, which is interpreted to be caused by oxidation during suturing. Though a suture zone has been imaged, no time constrains on suturing can be made from the MT data.</t>
  </si>
  <si>
    <t>[Peacock, J. R.] US Geol Survey, 345 Middlefield Rd, Menlo Pk, CA 94025 USA; [Peacock, J. R.; Selway, K.] Univ Adelaide, Dept Earth Sci, Adelaide, SA, Australia; [Selway, K.] Univ Oslo, Ctr Earth Evolut &amp; Dynam, Oslo, Norway</t>
  </si>
  <si>
    <t>United States Department of the Interior; United States Geological Survey; University of Adelaide; University of Oslo</t>
  </si>
  <si>
    <t>Peacock, JR (corresponding author), US Geol Survey, 345 Middlefield Rd, Menlo Pk, CA 94025 USA.;Peacock, JR (corresponding author), Univ Adelaide, Dept Earth Sci, Adelaide, SA, Australia.</t>
  </si>
  <si>
    <t>jpeacock@usgs.gov</t>
  </si>
  <si>
    <t>Selway, Kate/0000-0001-5752-7717; Peacock, Jared/0000-0002-0439-0224</t>
  </si>
  <si>
    <t>Australian Antarctic Division Grant [2771]; AuScope; University of Adelaide; Australian Research Council [LP0774891, DP0988263]; Research Council of Norway Centre of Excellence [223272]; Australian Research Council [DP0988263, LP0774891] Funding Source: Australian Research Council</t>
  </si>
  <si>
    <t>Australian Antarctic Division Grant; AuScope; University of Adelaide; Australian Research Council(Australian Research Council); Research Council of Norway Centre of Excellence(Research Council of Norway); Australian Research Council(Australian Research Council)</t>
  </si>
  <si>
    <t>Field work was funded by the Australian Antarctic Division Grant 2771 (Chief Investigator A. Collins, University of Adelaide). AuScope provided instruments and some additional funding. Extremely helpful technical support was provided by G. Boren and G. Heinson, University of Adelaide. During this work, J.R.P. was supported by International Postgraduate Research Scholarship at the University of Adelaide. K.S. was supported by Australian Research Council grants LP0774891 and DP0988263 and Research Council of Norway Centre of Excellence project 223272. In addition to logistical support, the Australian Antarctic Division provided archived magnetic time series and hF2 data. The authors are grateful to Pete Carrigan, Jason Watson, and Campbell Harvey for their invaluable assistance with field work and to Phil Wannamaker, John Stodt, and Louise Pellerin for advice on collecting MT data in Antarctica. The manuscript was greatly improved by comments from two anonymous referees. This is TraX publication number 350. The data are available upon request. Any use of trade, firm, or product names is for descriptive purposes only and does not imply endorsement by the U.S. Government.</t>
  </si>
  <si>
    <t>10.1002/2015JB012677</t>
  </si>
  <si>
    <t>WOS:000381626700003</t>
  </si>
  <si>
    <t>Behera, JK; Sinha, AK; Vichare, G; Kozyreva, O; Rawat, R; Dhar, A</t>
  </si>
  <si>
    <t>Behera, Jayanta K.; Sinha, Ashwini K.; Vichare, Geeta; Kozyreva, Olga; Rawat, Rahul; Dhar, Ajay</t>
  </si>
  <si>
    <t>Dayside cosmic noise absorption at the equatorward boundary of auroral oval as observed from Maitri, Antarctica (L=5; CGM 62.45°S, 55.45°E)</t>
  </si>
  <si>
    <t>INTERPLANETARY MAGNETIC-FIELD; VAN ALLEN PROBES; ELECTRON-PRECIPITATION; GEOMAGNETIC-PULSATIONS; CUSP AURORA; RIOMETER; CHORUS; WAVES; RECONNECTION; OSCILLATIONS</t>
  </si>
  <si>
    <t>On 02 April 2011, a couple of cosmic noise absorption (CNA) events were detected at Maitri, Antarctica (L = 5; CGM 63.14 degrees S, 53.69 degrees E) confining to nighttime and daytime. One of the two events that occurred during night hours was caused due to auroral substorm onset. The current study focuses on the later CNA event, which was recorded during daytime (10:00-13:00 magnetic local time (MLT), MLT = UT-1, at Maitri, Antarctica). We refer to this CNA event as dayside CNA (DCNA) event. Absence of westward electrojet during DCNA confirms its dissimilarity from auroral substorm absorption events. A comparison has been made between the DCNA event of 02 April 2011 with that of 14 July 2011, a day with substorm activity when Maitri is in dayside but without DCNA event. The comparison has been made in the light of interplanetary conditions, imaging riometer data, ground magnetic signatures, GOES electron flux density, and associated pulsations. The study shows that stronger prolonged eastward interplanetary electric field favors the occurrence of DCNA event. It is concluded that DCNA event is due to the gradient curvature drift of trapped nonrelativistic electrons in the equatorial plane. Estimated energy of trapped electrons using azimuthal drift time for a set of ground stations within the auroral oval confirms the enhancement in electron fluxes in the same energy band as recorded by geostationary satellites GOES 13 and GOES 15. The reason for precipitation of electrons is expected to be the loss cone scattering caused by wave-particle interaction triggered by ULF waves.</t>
  </si>
  <si>
    <t>[Behera, Jayanta K.; Sinha, Ashwini K.; Vichare, Geeta; Rawat, Rahul; Dhar, Ajay] Indian Inst Geomagnetism, New Panvel W, Navi Mumbai, India; [Kozyreva, Olga] Inst Phys Earth, Moscow, Russia</t>
  </si>
  <si>
    <t>Department of Science &amp; Technology (India); Indian Institute of Geomagnetism (IIG); Russian Academy of Sciences; Schmidt Institute of Physics of the Earth of the Russian Academy of Sciences</t>
  </si>
  <si>
    <t>Behera, JK (corresponding author), Indian Inst Geomagnetism, New Panvel W, Navi Mumbai, India.</t>
  </si>
  <si>
    <t>jayanta.sssj@gmail.com</t>
  </si>
  <si>
    <t>Kozyreva, Olga/X-5174-2019</t>
  </si>
  <si>
    <t>Kozyreva, Olga/0000-0003-0825-151X; Sinha, Ashwini Kumar/0000-0003-1329-6579; Rawat, Rahul/0000-0002-7275-8895</t>
  </si>
  <si>
    <t>Department of Science and Technology, Government of India</t>
  </si>
  <si>
    <t>Department of Science and Technology, Government of India(Department of Science &amp; Technology (India))</t>
  </si>
  <si>
    <t>We acknowledge the data provision of NORSTAR (University of Alberta, I. Mann) (http://aurora.phys.ucalgary.ca/norstar/index.html); Space Weather Services (SWS), Australia (http://www.sws.bom.gov.au/World_Data_Centre/1/8); INERMAGNET (http://www.intermagnet.org/data-donnee/data-eng.php); OMNI and ACE (NSSDC, N. Papitashvili) (http://omniweb.gsfc.nasa.gov/ow_min.html); and GOES (Space Environment Center, H. Singer) (http://www.ngdc.noaa.gov/stp/satellite/goes/). We also thank JHU/APL for the auroral oval information under OVALATION project (http://sd-www.jhuapl.edu/Aurora/ovation/ovation_display.html). The authors also acknowledge the logistic support provided by National Centre for Antarctic and Ocean Research, Ministry of Earth Sciences, Government of India to conduct studies in Antarctica. They thank the Department of Science and Technology, Government of India for the financial support. We sincerely thank Director, IIG for his support and encouragement.</t>
  </si>
  <si>
    <t>10.1002/2016JA022418</t>
  </si>
  <si>
    <t>DR5RO</t>
  </si>
  <si>
    <t>WOS:000379960300026</t>
  </si>
  <si>
    <t>Galushko, VG; Paznukhov, VV; Sopin, AA; Yampolski, YM</t>
  </si>
  <si>
    <t>Galushko, V. G.; Paznukhov, V. V.; Sopin, A. A.; Yampolski, Y. M.</t>
  </si>
  <si>
    <t>Statistics of ionospheric disturbances over the Antarctic Peninsula as derived from TEC measurements</t>
  </si>
  <si>
    <t>ATMOSPHERIC GRAVITY-WAVES; SOLAR TERMINATOR; F-REGION; IRREGULARITIES; GENERATION; ELECTRON</t>
  </si>
  <si>
    <t>Results of ionospheric disturbances observations using multisite total electron content (TEC) measurements over the Antarctic Peninsula for the period from 2009 to 2012 are presented. Diurnal dependencies of the disturbance occurrence frequency, velocity, and direction of motion are established. Parameters of the disturbances are calculated using dynamic approach to the problem of ionospheric disturbances diagnostics which has been extended to allow for an arbitrary waveform of TEC perturbations. Specific data quality constraints are introduced to determine the presence of wavelike disturbances in the TEC records and to satisfy the required accuracy of parameter reconstruction. Statistical treatment of the results shows that during the daytime disturbances propagate predominantly in the northern and northeastern directions. In the evening and nocturnal hours the northwestern direction is prevailing, with the characteristic disturbance velocities ranging from 10 to 250 m/s. The most probable velocities are tens of meters per second, while the mean values are equal to about 100-130 m/s. In the daytime the velocities of the ionospheric disturbances are even higher. During the Antarctic winter time disturbances are usually observed at local noon time, in sharp contrast with the summer time, when they are present during the nights and mornings.</t>
  </si>
  <si>
    <t>[Galushko, V. G.; Sopin, A. A.; Yampolski, Y. M.] Natl Acad Sci Ukraine, Inst Radio Astron, Kharkov, Ukraine; [Paznukhov, V. V.] Boston Coll, Inst Sci Res, Newton, MA USA</t>
  </si>
  <si>
    <t>National Academy of Sciences Ukraine; Institute of Radio Astronomy of the National Academy of Sciences of Ukraine; Boston College</t>
  </si>
  <si>
    <t>Galushko, VG (corresponding author), Natl Acad Sci Ukraine, Inst Radio Astron, Kharkov, Ukraine.</t>
  </si>
  <si>
    <t>galushko@rian.kharkov.ua</t>
  </si>
  <si>
    <t>yampolskiy, yuriy m/ABA-8387-2020; Yampolski, Yuri/AAU-3037-2021; Galushko, Volodymyr G/F-6354-2019</t>
  </si>
  <si>
    <t>Yampolski, Yuri/0000-0002-6142-5753</t>
  </si>
  <si>
    <t>NASU Ukraine Project Yatagan-2 [0111U000063]; NASU Ukraine Spitzbergen [0112U004096]; NTR NANS Ukraine Geliomax [0112U007683]; NSF [1341557]; Directorate For Geosciences; Office of Polar Programs (OPP) [1341557] Funding Source: National Science Foundation</t>
  </si>
  <si>
    <t>NASU Ukraine Project Yatagan-2; NASU Ukraine Spitzbergen; NTR NANS Ukraine Geliomax; NSF(National Science Foundation (NSF)); Directorate For Geosciences; Office of Polar Programs (OPP)(National Science Foundation (NSF)NSF - Directorate for Geosciences (GEO))</t>
  </si>
  <si>
    <t>The authors would like to thank Bezrodny and Zalizovsky for their useful comments and discussions of this work. This research was carried out as a part of NASU Ukraine Project Yatagan-2 (state registration number 0111U000063) and with partial support of the NASU Ukraine Spitzbergen-2012 (state registration number 0112U004096) and NTR NANS Ukraine Geliomax (state registration number 0112U007683) Research Projects. Vadym Paznukhov is in part supported by the NSF project 1341557. Data used in this study can be found in UNAVCO Data Archive (http://www.unavco.org/data/gps-gnss/data-access-methods/dai2/app/dai2.html).</t>
  </si>
  <si>
    <t>10.1002/2015JA022302</t>
  </si>
  <si>
    <t>WOS:000379960300040</t>
  </si>
  <si>
    <t>Shimono, T; Yamazaki, T</t>
  </si>
  <si>
    <t>Shimono, Takaya; Yamazaki, Toshitsugu</t>
  </si>
  <si>
    <t>Environmental rock-magnetism of Cenozoic red clay in the South Pacific Gyre</t>
  </si>
  <si>
    <t>GEOCHEMISTRY GEOPHYSICS GEOSYSTEMS</t>
  </si>
  <si>
    <t>CENTRAL NORTH PACIFIC; DEEP-SEA; SEDIMENTATION HISTORY; EOLIAN DEPOSITION; CORE LL44-GPC3; OCEAN; CLIMATE; DUST; GEOCHEMISTRY; TRANSITION</t>
  </si>
  <si>
    <t>Nonfossiliferous red clay can be used for elucidating long-range environmental changes, although such studies were limited so far because of the difficulty in precise age estimation and extremely low sedimentation rates. We conducted an environmental rock-magnetic study of Cenozoic red clay at the Integrated Ocean Drilling Program Site U1365 in the South Pacific Gyre. Magnetostratigraphy could be established only above similar to 6 m below the seafloor (mbsf) (similar to 5 Ma). Below similar to 6 mbsf, the ages of the cores were transferred from the published ages of nearby Deep Sea Drilling Project Site 596, which is based mainly on a constant Cobalt flux model, by intercore correlation using magnetic susceptibility and rare earth element content variation patterns. Rock-magnetic analyses including first-order reversal curve diagrams, the ratio of anhysteretic remanent magnetization susceptibility to saturation isothermal remanent magnetization (SIRM), and IRM component analyses revealed that magnetic minerals consist mainly of biogenic magnetite and terrigenous maghemite, and that the proportion of the terrigenous component increased since similar to 23 Ma. We consider that the increase reflects a growth of eolian dust flux associated with a northward shift of Australia and the site to an arid region of the middle latitudes. The increase of the terrigenous component accelerated after similar to 5 Ma, which may be associated with a further growth of the Antarctic glaciation at that time. This is coeval with the onset of the preservation of magnetostratigraphy, suggesting that the primary remanent magnetization is carried by the terrigenous component.</t>
  </si>
  <si>
    <t>[Shimono, Takaya; Yamazaki, Toshitsugu] Univ Tsukuba, Grad Sch Life &amp; Environm Sci, Tsukuba, Ibaraki, Japan; [Shimono, Takaya] Meiji Univ, Gas Hydrate Res Lab, Chiyoda Ku, Tokyo, Japan; [Yamazaki, Toshitsugu] Geol Survey Japan, Natl Inst Adv Ind Sci &amp; Technol, Tsukuba, Ibaraki, Japan; [Yamazaki, Toshitsugu] Univ Tokyo, Atmosphere &amp; Ocean Res Inst, Kashiwa, Chiba, Japan</t>
  </si>
  <si>
    <t>University of Tsukuba; National Institute of Advanced Industrial Science &amp; Technology (AIST); University of Tokyo</t>
  </si>
  <si>
    <t>Shimono, T (corresponding author), Univ Tsukuba, Grad Sch Life &amp; Environm Sci, Tsukuba, Ibaraki, Japan.;Shimono, T (corresponding author), Meiji Univ, Gas Hydrate Res Lab, Chiyoda Ku, Tokyo, Japan.</t>
  </si>
  <si>
    <t>tz15002@meiji.ac.jp</t>
  </si>
  <si>
    <t>Shimono, Takaya/AAQ-1266-2020</t>
  </si>
  <si>
    <t>Shimono, Takaya/0000-0002-5893-5293</t>
  </si>
  <si>
    <t>Japan Drilling Earth Science Consortium; Center for Deep Earth Exploration, Japan Agency for Marine-Earth Science and Technology; Center for Advanced Marine Core Research, Kochi University [13A008, 13B007]; Grants-in-Aid for Scientific Research [25287137] Funding Source: KAKEN</t>
  </si>
  <si>
    <t>Japan Drilling Earth Science Consortium; Center for Deep Earth Exploration, Japan Agency for Marine-Earth Science and Technology; Center for Advanced Marine Core Research, Kochi University; Grants-in-Aid for Scientific Research(Ministry of Education, Culture, Sports, Science and Technology, Japan (MEXT)Japan Society for the Promotion of ScienceGrants-in-Aid for Scientific Research (KAKENHI))</t>
  </si>
  <si>
    <t>We thank Katsuhiko Suzuki, Ryoko Senda, and Saori Kubo for guidance of rare-earth element content measurements, and Akira Takada for discussion and encouragement. Yasuhiro Kato allowed us the magnetic susceptibility measurement of Site 596 samples. The Site U1365 cores used in this study were obtained through the cooperation of all onboard scientists, marine technicians, officers, and crew of the IODP Expedition 329 of D/V JOIDES Resolution. Valuable comments of Simo Spassov, an anonymous reviewer, and the journal editor greatly improved the manuscript. This research used samples provided by the IODP. Participation of T. S. to the Expedition 329 was supported by the Japan Drilling Earth Science Consortium and the Center for Deep Earth Exploration, Japan Agency for Marine-Earth Science and Technology. Part of rock-magnetic measurements were conducted under the cooperative research program of the Center for Advanced Marine Core Research, Kochi University (13A008, 13B007). The original data presented in the figures are made available by the corresponding author upon request The paleomagnetic data measured onboard during the IODP Expedition 329 are stored in the LIMS database of IODP.</t>
  </si>
  <si>
    <t>1525-2027</t>
  </si>
  <si>
    <t>GEOCHEM GEOPHY GEOSY</t>
  </si>
  <si>
    <t>Geochem. Geophys. Geosyst.</t>
  </si>
  <si>
    <t>10.1002/2015GC006062</t>
  </si>
  <si>
    <t>DQ9IP</t>
  </si>
  <si>
    <t>WOS:000379523900004</t>
  </si>
  <si>
    <t>Geprägs, P; Torres, ME; Mau, S; Kasten, S; Römer, M; Bohrmann, G</t>
  </si>
  <si>
    <t>Gepraegs, Patrizia; Torres, Marta E.; Mau, Susan; Kasten, Sabine; Roemer, Miriam; Bohrmann, Gerhard</t>
  </si>
  <si>
    <t>Carbon cycling fed by methane seepage at the shallow Cumberland Bay, South Georgia, sub-Antarctic</t>
  </si>
  <si>
    <t>CONTINENTAL-MARGIN SEDIMENTS; ISOTOPE FRACTIONATION; SULFATE REDUCTION; PORE-WATER; HYDRATE DISSOCIATION; ANAEROBIC OXIDATION; TRANSITION-ZONE; SEA; OCEAN; RIDGE</t>
  </si>
  <si>
    <t>Recent studies have suggested that the marine contribution of methane from shallow regions and melting marine-terminating glaciers may have been underestimated. Here we report on methane sources and potential sinks associated with methane seeps in Cumberland Bay, South Georgia's largest fjord system. The average organic carbon content in the upper 8 m of the sediment is around 0.65 wt %; this observation combined with Parasound data suggest that the methane gas accumulations probably originate from peat-bearing sediments currently located several tens of meters below the seafloor. Only one of our cores indicates upward advection; instead most of the methane is transported via diffusion. Sulfate and methane flux estimates indicate that a large fraction of methane is consumed by anaerobic oxidation of methane (AOM). Carbon cycling at the sulfate-methane transition (SMT) results in a marked fractionation of the delta C-13-CH4 from an estimated source value of -65 parts per thousand to a value as low as -96 parts per thousand just below the SMT. Methane concentrations in sediments are high, especially close to the seepage sites (similar to 40 mM); however, concentrations in the water column are relatively low (max. 58 nM) and can be observed only close to the seafloor. Methane is trapped in the lowermost water mass; however, measured microbial oxidation rates reveal very low activity with an average turnover of 3.1 years. We therefore infer that methane must be transported out of the bay in the bottom water layer. A mean sea-air flux of only 0.005 nM/m(2) s confirms that almost no methane reaches the atmosphere.</t>
  </si>
  <si>
    <t>[Gepraegs, Patrizia; Mau, Susan; Kasten, Sabine; Roemer, Miriam; Bohrmann, Gerhard] Univ Bremen, Dept Geosci, MARUM Ctr Marine Environm Sci, Bremen, Germany; [Torres, Marta E.] Oregon State Univ, Coll Earth Ocean &amp; Atmospher Sci, Corvallis, OR 97331 USA; [Kasten, Sabine] Helmholtz Ctr Polar &amp; Marine Res, Alfred Wegener Inst, Bremerhaven, Germany</t>
  </si>
  <si>
    <t>University of Bremen; Oregon State University; Helmholtz Association; Alfred Wegener Institute, Helmholtz Centre for Polar &amp; Marine Research</t>
  </si>
  <si>
    <t>Geprägs, P (corresponding author), Univ Bremen, Dept Geosci, MARUM Ctr Marine Environm Sci, Bremen, Germany.</t>
  </si>
  <si>
    <t>pgepraegs@marum.de</t>
  </si>
  <si>
    <t>; Bohrmann, Gerhard/D-4474-2017</t>
  </si>
  <si>
    <t>Romer, Miriam/0000-0003-2540-9286; Bohrmann, Gerhard/0000-0001-9976-4948; Kasten, Sabine/0000-0001-7453-5137; Mau, Susan/0000-0003-4186-8159</t>
  </si>
  <si>
    <t>Deutsche Forschungsgcmeinschaft (DFG) [BO 1049/19]; DFG-Research Center/Cluster of Excellence The Ocean in the Earth System MARUM; DAAD [57044996]; Hanse-Wissenschaftskolleg fellowship (Delmenhorst, Germany); DFG [MA 3961/2-1]</t>
  </si>
  <si>
    <t>Deutsche Forschungsgcmeinschaft (DFG)(German Research Foundation (DFG)); DFG-Research Center/Cluster of Excellence The Ocean in the Earth System MARUM(German Research Foundation (DFG)); DAAD(Deutscher Akademischer Austausch Dienst (DAAD)); Hanse-Wissenschaftskolleg fellowship (Delmenhorst, Germany); DFG(German Research Foundation (DFG))</t>
  </si>
  <si>
    <t>We would like to thank the shipboard support from the master and crew of the research vessel Polarstern during cruise ANT-XXIX/4. We are grateful to Ellen Damm and Anne-Christin Melcher for the analysis of delta13C-CF14 samples in the water column at the AWI. We thank Benjamin Loffler, David Fischer, and Eva Kirschenmann for their help with pore water and sediment sampling on board and Gerhard Kuhn (AWI) and Benjamin Loftier for support with TOC analyses. Furthermore, we want to thank Gunther Wegener for helpful discussions. This work was supported by the Deutsche Forschungsgcmeinschaft (DFG) in the framework of the priority program Antarctic Research with comparative investigations in Arctic ice areas by a grant to BO 1049/19 and through the DFG-Research Center/Cluster of Excellence The Ocean in the Earth System MARUM. We gratefully acknowledge support from a DAAD Grant(57044996) Kurzstipendium fur Doktoranden to Patrizia Geprags, and from a Hanse-Wissenschaftskolleg fellowship (Delmenhorst, Germany) to Marta Torres during summer of 2014, and from DFG grant MA 3961/2-1 Limitations of marine methane oxidation to Susan Mau. Data reported are made publicly available through the PANGAEA information system sustained by the World Data Center for Marine Environmental Sciences (WDC-MARE).</t>
  </si>
  <si>
    <t>10.1002/2016GC006276</t>
  </si>
  <si>
    <t>WOS:000379523900010</t>
  </si>
  <si>
    <t>Jean, CB; Kyser, TK; James, NP; Stokes, MD</t>
  </si>
  <si>
    <t>Jean, Christabel B.; Kyser, T. Kurtis; James, Noel P.; Stokes, M. Dale</t>
  </si>
  <si>
    <t>THE ANTARCTIC BRACHIOPOD LIOTHYRELLA UVA AS A PROXY FOR AMBIENT OCEANOGRAPHIC CONDITIONS AT MCMURDO SOUND (vol 85, pg 1492, 2015)</t>
  </si>
  <si>
    <t>JOURNAL OF SEDIMENTARY RESEARCH</t>
  </si>
  <si>
    <t>SEPM-SOC SEDIMENTARY GEOLOGY</t>
  </si>
  <si>
    <t>TULSA</t>
  </si>
  <si>
    <t>6128 EAST 38TH ST, STE 308, TULSA, OK 74135-5814 USA</t>
  </si>
  <si>
    <t>1527-1404</t>
  </si>
  <si>
    <t>1938-3681</t>
  </si>
  <si>
    <t>J SEDIMENT RES</t>
  </si>
  <si>
    <t>J. Sediment. Res.</t>
  </si>
  <si>
    <t>10.2110/jsr.2016.22</t>
  </si>
  <si>
    <t>DQ9GU</t>
  </si>
  <si>
    <t>WOS:000379519200003</t>
  </si>
  <si>
    <t>Sun, YB; Liang, LJ; Bloemendal, J; Li, Y; Wu, F; Yao, ZQ; Liu, YG</t>
  </si>
  <si>
    <t>Sun, Youbin; Liang, Lianji; Bloemendal, Jan; Li, Ying; Wu, Feng; Yao, Zhengquan; Liu, Yanguang</t>
  </si>
  <si>
    <t>High-resolution scanning XRF investigation of Chinese loess and its implications for millennial-scale monsoon variability</t>
  </si>
  <si>
    <t>JOURNAL OF QUATERNARY SCIENCE</t>
  </si>
  <si>
    <t>Chinese loess; East Asian monsoon; elemental ratios; millennial variability; monsoon dynamics</t>
  </si>
  <si>
    <t>EAST-ASIAN MONSOON; GRAIN-SIZE; NORTH-ATLANTIC; CLIMATE VARIABILITY; ICE-VOLUME; MAGNETIC-SUSCEPTIBILITY; ANTARCTIC CLIMATE; GLACIAL CYCLES; RECORDS; PLATEAU</t>
  </si>
  <si>
    <t>Millennial-scale monsoon variability has been investigated intensively using loess-based proxies; however, the amplitude and rhythms of millennial-scale signals have seldom been disentangled from the background glacial-interglacial changes. Here we present the results of high-resolution scanning X-ray fluorescence analysis of a 75-m-thick loess sequence from the north-western Chinese Loess Plateau to address glacial-interglacial to millennial monsoon variability over the last two climatic cycles. Variations of the Si/K, Fe/K and Ca/K ratios are separated spectrally into low-and high-frequency components corresponding to glacial-interglacial and millennial-scale monsoon variability, respectively. The results indicate that the three elemental ratios exhibit similar glacial-interglacial variability but with varying spectral densities at the 100-, 41- and 23-kyr periodicities. Millennial-scale variability is quite similar between the three elemental ratios, and comparable to those inferred from records of Chinese speleothem delta O-18, Greenland palaeotemperature and North Atlantic cooling events. Comparison of various proxies indicates the broad similar magnitudes of abrupt climate changes, at least during the last two glacial-interglacial cycles, whereas the timing and amplitude of abrupt climatic events are not well correlated. We suggest that refinement of loess chronology and intensive data-model integration in the future are critical to decipher the characteristics and dynamics of rapid monsoon changes. Copyright (c) 2016 John Wiley &amp; Sons, Ltd.</t>
  </si>
  <si>
    <t>[Sun, Youbin; Li, Ying; Wu, Feng] Chinese Acad Sci, Inst Earth Environm, State Key Lab Loess &amp; Quaternary Geol, Xian 710061, Peoples R China; [Sun, Youbin] Xi An Jiao Tong Univ, Inst Global Environm Change, Xian 710049, Peoples R China; [Liang, Lianji] Beijing Univ Technol, Coll Architecture &amp; Civil Engn, Beijing, Peoples R China; [Bloemendal, Jan] Univ Liverpool, Dept Geog &amp; Planning, Liverpool L69 3BX, Merseyside, England; [Yao, Zhengquan; Liu, Yanguang] State Ocean Adm, Inst Oceanog 1, Key Lab Marine Sedimentol &amp; Environm Geol, Qingdao, Peoples R China</t>
  </si>
  <si>
    <t>Chinese Academy of Sciences; Institute of Earth Environment, CAS; Xi'an Jiaotong University; Beijing University of Technology; University of Liverpool; First Institute of Oceanography, Ministry of Natural Resources</t>
  </si>
  <si>
    <t>Sun, YB (corresponding author), Chinese Acad Sci, Inst Earth Environm, State Key Lab Loess &amp; Quaternary Geol, Xian 710061, Peoples R China.</t>
  </si>
  <si>
    <t>sunyb@ieecas.cn</t>
  </si>
  <si>
    <t>Wu, Feng/B-3282-2013; Liu, Yanguang/AAG-8119-2021; Sun, Youbin/K-8357-2012</t>
  </si>
  <si>
    <t>Liu, Yanguang/0000-0002-4524-2930; Sun, Youbin/0000-0002-6696-6620</t>
  </si>
  <si>
    <t>National Basic Research Program of China [2013CB955904]; National Science Foundation of China [41472163, 41525008]</t>
  </si>
  <si>
    <t>National Basic Research Program of China(National Basic Research Program of China); National Science Foundation of China(National Natural Science Foundation of China (NSFC))</t>
  </si>
  <si>
    <t>We thank Professors Rewi Newnham, Denis-Didier Rousseau and an anonymous reviewer for their valuable suggestions. This work was supported by the National Basic Research Program of China (2013CB955904) and the National Science Foundation of China (41472163 and 41525008).</t>
  </si>
  <si>
    <t>0267-8179</t>
  </si>
  <si>
    <t>1099-1417</t>
  </si>
  <si>
    <t>J QUATERNARY SCI</t>
  </si>
  <si>
    <t>J. Quat. Sci.</t>
  </si>
  <si>
    <t>10.1002/jqs.2856</t>
  </si>
  <si>
    <t>DO9UT</t>
  </si>
  <si>
    <t>WOS:000378134000003</t>
  </si>
  <si>
    <t>Millard, AD; Pearce, D; Zwirglmaier, K</t>
  </si>
  <si>
    <t>Millard, Andrew D.; Pearce, David; Zwirglmaier, Katrin</t>
  </si>
  <si>
    <t>Biogeography of bacteriophages at four hydrothermal vent sites in the Antarctic based on g23 sequence diversity</t>
  </si>
  <si>
    <t>FEMS MICROBIOLOGY LETTERS</t>
  </si>
  <si>
    <t>bacteriophage; hydrothermal vent; Antarctica; East Scotia Ridge; South Sandwich Arc; Bransfield Strait; Kemp Caldera; g23; major capsid protein; T4likeviruses</t>
  </si>
  <si>
    <t>CAPSID GENES G23; T4-TYPE BACTERIOPHAGES; HIGH-THROUGHPUT; BACTERIAL DIVERSITY; EVOLUTION; RIDGE; LIFE; SEA; ENVIRONMENTS; COMMUNITIES</t>
  </si>
  <si>
    <t>In this study, which was carried out within the ChEsSO consortium project (Chemosynthetically driven ecosystems south of the Polar Front), we sampled two hydrothermal vent sites on the East Scotia Ridge, Scotia Sea, one in the Kemp Caldera, South Sandwich Arc and one in the Bransfield Strait, north-west of the Antarctic Peninsula, which exhibit strong differences in their chemical characteristics. We compared a subset of their bacteriophage population by Sanger- and 454-sequencing of g23, which codes for the major capsid protein of T4likeviruses. We found that the sites differ vastly in their bacteriophage diversity, which reflects the differences in the chemical conditions and therefore putatively the differences in microbial hosts living at these sites. Comparing phage diversity in the vent samples to other aquatic samples, the vent samples formed a distinct separate cluster, which also included the non-vent control samples that were taken several hundred meters above the vent chimneys. This indicates that the influence of the vents on the microbial population and therefore also the bacteriophage population extends much further than anticipated.</t>
  </si>
  <si>
    <t>[Millard, Andrew D.] Univ Warwick, Warwick Med Sch, Gibbet Hill Rd, Coventry CV4 7AL, W Midlands, England; [Pearce, David; Zwirglmaier, Katrin] British Antarctic Survey, High Cross,Madingley Rd, Cambridge CB3 0ET, England; [Pearce, David] Northumbria Univ, Dept Appl Sci, Ellison Bldg, Newcastle Upon Tyne NE1 8ST, Tyne &amp; Wear, England; [Pearce, David] Univ Ctr Svalbard UNIS, POB 156, N-9171 Longyearbyen, Svalbard, Norway; [Zwirglmaier, Katrin] Bundeswehr Inst Microbiol, Neuherbergstr 11, D-80937 Munich, Germany</t>
  </si>
  <si>
    <t>University of Warwick; UK Research &amp; Innovation (UKRI); Natural Environment Research Council (NERC); NERC British Antarctic Survey; Northumbria University; University Centre Svalbard (UNIS); Bundeswehr Institute of Microbiology (IMB)</t>
  </si>
  <si>
    <t>Zwirglmaier, K (corresponding author), Tech Univ Munich, Limnol Res Stn, Hofmark 1-3, D-82393 Iffeldor, Germany.;Zwirglmaier, K (corresponding author), Bundeswehr Inst Microbiol, Neuherbergstr 11, D-80937 Munich, Germany.</t>
  </si>
  <si>
    <t>katrin.zwirglmaier@tum.de</t>
  </si>
  <si>
    <t>millard, andrew D/B-3893-2011</t>
  </si>
  <si>
    <t>Pearce, David/0000-0001-5292-4596</t>
  </si>
  <si>
    <t>NERC through the ChEsSO-Chemosynthetically-driven ecosystems south of the Polar Front: biogeography and ecology consortium grant [NE/D01249x/1]; NERC [bas0100036, NE/D01249X/1] Funding Source: UKRI; Natural Environment Research Council [bas0100036, NE/D01249X/1] Funding Source: researchfish</t>
  </si>
  <si>
    <t>NERC through the ChEsSO-Chemosynthetically-driven ecosystems south of the Polar Front: biogeography and ecology consortium grant; NERC(UK Research &amp; Innovation (UKRI)Natural Environment Research Council (NERC)); Natural Environment Research Council(UK Research &amp; Innovation (UKRI)Natural Environment Research Council (NERC))</t>
  </si>
  <si>
    <t>The study was funded by NERC through the ChEsSO-Chemosynthetically-driven ecosystems south of the Polar Front: biogeography and ecology consortium grant ( grant number NE/D01249x/1, consortium PI: Prof Paul Tyler).</t>
  </si>
  <si>
    <t>0378-1097</t>
  </si>
  <si>
    <t>1574-6968</t>
  </si>
  <si>
    <t>FEMS MICROBIOL LETT</t>
  </si>
  <si>
    <t>FEMS Microbiol. Lett.</t>
  </si>
  <si>
    <t>fnw043</t>
  </si>
  <si>
    <t>10.1093/femsle/fnw043</t>
  </si>
  <si>
    <t>DO7MX</t>
  </si>
  <si>
    <t>WOS:000377967800012</t>
  </si>
  <si>
    <t>La, HS; Park, K</t>
  </si>
  <si>
    <t>La, Hyoung Sul; Park, Keyhong</t>
  </si>
  <si>
    <t>The Evident Role of Clouds on Phytoplankton Abundance in Antarctic Coastal Polynyas</t>
  </si>
  <si>
    <t>TERRESTRIAL ATMOSPHERIC AND OCEANIC SCIENCES</t>
  </si>
  <si>
    <t>Antarctic; Coastal polynya; Chlorophyll-a; Cloud cover; Ultraviolet radiation; PAR</t>
  </si>
  <si>
    <t>UV-B RADIATION; ROSS SEA; PHAEOCYSTIS-ANTARCTICA; OZONE DEPLETION; AMUNDSEN SEA; ERA-INTERIM; PHOTOACCLIMATION; PHOTOPHYSIOLOGY; PRODUCTIVITY; IRRADIANCE</t>
  </si>
  <si>
    <t>High-level primary production (PP) sustainability in the Antarctic coastal polynyas has not been adequately addressed. We investigated the relationship between the Antarctic coastal polynyas phytoplankton biomass (as reflected by Chl-a) and the cloud cover, which dominantly influences the light conditions. Phytoplankton biomass in Antarctic coastal polynyas showed a robust correlation with the photosynthetically active radiation (PAR) and the cloud fraction. However, a different relationship was observed between the phytoplankton biomass and the PAR. This relationship depended on both the ultraviolet (UV) radiation and the geographical location of the coastal polynyas. High intensity UV radiation is suspected to be an inhibitor of phytoplankton biomass. This indicates that the phytoplankton biomass is effectively limited by light intensity, which can be reduced by clouds, particularly mid- and high-level clouds, but it is not limited by light under high-level UV radiation exposure conditions.</t>
  </si>
  <si>
    <t>[La, Hyoung Sul; Park, Keyhong] Korea Polar Res Inst, Div Polar Ocean Environm, Inchon, South Korea; [Park, Keyhong] Inha Univ, Dept Ocean Sci, Inchon, South Korea</t>
  </si>
  <si>
    <t>Korea Institute of Ocean Science &amp; Technology (KIOST); Korea Polar Research Institute (KOPRI); Inha University</t>
  </si>
  <si>
    <t>Park, K (corresponding author), Korea Polar Res Inst, Div Polar Ocean Environm, Inchon, South Korea.;Park, K (corresponding author), Inha Univ, Dept Ocean Sci, Inchon, South Korea.</t>
  </si>
  <si>
    <t>keyhongpark@kopri.re.kr</t>
  </si>
  <si>
    <t>La, Hyoung Sul/0000-0003-1285-580X</t>
  </si>
  <si>
    <t>Korea Polar Research Institute grants [PP16020, PE16040, PM16040]; Polar Academic Program of KOPRI [PD15010, PM16060]</t>
  </si>
  <si>
    <t>Korea Polar Research Institute grants(Korea Polar Research Institute of Marine Research Placement (KOPRI)); Polar Academic Program of KOPRI(Korea Polar Research Institute of Marine Research Placement (KOPRI))</t>
  </si>
  <si>
    <t>All data sets used in this paper are available upon request to the corresponding author (key-hongpark@kopri.re.kr). The authors thank S.Y. Ha and the Two Anonymous Reviewers for their constructive comments. This research was supported by Korea Polar Research Institute grants (PP16020, PE16040, and PM16040) and K. Park was also supported by the Polar Academic Program (PD15010) and PM16060 of KOPRI.</t>
  </si>
  <si>
    <t>CHINESE GEOSCIENCE UNION</t>
  </si>
  <si>
    <t>TAIPEI</t>
  </si>
  <si>
    <t>PO BOX 23-59, TAIPEI 10764, TAIWAN</t>
  </si>
  <si>
    <t>1017-0839</t>
  </si>
  <si>
    <t>2311-7680</t>
  </si>
  <si>
    <t>TERR ATMOS OCEAN SCI</t>
  </si>
  <si>
    <t>Terr. Atmos. Ocean. Sci.</t>
  </si>
  <si>
    <t>10.3319/TAO.2015.11.30.01(Oc)</t>
  </si>
  <si>
    <t>Geosciences, Multidisciplinary; Meteorology &amp; Atmospheric Sciences; Oceanography</t>
  </si>
  <si>
    <t>Geology; Meteorology &amp; Atmospheric Sciences; Oceanography</t>
  </si>
  <si>
    <t>DO2WF</t>
  </si>
  <si>
    <t>WOS:000377641000011</t>
  </si>
  <si>
    <t>Vakulenko, NV; Kotlyakov, VM; Sonechkin, DM</t>
  </si>
  <si>
    <t>Vakulenko, N. V.; Kotlyakov, V. M.; Sonechkin, D. M.</t>
  </si>
  <si>
    <t>Lead-lag relationships between atmospheric trends of temperature and carbon dioxide concentrations during the pliocene</t>
  </si>
  <si>
    <t>DOKLADY EARTH SCIENCES</t>
  </si>
  <si>
    <t>ANTARCTIC TEMPERATURE; CO2</t>
  </si>
  <si>
    <t>Reconstructions of the average global near-surface air temperature and carbon dioxide concentration in the atmosphere for the late Pliocene are compared. For this purpose, a special technique of multiscale analysis based on wavelets was developed. It is found that temperature changes on timescales of 100 to 500 kyr lead the respective changes in the carbon dioxide concentration at about 10-25 kyr. It means that these reconstructions cannot be used for assessing the climate sensitivity to changes in the carbon dioxide concentration.</t>
  </si>
  <si>
    <t>[Vakulenko, N. V.; Sonechkin, D. M.] Russian Acad Sci, Shirshov Inst Oceanol, Nakhimovskii Pr 36, Moscow 117997, Russia; [Kotlyakov, V. M.] Russian Acad Sci, Inst Geog, Staromonetnyi Per 29, Moscow 119017, Russia</t>
  </si>
  <si>
    <t>Russian Academy of Sciences; Shirshov Institute of Oceanology; Russian Academy of Sciences; Institute of Geography, Russian Academy of Sciences</t>
  </si>
  <si>
    <t>Sonechkin, DM (corresponding author), Russian Acad Sci, Shirshov Inst Oceanol, Nakhimovskii Pr 36, Moscow 117997, Russia.</t>
  </si>
  <si>
    <t>dsonech@ocean.ru</t>
  </si>
  <si>
    <t>Vakulenko, Nadezda/0000-0003-4385-8659; Sonechkin, Dmitry/0000-0003-3771-3824</t>
  </si>
  <si>
    <t>Russian Foundation for Basic Research [15-05-00510]</t>
  </si>
  <si>
    <t>We are grateful to A.V. Byalko who recommended article [9] with more accurate data on CO2 concentrations in the atmosphere during the late Pliocene as compared with earlier information. This work was supported by the Russian Foundation for Basic Research, project no. 15-05-00510.</t>
  </si>
  <si>
    <t>1028-334X</t>
  </si>
  <si>
    <t>1531-8354</t>
  </si>
  <si>
    <t>DOKL EARTH SCI</t>
  </si>
  <si>
    <t>Dokl. Earth Sci.</t>
  </si>
  <si>
    <t>10.1134/S1028334X16040243</t>
  </si>
  <si>
    <t>DM8KO</t>
  </si>
  <si>
    <t>WOS:000376611700023</t>
  </si>
  <si>
    <t>Espíndola, F; Quiroz, JC; Wiff, R; Yáñez, E</t>
  </si>
  <si>
    <t>Espindola, Fernando; Carlos Quiroz, Juan; Wiff, Rodrigo; Yanez, Eleuterio</t>
  </si>
  <si>
    <t>Incorporating sea surface temperature into the stock-recruitment relationship: Applications to jack mackerel (Trachurus murphyi) off Chile</t>
  </si>
  <si>
    <t>REVISTA DE BIOLOGIA MARINA Y OCEANOGRAFIA</t>
  </si>
  <si>
    <t>Generalized additive models; stock-recruitment relationships; SST; non-parametric</t>
  </si>
  <si>
    <t>FISH STOCKS; STRAIT; NORTH; MODEL; POPULATIONS; ANOMALIES; DYNAMICS; SARDINE; COAST; SIZE</t>
  </si>
  <si>
    <t>The recruitment rate was modeled in relation to spawning biomass and to sea surface temperature (SST) for the jack mackerel (Trachurus murphyi) population off the Chilean coast using the Ricker model. Data regarding recruitment and spawning biomass were obtained from indirect stock assessment models from 1975 to 2001, while annual time series of SST were collected from the meteorological stations placed along the Chilean coast by the National Center of Hydrographic and Oceanographic Data (CENDHOC). The standard Ricker model was thus modified as follows: (1) the SST temporal series was included as a linear predictor; (2) the SST temporal series was modeled through smoothing functions; and (3) spawning biomass and SST temporal series were both modeled using smoothing functions. The resulting models were compared with the standard Ricker model without SST. Model selection was carried out using automatic information criteria (AIC). Including SST improved the fit of the recruitment model, despite the penalty of an additional term and a possible additional source of variability. The best model resulting includes the SST temporal series with smoothing functions and the spawning biomass with parametric functions, with a goodness-of-fit of 90%. Incorporating an environmental variable into stock-recruitment relationships may be a promising method for simultaneously considering effects from fishing and the environment, and is particularly relevant for managing fisheries in light of climate change.</t>
  </si>
  <si>
    <t>[Espindola, Fernando; Carlos Quiroz, Juan] Inst Fomento Pesquero, Div Invest Pesquera, Casilla 8V, Valparaiso, Chile; [Carlos Quiroz, Juan] Univ Tasmania UTAS, Inst Marine &amp; Antarctic Studies, 49 Private Bag, Hobart, Tas 7001, Australia; [Wiff, Rodrigo] Pontificia Univ Catolica Chile, Ctr Appl Ecol &amp; Sustainabil CAPES, Av Alameda 340, Santiago, Chile; [Yanez, Eleuterio] Pontificia Univ Catolica Valparaiso, Fac Ciencias Mar &amp; Geog, Escuela Ciencias Mar, Casilla 1020, Valparaiso, Chile</t>
  </si>
  <si>
    <t>Instituto de Fomento Pesquero (Valparaiso); University of Tasmania; Pontificia Universidad Catolica de Chile; Pontificia Universidad Catolica de Valparaiso</t>
  </si>
  <si>
    <t>Espíndola, F (corresponding author), Inst Fomento Pesquero, Div Invest Pesquera, Casilla 8V, Valparaiso, Chile.</t>
  </si>
  <si>
    <t>fernando.espindola@ifop.cl</t>
  </si>
  <si>
    <t>Quiroz, JC/A-9938-2010; Quiroz, Juan-Carlos/N-7937-2015</t>
  </si>
  <si>
    <t>CONICYT/FONDECYT [3130425]; CAPES [Conicyt FB 0002]; CONICYT BECAS-CHILE scholarship from the Chilean Government; top-up Flagship Postgraduate Scholarship from the University of Tasmania</t>
  </si>
  <si>
    <t>CONICYT/FONDECYT(Comision Nacional de Investigacion Cientifica y Tecnologica (CONICYT)CONICYT FONDECYT); CAPES(Coordenacao de Aperfeicoamento de Pessoal de Nivel Superior (CAPES)); CONICYT BECAS-CHILE scholarship from the Chilean Government; top-up Flagship Postgraduate Scholarship from the University of Tasmania</t>
  </si>
  <si>
    <t>We are grateful to two anonymous reviewers for their valuable comments and suggestions. We would also like to acknowledge the Centro Nacional de Datos Hidrograficos y Oceanograficos de Chile (CENDHOC), of the Servicio Hidrografico y Oceanografico de la Armada de Chile (SHOA) for supplying the sea surface temperature data requested through their website. R. Wiff was funded by CONICYT/FONDECYT post doctoral project number 3130425 and by CAPES project Conicyt FB 0002 (2014). J.C. Quiroz was awarded with the CONICYT BECAS-CHILE scholarship from the Chilean Government and the top-up Flagship Postgraduate Scholarship from the University of Tasmania.</t>
  </si>
  <si>
    <t>UNIV VALPARAISO</t>
  </si>
  <si>
    <t>FACULTAD CIENCIAS MAR RECURSOS NATURALES, CASILLA 5080 - RENACA, VINA DEL MAR, 00000, CHILE</t>
  </si>
  <si>
    <t>0717-3326</t>
  </si>
  <si>
    <t>0718-1957</t>
  </si>
  <si>
    <t>REV BIOL MAR OCEANOG</t>
  </si>
  <si>
    <t>Rev. Biol. Mar. Oceanogr.</t>
  </si>
  <si>
    <t>10.4067/S0718-19572016000100013</t>
  </si>
  <si>
    <t>DM9IT</t>
  </si>
  <si>
    <t>Green Accepted, Green Submitted, gold, Green Published</t>
  </si>
  <si>
    <t>WOS:000376679700013</t>
  </si>
  <si>
    <t>Chetyrbotskii, AN</t>
  </si>
  <si>
    <t>Chetyrbotskii, A. N.</t>
  </si>
  <si>
    <t>Large-scale numerical model of antarctic sea ice extent variations</t>
  </si>
  <si>
    <t>RUSSIAN METEOROLOGY AND HYDROLOGY</t>
  </si>
  <si>
    <t>Antarctic sea ice extent; large-scale dynamic model; parametric identification; system condition forecast</t>
  </si>
  <si>
    <t>Data on sampling long-term monthly mean distributions of Antarctic sea ice extent are analyzed for the period of 1974-2013. In the framework of propositions on the nature of variations in the components of limited-area system, the numerical model of sea ice extent dynamics was developed. It is demonstrated that in 1974-2013 the variations in monthly mean sea ice extent were defined by semiannual, annual, 30-year, and 60-year periodic components. The interpolation of the obtained results is presented. The forecast of Antarctic sea ice conditions for 2015-2135 is given.</t>
  </si>
  <si>
    <t>[Chetyrbotskii, A. N.] Russian Acad Sci, Far Eastern Geol Inst, Far East Branch, Pr 100 Letiya Vladivostoka 159, Vladivostok 690022, Russia</t>
  </si>
  <si>
    <t>Russian Academy of Sciences</t>
  </si>
  <si>
    <t>Chetyrbotskii, AN (corresponding author), Russian Acad Sci, Far Eastern Geol Inst, Far East Branch, Pr 100 Letiya Vladivostoka 159, Vladivostok 690022, Russia.</t>
  </si>
  <si>
    <t>Chetyrbotsky@yandex.ru</t>
  </si>
  <si>
    <t>PLEIADES PUBLISHING INC</t>
  </si>
  <si>
    <t>MOSCOW</t>
  </si>
  <si>
    <t>PLEIADES PUBLISHING INC, MOSCOW, 00000, RUSSIA</t>
  </si>
  <si>
    <t>1068-3739</t>
  </si>
  <si>
    <t>1934-8096</t>
  </si>
  <si>
    <t>RUSS METEOROL HYDRO+</t>
  </si>
  <si>
    <t>Russ. Meteorol. Hydrol.</t>
  </si>
  <si>
    <t>10.3103/S1068373916040075</t>
  </si>
  <si>
    <t>DM5YE</t>
  </si>
  <si>
    <t>WOS:000376425700007</t>
  </si>
  <si>
    <t>Kondrik, DV; Popov, AV; Rubchenya, AV</t>
  </si>
  <si>
    <t>Kondrik, D. V.; Popov, A. V.; Rubchenya, A. V.</t>
  </si>
  <si>
    <t>Specific features of the transport of freshwater anomalies in the Arctic Ocean</t>
  </si>
  <si>
    <t>The Arctic Ocean; thermohaline structure; eddies; autonomous drifting buoys; salinity anomalies</t>
  </si>
  <si>
    <t>The results are considered of studying inhomogeneities in the thermohaline structure of the Arctic Ocean surface layer from the data of different measurement platforms including North Pole drifting stations and ITP (Ice-Tethered Profiler) autonomous buoys. The characteristics of inhomogeneities in the thermohaline structure and of mechanisms of their transport are presented. Qualitative conclusions concerning the types of eddies revealed from the results of observations are proposed as well as the classification of dynamic systems that transport water masses.</t>
  </si>
  <si>
    <t>[Kondrik, D. V.] Nansen Int Environm &amp; Remote Sensing Ctr, Chetyrnadtsataya Liniya 7, St Petersburg 199034, Russia; [Popov, A. V.] Arctic &amp; Antarctic Res Inst, Ul Beringa 38, St Petersburg 199397, Russia; [Rubchenya, A. V.] St Petersburg State Univ, Univ Skaya Nab 7-9, St Petersburg 199034, Russia</t>
  </si>
  <si>
    <t>Nansen Environmental &amp; Remote Sensing Center (NERSC); Arctic &amp; Antarctic Research Institute; Saint Petersburg State University</t>
  </si>
  <si>
    <t>Kondrik, DV (corresponding author), Nansen Int Environm &amp; Remote Sensing Ctr, Chetyrnadtsataya Liniya 7, St Petersburg 199034, Russia.</t>
  </si>
  <si>
    <t>dmitry.kondrik@niersc.spb.ru</t>
  </si>
  <si>
    <t>Kondrik, Dmitry/W-2455-2019; Rubchenia, Andrej/F-9235-2013</t>
  </si>
  <si>
    <t>Kondrik, Dmitry/0000-0002-4032-4662; Rubchenia, Andrej/0000-0002-3996-8372</t>
  </si>
  <si>
    <t>ALLERTON PRESS INC</t>
  </si>
  <si>
    <t>18 WEST 27TH ST, NEW YORK, NY 10001 USA</t>
  </si>
  <si>
    <t>10.3103/S1068373916040087</t>
  </si>
  <si>
    <t>WOS:000376425700008</t>
  </si>
  <si>
    <t>Sharma, P; Patel, LK; Ravindra, R; Singh, A; Mahalinganathan, K; Thamban, M</t>
  </si>
  <si>
    <t>Sharma, Parmanand; Patel, Lavkush K.; Ravindra, Rasik; Singh, Ajit; Mahalinganathan, K.; Thamban, Meloth</t>
  </si>
  <si>
    <t>Role of debris cover to control specific ablation of adjoining Batal and Sutri Dhaka glaciers in Chandra Basin (Himachal Pradesh) during peak ablation season</t>
  </si>
  <si>
    <t>JOURNAL OF EARTH SYSTEM SCIENCE</t>
  </si>
  <si>
    <t>Specific ablation; mass balance; debris cover; western Himalaya</t>
  </si>
  <si>
    <t>GARHWAL-HIMALAYA; ENERGY-BALANCE; MASS-BALANCE; LANDSAT-TM; KHUMBU GLACIER; CLIMATE-CHANGE; NEPAL; INDIA; SATELLITE; INVENTORY</t>
  </si>
  <si>
    <t>As part of the on-going annual mass balance measurements on Batal and Sutri Dhaka glaciers, observations were made during peak ablation (August-September) season in 2013 to understand the response of debris covered and clean-ice (debris free) glacier surface to melting processes. Though, both the Batal and Sutri Dhaka glaciers have almost similar geographical disposition, Batal shows extensive debris cover (90% of the ablation area), while the latter is free from debris (only 5% of the ablation area). The thickness of debris in Batal glacier is inversely proportional to altitude, whereas Sutri Dhaka mostly experienced debris-free zone except snout area. Observation revealed that the vertical gradient of ablation rate in ablation area is contrastingly opposite in these two glaciers, reflecting significant control of debris thickness and their distribution over glacier surface on the ablation rates. While different thickness (2-100 cm) of debris have attenuated melting rates up to 70% of total melting, debris cover of &lt; 2 cm thickness has accelerated melting up to 10% of the total melting. Estimated melt ratio reveals that about 90% of the ablation area has experienced inhibited melting in Batal glacier, whereas only less than 5% ablation area of Sutri Dhaka has undergone inhibited melting. Comparison of topographical maps of 1962 with successive satellite images of the area demonstrates a terminus retreat of 373 +/- 33.5 m and 579 +/- 33.5 m for Batal and Sutri Dhaka glaciers for the period 1962-2013, respectively.</t>
  </si>
  <si>
    <t>[Sharma, Parmanand; Patel, Lavkush K.; Singh, Ajit; Mahalinganathan, K.; Thamban, Meloth] Minist Earth Sci, ESSO Natl Ctr Antarctic &amp; Ocean Res, Vasco Da Gama 403804, Goa, India; [Ravindra, Rasik] Minist Earth Sci Govt India, Earth Syst Sci Org, Prithvi Bhawan,Lodhi Rd, New Delhi 110003, India</t>
  </si>
  <si>
    <t>Ministry of Earth Sciences (MoES) - India; National Centre for Polar and Ocean Research (NCPOR); Earth System Science Organization (ESSO); Ministry of Earth Sciences (MoES) - India</t>
  </si>
  <si>
    <t>Sharma, P (corresponding author), Minist Earth Sci, ESSO Natl Ctr Antarctic &amp; Ocean Res, Vasco Da Gama 403804, Goa, India.</t>
  </si>
  <si>
    <t>pnsharma@ncaor.gov.in</t>
  </si>
  <si>
    <t>Patel, Lavkush/AGQ-2159-2022</t>
  </si>
  <si>
    <t>Sharma, Parmanand/0000-0002-7398-0308; Thamban, Meloth/0000-0003-3379-8189; patel, Lavkush Kumar/0000-0002-8131-9587</t>
  </si>
  <si>
    <t>National Centre for Antarctic and Ocean Research, Ministry of Earth Sciences, Government of India, under the program 'Cryosphere and Climate'</t>
  </si>
  <si>
    <t>This work has been funded by National Centre for Antarctic and Ocean Research, Ministry of Earth Sciences, Government of India, under the program 'Cryosphere and Climate'. We heartily acknowledge and thank to Dr Shailesh Nayak, Secretary, ESSO-MoES for his support to run the field expedition and giving valuable scientific suggestions for improving the quality of the paper. We also thank Dr S Rajan, Director, ESSO-NCAOR for his unconditional support. We thank the National Remote Sensing Centre (NRSC) and the United State Geological Survey (USGS) for providing satellite data and Survey of India for providing the toposheets for our study area. We thank our field assistant, Mr B B Adhikari and the porters who were involved in our field trips, and ABVIMAS, Manali for providing some of the facilities to carry out this work. We are also thankful to IITM, Pune for facilitating necessary instruments that enabled us to collect meteorological data during the field.</t>
  </si>
  <si>
    <t>INDIAN ACAD SCIENCES</t>
  </si>
  <si>
    <t>BANGALORE</t>
  </si>
  <si>
    <t>C V RAMAN AVENUE, SADASHIVANAGAR, P B #8005, BANGALORE 560 080, INDIA</t>
  </si>
  <si>
    <t>2347-4327</t>
  </si>
  <si>
    <t>0973-774X</t>
  </si>
  <si>
    <t>J EARTH SYST SCI</t>
  </si>
  <si>
    <t>J. Earth Syst. Sci.</t>
  </si>
  <si>
    <t>Geosciences, Multidisciplinary; Multidisciplinary Sciences</t>
  </si>
  <si>
    <t>Geology; Science &amp; Technology - Other Topics</t>
  </si>
  <si>
    <t>DL8ZF</t>
  </si>
  <si>
    <t>WOS:000375930100002</t>
  </si>
  <si>
    <t>Nguyen, H; Van, TD; Tran, N; Le, L</t>
  </si>
  <si>
    <t>Hung Nguyen; Thanh Dac Van; Nhut Tran; Ly Le</t>
  </si>
  <si>
    <t>Exploring the Effects of Subfreezing Temperature and Salt Concentration on Ice Growth Inhibition of Antarctic Gram-Negative Bacterium Marinomonas Primoryensis Using Coarse-Grained Simulation</t>
  </si>
  <si>
    <t>APPLIED BIOCHEMISTRY AND BIOTECHNOLOGY</t>
  </si>
  <si>
    <t>MARTINI force field; MpAFPs; Coarse-grained simulation; Free energy landscape</t>
  </si>
  <si>
    <t>HYPERACTIVE ANTIFREEZE PROTEIN; MOLECULAR-DYNAMICS; PHYSICAL-PROPERTIES; TENEBRIO-MOLITOR; BINDING PROTEINS; SEA-ICE; HYDRATION; MECHANISM; FISHES; ENERGY</t>
  </si>
  <si>
    <t>The aim of this work is to study the freezing process of water molecules surrounding Antarctic Gram-negative bacterium Marinomonas primoryensis antifreeze protein (MpAFP) and the MpAFP interactions to the surface of ice crystals under various marine environments (at different NaCl concentrations of 0.3, 0.6, and 0.8 mol/l). Our result indicates that activating temperature region of MpAFPs reduced as NaCl concentration increased. Specifically, MpAFP was activated and functioned at 0.6 mol/l with temperatures equal or larger 278 K, and at 0.8 mol/l with temperatures equal or larger 270 K. Additionally, MpAFP was inhibited by ice crystal network from 268 to 274 K and solid-liquid hybrid from 276 to 282 K at 0.3 mol/l concentration. Our results shed lights on structural dynamics of MpAFP among different marine environments.</t>
  </si>
  <si>
    <t>[Hung Nguyen; Thanh Dac Van; Nhut Tran; Ly Le] Inst Computat Sci &amp; Technol, Life Sci Lab, Ho Chi Minh City, Vietnam; [Thanh Dac Van; Ly Le] Vietnam Natl Univ, Ho Chi Minh Int Univ, Sch Biotechnol, Ho Chi Minh City, Vietnam</t>
  </si>
  <si>
    <t>Vietnam National University Hochiminh City</t>
  </si>
  <si>
    <t>Nguyen, H; Le, L (corresponding author), Inst Computat Sci &amp; Technol, Life Sci Lab, Ho Chi Minh City, Vietnam.;Le, L (corresponding author), Vietnam Natl Univ, Ho Chi Minh Int Univ, Sch Biotechnol, Ho Chi Minh City, Vietnam.</t>
  </si>
  <si>
    <t>hung.nv@icst.org.vn; ly.le@hcmiu.edu.vn</t>
  </si>
  <si>
    <t>Nguyen, Hung/Q-1508-2019</t>
  </si>
  <si>
    <t>Nguyen, Hung/0000-0002-1282-319X</t>
  </si>
  <si>
    <t>Department of the Navy, Office of Naval Research [N62909-14-1-N234]; Institute for Computational Science and Technology, Ho Chi Minh City, Vietnam</t>
  </si>
  <si>
    <t>Department of the Navy, Office of Naval Research(Office of Naval Research); Institute for Computational Science and Technology, Ho Chi Minh City, Vietnam</t>
  </si>
  <si>
    <t>The work was funded by the Department of the Navy, Office of Naval Research under grant number N62909-14-1-N234. The computing resources and support provided by Institute for Computational Science and Technology, Ho Chi Minh City, Vietnam are gratefully acknowledged.</t>
  </si>
  <si>
    <t>HUMANA PRESS INC</t>
  </si>
  <si>
    <t>TOTOWA</t>
  </si>
  <si>
    <t>999 RIVERVIEW DRIVE SUITE 208, TOTOWA, NJ 07512 USA</t>
  </si>
  <si>
    <t>0273-2289</t>
  </si>
  <si>
    <t>1559-0291</t>
  </si>
  <si>
    <t>APPL BIOCHEM BIOTECH</t>
  </si>
  <si>
    <t>Appl. Biochem. Biotechnol.</t>
  </si>
  <si>
    <t>10.1007/s12010-015-1966-7</t>
  </si>
  <si>
    <t>Biochemistry &amp; Molecular Biology; Biotechnology &amp; Applied Microbiology</t>
  </si>
  <si>
    <t>DL4NV</t>
  </si>
  <si>
    <t>WOS:000375615400007</t>
  </si>
  <si>
    <t>Gogliettino, M; Balestrieri, M; Riccio, A; Facchiano, A; Fusco, C; Palazzo, VC; Rossi, M; Cocca, E; Palmieri, G</t>
  </si>
  <si>
    <t>Gogliettino, Marta; Balestrieri, Marco; Riccio, Alessia; Facchiano, Angelo; Fusco, Carmela; Palazzo, Vincenzo Cecere; Rossi, Mose; Cocca, Ennio; Palmieri, Gianna</t>
  </si>
  <si>
    <t>Uncommon functional properties of the first piscine 26S proteasome from the Antarctic notothenioid Trematomus bernacchii</t>
  </si>
  <si>
    <t>BIOSCIENCE REPORTS</t>
  </si>
  <si>
    <t>26S proteasome; Antarctic notothenioid Trematomus bernacchii; cold adaptation; oxidized protein degradation; protein degradation machinery</t>
  </si>
  <si>
    <t>MUSCLE 20S PROTEASOME; PROTEIN-DEGRADATION; EXPRESSION ANALYSIS; SUBUNIT CLUSTER; UBIQUITIN; PURIFICATION; EVOLUTION; GENE; IDENTIFICATION; ADAPTATION</t>
  </si>
  <si>
    <t>Protein homoeostasis is a fundamental process allowing the preservation of functional proteins and it has a great impact on the life of the Antarctic organisms. However, the effect of low temperatures on protein turnover is poorly understood and the cold-adaptation of the degradation machinery remains an unresolved issue. As the 26S proteasome represents the main proteolytic system devoted to the controlled degradation of intracellular proteins, the purpose of the present study was to investigate the functions of this complex in the notothenioid Trematomus bernacchii, in order to better understand its role in the physiology of Antarctic fish. To this aim, we purified and characterized the 26S proteasome from T. bernacchii and isolated the cDNAs codifying seven of the 14 subunits belonging to the proteasome 20S core particle. Results provided evidences of the high resistance of the piscine 26S proteasome to oxidative agents and of its 'uncommon' ability to efficiently hydrolyse oxidized bovine serum albumin (BSA), suggesting that this enzymatic complex could play a key role in the antioxidant defense systems in fish inhabiting permanently cold marine environments. These unique properties were also reflected by the 3D model analysis, which revealed a higher structural stability of the piscine complex respect to the murine template. Finally, a comparative analysis, performed in a variety of tissues collected from T. bernacchii and the temperate fish Dicentrarchus labrax, showed a lower protein retention in the cold-adapted fish, possibly due to a better efficiency of its degradation machinery.</t>
  </si>
  <si>
    <t>[Gogliettino, Marta; Balestrieri, Marco; Riccio, Alessia; Fusco, Carmela; Palazzo, Vincenzo Cecere; Rossi, Mose; Cocca, Ennio; Palmieri, Gianna] CNR, Inst Biosci &amp; BioResources IBBR, Via Pietro Castellino 111, I-80131 Naples, Italy; [Facchiano, Angelo] CNR, ISA, Inst Food Sci, Via Roma 64, I-83100 Avellino, Italy</t>
  </si>
  <si>
    <t>Consiglio Nazionale delle Ricerche (CNR); Istituto di Bioscienze e Biorisorse (IBBR-CNR); Consiglio Nazionale delle Ricerche (CNR); Istituto di Scienze dell' Alimentazione (ISA-CNR)</t>
  </si>
  <si>
    <t>Cocca, E (corresponding author), CNR, Inst Biosci &amp; BioResources IBBR, Via Pietro Castellino 111, I-80131 Naples, Italy.</t>
  </si>
  <si>
    <t>ennio.cocca@ibbr.cnr.it</t>
  </si>
  <si>
    <t>Facchiano, Angelo/K-3375-2012; Cocca, Ennio/AAY-3817-2020; Balestrieri, Marco/G-1847-2011; Fusco, Carmela Ca/H-2964-2016; Palmieri, Gianna/AAW-6176-2020; Facchiano, Angelo/IVH-4978-2023; Palmieri, Gianna/S-4872-2017</t>
  </si>
  <si>
    <t>Facchiano, Angelo/0000-0002-7077-4912; Cocca, Ennio/0000-0003-2432-9663; Balestrieri, Marco/0000-0003-4343-2148; Palmieri, Gianna/0000-0002-9007-4075; FUSCO, CARMELA/0000-0002-0622-529X</t>
  </si>
  <si>
    <t>PNRA [2013/AZ1.20]; Regione Campania under POR Campania FESR [2007/2013-O.O.2.1]; Regione Campania under Legge [5 L.R. 28/5/02 N.5. D. n. 73 22/12/2014]</t>
  </si>
  <si>
    <t>PNRA; Regione Campania under POR Campania FESR(Regione Campania); Regione Campania under Legge(Regione Campania)</t>
  </si>
  <si>
    <t>This study was funded by the PNRA 2013/AZ1.20 project The emergent role of new globins of Antarctic fish in the defense against oxidative and nitrosative stress. In addition, this research was funded by Regione Campania under POR Campania FESR 2007/2013-O.O.2.1 - Rete delle Biotecnologie in Campania (FarmaBioNet project) and under Legge 5 L.R. 28/5/02 N.5. D. n. 73 22/12/2014 (Project: Inibitori di proteasi archaeali appartenenti alla famiglia delle PEBP).</t>
  </si>
  <si>
    <t>PORTLAND PRESS LTD</t>
  </si>
  <si>
    <t>1ST FLR, 10 QUEEN STREET PLACE, LONDON, ENGLAND</t>
  </si>
  <si>
    <t>0144-8463</t>
  </si>
  <si>
    <t>1573-4935</t>
  </si>
  <si>
    <t>BIOSCIENCE REP</t>
  </si>
  <si>
    <t>Biosci. Rep.</t>
  </si>
  <si>
    <t>APR 1</t>
  </si>
  <si>
    <t>e00320</t>
  </si>
  <si>
    <t>10.1042/BSR20160022</t>
  </si>
  <si>
    <t>Biochemistry &amp; Molecular Biology; Cell Biology</t>
  </si>
  <si>
    <t>DK2SC</t>
  </si>
  <si>
    <t>WOS:000374763700017</t>
  </si>
  <si>
    <t>Canales, TM; Law, R; Blanchard, JL</t>
  </si>
  <si>
    <t>Mariella Canales, T.; Law, Richard; Blanchard, Julia L.</t>
  </si>
  <si>
    <t>Shifts in plankton size spectra modulate growth and coexistence of anchovy and sardine in upwelling systems</t>
  </si>
  <si>
    <t>CANADIAN JOURNAL OF FISHERIES AND AQUATIC SCIENCES</t>
  </si>
  <si>
    <t>Symposium on Size-Based Approaches at the 144th Meeting of the American-Fisheries-Society</t>
  </si>
  <si>
    <t>AUG, 2014</t>
  </si>
  <si>
    <t>Quebec, CANADA</t>
  </si>
  <si>
    <t>ENGRAULIS-RINGENS; STRUCTURED POPULATIONS; MARINE ECOSYSTEMS; BODY-SIZE; MODEL; ABUNDANCE</t>
  </si>
  <si>
    <t>Fluctuations in the abundance of anchovy (Engraulis spp.) and sardine (Sardinops scigax) are widespread in marine ecosystems, but the causes still remain uncertain. Differences between the planktonic prey availability, selectivity, and predation between anchovy and sardine have been suggested as factors influencing their dynamics. Using a dynamical multispecies size -spectrum model, we explore the consequences of changes in plankton size composition, together with intraguild predation and cannibalism, on the coexistence of these species. The shift towards smaller plankton has led to a reduction in the growth rate of both species. The effect was more deleterious on anchovy growth because it is unable to filter small particles. In model scenarios that included the effects of cannibalism and predation, anchovy typically collapsed under conditions favouring smaller sized plankton. The two species coexisted under conditions of larger sized plankton, although strong predation in conjunction with weak cannibalism led to the loss of sardine. The model provides new testable predictions for the consequences of plankton size structure on anchovy and sardine fluctuations. Further empirical work is needed to test these predictions in the context of climate change.</t>
  </si>
  <si>
    <t>[Mariella Canales, T.] Pontificia Univ Catolica Chile, Av Alameda 340, Santiago, Chile; [Law, Richard] Univ York, York Ctr Complex Syst Anal, York YO10 5EG, N Yorkshire, England; [Blanchard, Julia L.] Univ Tasmania, Inst Marine &amp; Antarctic Studies, 20 Castray Esplanade, Battery Point, Tas 7004, Australia</t>
  </si>
  <si>
    <t>Pontificia Universidad Catolica de Chile; University of York - UK; University of Tasmania</t>
  </si>
  <si>
    <t>Canales, TM (corresponding author), Pontificia Univ Catolica Chile, Av Alameda 340, Santiago, Chile.</t>
  </si>
  <si>
    <t>mariella.canales@gmail.com</t>
  </si>
  <si>
    <t>Blanchard, Julia L/E-4919-2010</t>
  </si>
  <si>
    <t>Blanchard, Julia/0000-0003-0532-4824</t>
  </si>
  <si>
    <t>National Commission for Scientific and Technological Research (CONICYT) - Chile; Holbeck Foundation (UK); CONICYT-PIA [FB 0002]</t>
  </si>
  <si>
    <t>National Commission for Scientific and Technological Research (CONICYT) - Chile(Comision Nacional de Investigacion Cientifica y Tecnologica (CONICYT)); Holbeck Foundation (UK); CONICYT-PIA</t>
  </si>
  <si>
    <t>T.M. Canales acknowledges the National Commission for Scientific and Technological Research (CONICYT) - Chile and the Holbeck Foundation (UK) for funding her Ph.D. studies. T.M. Canales is now funded by the project CONICYT-PIA FB 0002 (2014). We are grateful for the helpful comments of two anonymous reviewers of this paper. We thank the Fisheries Research Fund (FIP) - Chile and Mauricio Braun for supplying the plankton data for this paper.</t>
  </si>
  <si>
    <t>CANADIAN SCIENCE PUBLISHING, NRC RESEARCH PRESS</t>
  </si>
  <si>
    <t>OTTAWA</t>
  </si>
  <si>
    <t>65 AURIGA DR, SUITE 203, OTTAWA, ON K2E 7W6, CANADA</t>
  </si>
  <si>
    <t>0706-652X</t>
  </si>
  <si>
    <t>1205-7533</t>
  </si>
  <si>
    <t>CAN J FISH AQUAT SCI</t>
  </si>
  <si>
    <t>Can. J. Fish. Aquat. Sci.</t>
  </si>
  <si>
    <t>10.1139/cjfas-2015-0181</t>
  </si>
  <si>
    <t>Science Citation Index Expanded (SCI-EXPANDED); Conference Proceedings Citation Index - Science (CPCI-S)</t>
  </si>
  <si>
    <t>DL1WV</t>
  </si>
  <si>
    <t>WOS:000375424700014</t>
  </si>
  <si>
    <t>Pócs, T; Ochyra, R; Bednarek-Ochyra, H</t>
  </si>
  <si>
    <t>Pocs, Tamas; Ochyra, Ryszard; Bednarek-Ochyra, Halina</t>
  </si>
  <si>
    <t>Lepidozia cupressina (Marchantiopsida, Lepidoziaceae) in sub-Saharan Africa, with a note on the taxonomic status of L-chordulifera</t>
  </si>
  <si>
    <t>CRYPTOGAMIE BRYOLOGIE</t>
  </si>
  <si>
    <t>Africa; Antarctica; bipolar species; distribution patterns; Europe; Hepaticae; nomenclature; phytogeography; South America; taxonomy</t>
  </si>
  <si>
    <t>REGIONAL BRYOPHYTE RECORDS; GRIMMIACEAE; ISLAND; ANTARCTICA; HEPATICAE; AMERICA</t>
  </si>
  <si>
    <t>A taxonomic history of Lepidozia cupressina (Sw.) Lindenb. (Jungermannia cupressina Sw.) is presented and its diagnostic characters and variability in sub-Saharan Africa are thoroughly discussed. Three subspecies are currently distinguished in this region, namely subsp. cupressina, subsp. africana (Steph.) Pocs, stat. et comb. nov., which occurs in the East African Indian Ocean islands and in the Eastern Arc of continental East Africa, as well as on the island of St. Helena in the Atlantic Ocean, and subsp. natalensis (Steph.) Pocs which is restricted to southern Africa. The other two subspecies, subsp. pinnata (Hook.) Pocs and subsp. quinquefida (Steph.) Pocs, are merged with the type subspecies of L. cupressina. A key to the recognition of the subspecies of L. cupressina is provided. Lepidozia chordulifera Taylor, a temperate species widely distributed in southern South America, is taxonomically assessed and some of its diagnostic traits are illustrated. It is considered to be conspecific with L. cupressina subsp. cupressina. Thanks to this taxonomic conclusion the range extension of L. cupressina in southern South America, including the Falkland Islands, is sanctioned and, additionally, distribution of this species is extended to subantarctic South Georgia and the northern maritime Antarctic. The current geographical range of L. cupressina is reviewed and mapped and it may be designated as a bipolar temperate species with numerous transitional stations in the tropical mountains. In the Southern Hemisphere L. cupressina is a typical Afro-American oreophyte.</t>
  </si>
  <si>
    <t>[Pocs, Tamas] Eszterhazy Karoly Univ, Dept Bot, Inst Biol, Pf 43, H-3301 Eger, Hungary; [Ochyra, Ryszard; Bednarek-Ochyra, Halina] Polish Acad Sci, Lab Bryol, Inst Bot, Ul Lubicz 46, PL-31512 Krakow, Poland</t>
  </si>
  <si>
    <t>Eszterhazy Karoly Catholic University; Polish Academy of Sciences</t>
  </si>
  <si>
    <t>Pócs, T (corresponding author), Eszterhazy Karoly Univ, Dept Bot, Inst Biol, Pf 43, H-3301 Eger, Hungary.</t>
  </si>
  <si>
    <t>colura@chello.hu</t>
  </si>
  <si>
    <t>Bednarek-Ochyra, Halina/K-7507-2012</t>
  </si>
  <si>
    <t>Ochyra, Ryszard/0000-0002-2541-0722; Bednarek-Ochyra, Halina/0000-0002-6994-8313</t>
  </si>
  <si>
    <t>Agricultural Faculty of the University of Dar es Salaam; Forestry Faculty of the Sokoine University of Agriculture, Morogoro; National Geographic Society (USA) [4233-89, 4699-92, 5201-94]; Hungarian Science Fund (OTKA) [I/3-941]; Polish National Centre of Science [N N 303 469 338, N N 303 796 940]; Institute of Botany of the Polish Academy of Sciences</t>
  </si>
  <si>
    <t>Agricultural Faculty of the University of Dar es Salaam; Forestry Faculty of the Sokoine University of Agriculture, Morogoro; National Geographic Society (USA)(National Geographic Society); Hungarian Science Fund (OTKA)(Orszagos Tudomanyos Kutatasi Alapprogramok (OTKA)); Polish National Centre of Science; Institute of Botany of the Polish Academy of Sciences</t>
  </si>
  <si>
    <t>Special thanks are due to the Curators of the herbaria at AAS, BM, G, HAC, JE, FH, PC, PRE, S, U and ULA for kindly allowing us to study the original and other collections of Lepidozia africana, L. chordulifera, L. natalensis and L. cupressina. We are also indebted to Rodney Seppelt, Hobart, Tasmania, Robert R. Ireland, Washington, USA, and Nick Hodgetts, Petersborough, UK, for checking the English and Katarzyna Bilyk, Krakow, Poland, for generating the distribution map. The study of Tamas Pocs was sponsored by the Agricultural Faculty of the University of Dar es Salaam, later from the Forestry Faculty of the Sokoine University of Agriculture, Morogoro, finally from the National Geographic Society (USA), grants Nos. 4233-89, 4699-92 and 5201-94 and from the Hungarian Science Fund (OTKA), Grant No. I/3-941. This work has also gained financial support from the Polish National Centre of Science through grants No. N N 303 469 338 for Ryszard Ochyra and N N 303 796 940 for Halina Bednarek-Ochyra and, partly, through the statutory fund of the Institute of Botany of the Polish Academy of Sciences.</t>
  </si>
  <si>
    <t>ADAC-CRYPTOGAMIE</t>
  </si>
  <si>
    <t>PARIS</t>
  </si>
  <si>
    <t>12 RUE DE BUFFON, 75005 PARIS, FRANCE</t>
  </si>
  <si>
    <t>1290-0796</t>
  </si>
  <si>
    <t>1776-0992</t>
  </si>
  <si>
    <t>CRYPTOGAMIE BRYOL</t>
  </si>
  <si>
    <t>Cryptogam. Bryol.</t>
  </si>
  <si>
    <t>10.7872/cryb/v37.iss2.2016.125</t>
  </si>
  <si>
    <t>DL6FE</t>
  </si>
  <si>
    <t>WOS:000375734300003</t>
  </si>
  <si>
    <t>Ciok, A; Dziewit, L; Grzesiak, J; Budzik, K; Gorniak, D; Zdanowski, MK; Bartosik, D</t>
  </si>
  <si>
    <t>Ciok, Anna; Dziewit, Lukasz; Grzesiak, Jakub; Budzik, Karol; Gorniak, Dorota; Zdanowski, Marek K.; Bartosik, Dariusz</t>
  </si>
  <si>
    <t>Identification of miniature plasmids in psychrophilic Arctic bacteria of the genus Variovorax</t>
  </si>
  <si>
    <t>FEMS MICROBIOLOGY ECOLOGY</t>
  </si>
  <si>
    <t>miniature plasmid; Variovorax; psychrophile; Arctic; glacier; replication system</t>
  </si>
  <si>
    <t>TRANSFER-RNA GENES; DIVERSITY; PARADOXUS; GLACIERS; CRYOCONITE; VECTORS; PROGRAM; SYSTEMS; SURFACE; ICE</t>
  </si>
  <si>
    <t>The Svalbard archipelago (Spitsbergen Island) is the northernmost landmass in the European Arctic and has a variety of small-and medium-sized glaciers. The plasmidome of eleven psychrophilic strains of Variovorax spp. isolated from the ice surface of Hans and Werenskiold Glaciers of Spitsbergen Island, was defined. This analysis revealed the presence of six plasmids whose nucleotide sequences have been determined. Four of them, exhibiting high reciprocal sequence similarity, possess unique structures, since their genomes lack any recognized genes. These miniature replicons, not exceeding 1 kb in size, include pHW69V1 (746 bp), which is the smallest autonomous replicon so far identified in free-living bacteria. The miniature plasmids share no similarity with known sequences present in the databases. In silico and experimental analyses identified conserved DNA regions essential for the initiation of replication of these replicons.</t>
  </si>
  <si>
    <t>[Ciok, Anna; Dziewit, Lukasz; Budzik, Karol; Bartosik, Dariusz] Univ Warsaw, Inst Microbiol, Dept Bacterial Genet, Fac Biol, Miecznikowa 1, PL-02096 Warsaw, Poland; [Grzesiak, Jakub; Zdanowski, Marek K.] Polish Acad Sci, Inst Biochem &amp; Biophys, Dept Antarctic Biol, Pawinskiego 5a, PL-02106 Warsaw, Poland; [Gorniak, Dorota] Univ Warmia &amp; Mazury, Fac Biol &amp; Biotechnol, Dept Microbiol, Oczapowskiego 1A, PL-10719 Olsztyn, Poland</t>
  </si>
  <si>
    <t>University of Warsaw; Polish Academy of Sciences; Institute of Biochemistry &amp; Biophysics - Polish Academy of Sciences; University of Warmia &amp; Mazury</t>
  </si>
  <si>
    <t>Dziewit, L (corresponding author), Univ Warsaw, Inst Microbiol, Dept Bacterial Genet, Fac Biol, Miecznikowa 1, PL-02096 Warsaw, Poland.</t>
  </si>
  <si>
    <t>ldziewit@biol.uw.edu.pl</t>
  </si>
  <si>
    <t>Dziewit, Lukasz/L-1131-2016; Grzesiak, Jakub/ABD-5209-2020; Gorniak, Dorota/X-8468-2018</t>
  </si>
  <si>
    <t>Dziewit, Lukasz/0000-0002-5057-2811; Bartosik, Dariusz/0000-0002-3589-8864; Szych, Anna/0000-0001-5522-5395; Grzesiak, Jakub/0000-0001-5972-2356; Budzik, Karol/0000-0002-4112-9914; Gorniak, Dorota/0000-0001-6567-1057</t>
  </si>
  <si>
    <t>National Science Center, Poland [N N304 106940]</t>
  </si>
  <si>
    <t>National Science Center, Poland(National Science Centre, Poland)</t>
  </si>
  <si>
    <t>This work was supported by the National Science Center, Poland [grant number N N304 106940].</t>
  </si>
  <si>
    <t>0168-6496</t>
  </si>
  <si>
    <t>1574-6941</t>
  </si>
  <si>
    <t>FEMS MICROBIOL ECOL</t>
  </si>
  <si>
    <t>FEMS Microbiol. Ecol.</t>
  </si>
  <si>
    <t>fiw043</t>
  </si>
  <si>
    <t>10.1093/femsec/fiw043</t>
  </si>
  <si>
    <t>DJ8RE</t>
  </si>
  <si>
    <t>WOS:000374479400011</t>
  </si>
  <si>
    <t>Zeng, YX; Yu, Y; Liu, Y; Li, HR</t>
  </si>
  <si>
    <t>Zeng, Yin-Xin; Yu, Yong; Liu, Yang; Li, Hui-Rong</t>
  </si>
  <si>
    <t>Psychrobacter glaciei sp nov., isolated from the ice core of an Arctic glacier</t>
  </si>
  <si>
    <t>INTERNATIONAL JOURNAL OF SYSTEMATIC AND EVOLUTIONARY MICROBIOLOGY</t>
  </si>
  <si>
    <t>DNA; BACTERIA; SEA</t>
  </si>
  <si>
    <t>A Gram-stain-negative, non-motile, non-spore-forming, non-pigmented, oxidase-and catalase-positive bacterial strain, designated BIc20019(T), was isolated from the ice core of Austre Lovenbreen in Ny-Alesund, Svalbard. The temperature and NaCl ranges for growth were 4-34 degrees C (optimum, 25-29 degrees C) and 0-8% (w/v) (optimum, 2-4 %). Analysis of the 16S rRNA gene sequence indicated that strain BIc20019(T) belonged to the genus Psychrobacter and was closely related to Psychrobacter arcticus 273-4(T), Psychrobacter cryohalolentis K5(T), 'Psychrobacter fjordensis' BSw21516B, Psychrobacter fozii LMG 21280(T), Psychrobacter luti LMG 21276(T) and Pyschrobacter okhotskensis MD17(T) at greater than 99% similarity. Phylogenetic analysis based on gyrB gene sequences revealed highest similarity (93.6%) to P. okhotskensis MD17(T). However, DNA hybridization experiments revealed a low level of DNA-DNA relatedness (&lt;59 %) between strain BIc20019(T) and its closest relatives. Strain BIc20019(T) contained ubiquinone-8 (Q-8) as the predominant respiratory quinone, and C-18 : 1 omega 9c and summed feature 3 (C-16: 1 omega 7c and/or iso-C-15 (: 0) 2-OH) as the major fatty acids. It had a DNA G+C content of 46.3 mol%. The polar lipid profile of strain BIc20019(T) was mainly composed of phosphatidylglycerol, phosphatidylethanolamine and diphosphatidylglycerol. Owing to the differences in phenotypic and chemotaxonomic characteristics, phylogenetic analysis based on 16S rRNA gene and gyrB gene sequences, and DNA-DNA relatedness data, the isolate merits classification within a novel species for which the name Psychrobacter glaciei sp. nov. is proposed. The type strain is BIc20019(T) (=KCTC 42280(T) =CCTCC AB 2014019(T)).</t>
  </si>
  <si>
    <t>[Zeng, Yin-Xin; Yu, Yong; Li, Hui-Rong] Polar Res Inst China, State Ocean Adm, Key Lab Polar Sci, Shanghai 200136, Peoples R China; [Liu, Yang] Fujian Acad Agr Sci, Cent Lab, Xiamen 350003, Fujian, Peoples R China</t>
  </si>
  <si>
    <t>Polar Research Institute of China; Fujian Academy of Agricultural Sciences</t>
  </si>
  <si>
    <t>Zeng, YX (corresponding author), Polar Res Inst China, State Ocean Adm, Key Lab Polar Sci, Shanghai 200136, Peoples R China.</t>
  </si>
  <si>
    <t>yxzeng@yahoo.com</t>
  </si>
  <si>
    <t>National Natural Science Foundation of China [41076131, 41476171]; Chinese Polar Environment Comprehensive Investigation and Assessment Program [CHINARE2015-02-01]; Special Scientific Research Funds for Public Scientific Research Institution of Fujian [2014R1025-8]</t>
  </si>
  <si>
    <t>National Natural Science Foundation of China(National Natural Science Foundation of China (NSFC)); Chinese Polar Environment Comprehensive Investigation and Assessment Program; Special Scientific Research Funds for Public Scientific Research Institution of Fujian</t>
  </si>
  <si>
    <t>We appreciate the assistance of the Chinese Arctic and Antarctic Administration (CAA) who organized the Chinese Arctic Yellow River Station Expedition in 2008. This work was supported by the National Natural Science Foundation of China (Grant Nos. 41076131 and 41476171), the Chinese Polar Environment Comprehensive Investigation and Assessment Program (Grant No. CHINARE2015-02-01) and Special Scientific Research Funds for Public Scientific Research Institution of Fujian (2014R1025-8).</t>
  </si>
  <si>
    <t>MICROBIOLOGY SOC</t>
  </si>
  <si>
    <t>14-16 MEREDITH ST, LONDON, ENGLAND</t>
  </si>
  <si>
    <t>1466-5026</t>
  </si>
  <si>
    <t>1466-5034</t>
  </si>
  <si>
    <t>INT J SYST EVOL MICR</t>
  </si>
  <si>
    <t>Int. J. Syst. Evol. Microbiol.</t>
  </si>
  <si>
    <t>10.1099/ijsem.0.000939</t>
  </si>
  <si>
    <t>DJ8ZN</t>
  </si>
  <si>
    <t>WOS:000374503600025</t>
  </si>
  <si>
    <t>Butterworth, BJ; Miller, SD</t>
  </si>
  <si>
    <t>Butterworth, Brian J.; Miller, Scott D.</t>
  </si>
  <si>
    <t>Automated Underway Eddy Covariance System for Air-Sea Momentum, Heat, and CO2 Fluxes in the Southern Ocean</t>
  </si>
  <si>
    <t>JOURNAL OF ATMOSPHERIC AND OCEANIC TECHNOLOGY</t>
  </si>
  <si>
    <t>FLOW DISTORTION; GAS-EXCHANGE; TURBULENT EXCHANGE; SONIC ANEMOMETER; MOBILE PLATFORMS; ICE; MOTION; PARAMETERIZATION; MODEL</t>
  </si>
  <si>
    <t>A ruggedized closed-path eddy covariance (EC) system was designed for unattended direct measurements of air sea momentum, heat, and CO2 flux, and was deployed on the Research Vessel Icebreaker (RV/IB) Nathaniel B. Palmer (NBP), an Antarctic research and supply vessel. The system operated for nine cruises during 18 months from January 2013 to June 2014 in the Southern Ocean and coastal Antarctica, sampling a wide variety of wind, wave, biological productivity, and ice conditions. The methods are described and the results are shown for two cruises chosen for their latitudinal range, inclusion of both open water and sea ice cover, and relatively large air water CO2 concentration differences (Delta pCO(2)). Ship flow distortion was addressed by comparing mean winds, fluxes, and cospectra from an array of 3D anemometers at the NBP bow, comparing measured fluxes with bulk formulas, and implementing and evaluating several recently published data processing techniques. Quality-controlled momentum, heat, and CO2 flux data were obtained for 25% of the periods when NBP was at sea, with most (86%) of the rejected periods due to wind directions relative to the ship &gt;+/- 30 degrees from the bow. In contrast to previous studies, no bias was apparent in measured CO2 fluxes for low vertical bar Delta pCO(2)vertical bar. The relationship between momentum flux and wind speed showed a clear dependence on the degree of sea ice cover, a result facilitated by the geographical coverage possible with a ship-based approach. These results indicate that ship-based unattended EC in high latitudes is feasible, and recommendations for deployments of underway systems in such environments are provided.</t>
  </si>
  <si>
    <t>[Butterworth, Brian J.; Miller, Scott D.] SUNY Albany, Atmospher Sci Res Ctr, 251 Fuller Rd, Albany, NY 12203 USA</t>
  </si>
  <si>
    <t>State University of New York (SUNY) System; State University of New York (SUNY) Albany</t>
  </si>
  <si>
    <t>Miller, SD (corresponding author), SUNY Albany, Atmospher Sci Res Ctr, 251 Fuller Rd, Albany, NY 12203 USA.</t>
  </si>
  <si>
    <t>smiller@albany.edu</t>
  </si>
  <si>
    <t>Butterworth, Brian J./AAP-2514-2021</t>
  </si>
  <si>
    <t>Butterworth, Brian J./0000-0002-8457-5308</t>
  </si>
  <si>
    <t>NSF Office of Polar Programs [1043623]; Directorate For Geosciences; Office of Polar Programs (OPP) [1043623] Funding Source: National Science Foundation</t>
  </si>
  <si>
    <t>NSF Office of Polar Programs(National Science Foundation (NSF)); Directorate For Geosciences; Office of Polar Programs (OPP)(National Science Foundation (NSF)NSF - Directorate for Geosciences (GEO))</t>
  </si>
  <si>
    <t>Thanks to Taro Takahashi for the Delta pCO2 data; Barry Bjork, Andy Nunn, and Bob Kluckhohn for help with installation and logistics; NBP Captains John Souza and Sebastian Paoni; University at Albany staff Chris Sager, John Sicker, Jim Albrecht, and Brian Smith for system fabrication; and three anonymous reviewers. Scientific support aboard NBP was provided by Antarctic Support Contract (ASC). This work was supported by NSF Office of Polar Programs Award 1043623.</t>
  </si>
  <si>
    <t>0739-0572</t>
  </si>
  <si>
    <t>1520-0426</t>
  </si>
  <si>
    <t>J ATMOS OCEAN TECH</t>
  </si>
  <si>
    <t>J. Atmos. Ocean. Technol.</t>
  </si>
  <si>
    <t>10.1175/JTECH-D-15-0156.1</t>
  </si>
  <si>
    <t>Engineering, Ocean; Meteorology &amp; Atmospheric Sciences</t>
  </si>
  <si>
    <t>Engineering; Meteorology &amp; Atmospheric Sciences</t>
  </si>
  <si>
    <t>DL6FV</t>
  </si>
  <si>
    <t>WOS:000375736000002</t>
  </si>
  <si>
    <t>Donohue, KA; Kennelly, MA; Cutting, A</t>
  </si>
  <si>
    <t>Donohue, Kathleen A.; Kennelly, Maureen A.; Cutting, Amy</t>
  </si>
  <si>
    <t>Sea Surface Height Variability in Drake Passage</t>
  </si>
  <si>
    <t>INVERTED ECHO SOUNDERS; SATELLITE ALTIMETRY; TIME-SERIES; OCEAN; CIRCULATION; PERFORMANCE; TRANSPORT; ATLANTIC; ARRAY</t>
  </si>
  <si>
    <t>Intercomparisons between altimeter sea surface height (SSH) and open-ocean in situ observations have been limited owing to sparse available datasets. Here, SSH anomaly (SSHA) determined from current and pressure recording inverted echo sounders (CPIES) from the cDrake experiment were compared with an up-to-date AVISO-mapped product. Meandering Antarctic Circumpolar Current (ACC) fronts in the passage interior elevated SSHA variance; south of the Shackleton Fracture Zone and along the northern continental slope, the variance decreased by factors between 6 and 10. In situ analysis focused on the two constituents of SSHA, SSHA(ref) determined from bottom pressure and SSHA(bcb), calculated from geopotential height referenced to the bottom. The peak variance of both SSHA(bcb) and SSHA(ref) occurred in the energetic region between the Subantarctic Front and the Polar Front. The contribution of SSHA(bcb), to total SSHA variance was greater than 40% at all sites and averaged over all sites it was 73%. For most sites, high-frequency (&gt;1/20 cpd) SSHA(bcb) signals dominated total high-frequency variance. Aliasing of high-frequency signals resulting from 10-day altimeter sampling was assessed. The fraction of aliased energy at frequencies longer than 1/50 cpd for sites at and north of the Shackleton Fracture Zone approached 0.25 and approached 0.50 for southern sites. CPIES and mapped altimeter SSHA agreed well. The mean correlation coefficient was 0.82 and the mean RMS difference was 0.075 m. Correlations between CPIES and AVISO were notably poorer at the northern and southern boundaries. RMS differences increased as a function of CPIES high-frequency SSHA variance because the mapped altimetry product does not resolve these frequencies.</t>
  </si>
  <si>
    <t>[Donohue, Kathleen A.; Kennelly, Maureen A.] Univ Rhode Isl, Grad Sch Oceanog, 215 South Ferry Rd, Narragansett, RI 02882 USA; [Cutting, Amy] Naval Undersea Warfare Ctr, Newport, RI USA</t>
  </si>
  <si>
    <t>University of Rhode Island; United States Department of Defense; United States Navy; US Navy Naval Sea Systems Command</t>
  </si>
  <si>
    <t>Donohue, KA (corresponding author), Univ Rhode Isl, Grad Sch Oceanog, 215 South Ferry Rd, Narragansett, RI 02882 USA.</t>
  </si>
  <si>
    <t>kdonohue@uri.edu</t>
  </si>
  <si>
    <t>Donohue, Kathleen/0000-0001-7693-3868</t>
  </si>
  <si>
    <t>U.S. National Science Foundation [ANT-0635437, ANT-1141802]; Directorate For Geosciences; Office of Polar Programs (OPP) [1141802] Funding Source: National Science Foundation; Office of Polar Programs (OPP); Directorate For Geosciences [1141922] Funding Source: National Science Foundation</t>
  </si>
  <si>
    <t>U.S. National Science Foundation(National Science Foundation (NSF)); Directorate For Geosciences; Office of Polar Programs (OPP)(National Science Foundation (NSF)NSF - Directorate for Geosciences (GEO)); Office of Polar Programs (OPP); Directorate For Geosciences(National Science Foundation (NSF)NSF - Directorate for Geosciences (GEO))</t>
  </si>
  <si>
    <t>We gratefully acknowledge the captains and crew of the RV/IB Nathaniel B. Palmer and the staff of Raytheon Polar Services for their support during the seagoing operations. We thank Erran Sousa, Gerard Chaplin, and Dan Holloway for their valuable help with the CPIES instrumentation development and preparation. Comments and suggestions from Randy Watts and Karen Tracey greatly improved the manuscript. This work was supported by U.S. National Science Foundation Grants ANT-0635437 and ANT-1141802. ERA-Interim data used in this study have been obtained from the ECMWF data server.</t>
  </si>
  <si>
    <t>10.1175/JTECH-D-15-0249.1</t>
  </si>
  <si>
    <t>WOS:000375736000004</t>
  </si>
  <si>
    <t>Maslowsky, E</t>
  </si>
  <si>
    <t>Maslowsky, Edward, Jr.</t>
  </si>
  <si>
    <t>Updating a Student-Generated Ice-Core Data Plot Exercise for Courses Investigating Climate Change Topics</t>
  </si>
  <si>
    <t>JOURNAL OF CHEMICAL EDUCATION</t>
  </si>
  <si>
    <t>First-Year Undergraduate/General; Environmental Chemistry; Inquiry-Based/Discovery Learning; Atmospheric Chemistry; Laboratory Computing/Interfacing; Nonmajor Courses</t>
  </si>
  <si>
    <t>GREENHOUSE</t>
  </si>
  <si>
    <t>Students prepare Excel graphs using the most recent available ice-age data for estimated temperatures and atmospheric carbon dioxide, methane, and nitrous oxide concentrations from the Antarctic for the past 800 000 years. These graphs are used to discuss the meaning and relationships of past data trends and their relevance to the topic of climate change.</t>
  </si>
  <si>
    <t>[Maslowsky, Edward, Jr.] Loras Coll, Div Mol Hlth &amp; Life Sci, Dubuque, IA 52001 USA</t>
  </si>
  <si>
    <t>Maslowsky, E (corresponding author), Loras Coll, Div Mol Hlth &amp; Life Sci, Dubuque, IA 52001 USA.</t>
  </si>
  <si>
    <t>Edward.Maslowsky@loras.edu</t>
  </si>
  <si>
    <t>AMER CHEMICAL SOC</t>
  </si>
  <si>
    <t>1155 16TH ST, NW, WASHINGTON, DC 20036 USA</t>
  </si>
  <si>
    <t>0021-9584</t>
  </si>
  <si>
    <t>1938-1328</t>
  </si>
  <si>
    <t>J CHEM EDUC</t>
  </si>
  <si>
    <t>J. Chem. Educ.</t>
  </si>
  <si>
    <t>10.1021/acs.jchemed.5b00947</t>
  </si>
  <si>
    <t>Chemistry, Multidisciplinary; Education, Scientific Disciplines</t>
  </si>
  <si>
    <t>Chemistry; Education &amp; Educational Research</t>
  </si>
  <si>
    <t>DK2BX</t>
  </si>
  <si>
    <t>WOS:000374720700038</t>
  </si>
  <si>
    <t>Kitano, I; Osanai, Y; Nakano, N; Adachi, T</t>
  </si>
  <si>
    <t>Kitano, Ippei; Osanai, Yasuhito; Nakano, Nobuhiko; Adachi, Tatsuro</t>
  </si>
  <si>
    <t>Detrital zircon provenances for metamorphic rocks from southern Sor Rondane Mountains, East Antarctica: A new report of Archean to Mesoproterozoic zircons</t>
  </si>
  <si>
    <t>Detrital zircon ages; LA-ICP-MS zircon U-Pb dating; Sor Rondane Mountains; East Antarctica</t>
  </si>
  <si>
    <t>DRONNING MAUD LAND; EVOLUTION; HISTORY; CONSTRAINTS; INTRUSIONS; MODEL; AGES</t>
  </si>
  <si>
    <t>The Sor Rondane Mountains in East Antarctica consist of the various metamorphic rocks and several plutonic rocks, which are related to formation of Gondwana supercontinent. In order to understand the detrital provenances, LA-ICP-MS zircon U-Pb dating were conducted from metamorphosed sedimentary rocks in southern Sor Rondane Mountains. Detrital cores with similar to 990-730 Ma ages were recognized from zircons in the pelitic gneisses and calc-silicate rocks from Menipa, Imingfjella, Mefjell and Arden, while the pelitic gneiss from Tvihogda exhibited the Archean to Mesoproterozoic ages of similar to 2630-1060 Ma. The Neoproterozoic zircon ages are recognized not only from metamorphosed sedimentary rocks but also from metamorphosed igneous rocks distributed in the central and southern parts of the mountains. However, the Archean to Mesoproterozoic zircon ages are rare in these areas. The results imply the detrital zircons with the Neoproterozoic ages were probably derived from neighbouring igneous rocks (present metamorphosed igneous rocks), while those with Archean to Mesoproterozoic ages have clearly different provenances because of the lack in the Neoproterozoic components. This study suggests the possibility that southern Sor Rondane Mountains can be considered to be juvenile late Mesoproterozoic to Neoproterozoic terrane partly mixed with the Archean to Mesoproterozoic components.</t>
  </si>
  <si>
    <t>[Kitano, Ippei] Kyushu Univ, Grad Sch Integrated Sci Global Soc, Nishi Ku, 744 Motooka, Fukuoka 8190395, Japan; [Osanai, Yasuhito; Nakano, Nobuhiko; Adachi, Tatsuro] Kyushu Univ, Fac Social &amp; Cultural Studies, Div Earth Sci, Nishi Ku, 744 Motooka, Fukuoka 8190395, Japan</t>
  </si>
  <si>
    <t>Kyushu University; Kyushu University</t>
  </si>
  <si>
    <t>Kitano, I (corresponding author), Kyushu Univ, Grad Sch Integrated Sci Global Soc, Nishi Ku, 744 Motooka, Fukuoka 8190395, Japan.</t>
  </si>
  <si>
    <t>3GS14010G@s.kyushu-u.ac.jp</t>
  </si>
  <si>
    <t>Kitano, Ippei/0000-0001-8959-608X</t>
  </si>
  <si>
    <t>Kyushu University; Ministry of Education, Culture, Sports, Science and Technology, Japan [21253008, 22244063]; Grants-in-Aid for Scientific Research [16K12809, 21253008, 16H02743, 15K05312, 22244063, 15K05345, 26610164] Funding Source: KAKEN</t>
  </si>
  <si>
    <t>Kyushu University; Ministry of Education, Culture, Sports, Science and Technology, Japan(Ministry of Education, Culture, Sports, Science and Technology, Japan (MEXT)); Grants-in-Aid for Scientific Research(Ministry of Education, Culture, Sports, Science and Technology, Japan (MEXT)Japan Society for the Promotion of ScienceGrants-in-Aid for Scientific Research (KAKENHI))</t>
  </si>
  <si>
    <t>In this study, we used rock samples collected by the 31st Japanese Antarctic Research Expedition (JARE). We would like to sincerely thank all members of JARE-31 and the crew of the icebreaker Shirase. Valuable discussions by the members of the JARE geology group are acknowledged. We also greatly appreciate J. Jacobs and G.H. Grantham for the constructive reviews and T. Kawakami for the editorial supports. This work was partly supported by Kyushu University doctoral course scholarship and Grants-in-Aid for Scientific Research (Nos. 21253008 and 22244063 to Y. Osanai) from the Ministry of Education, Culture, Sports, Science and Technology, Japan.</t>
  </si>
  <si>
    <t>10.2465/jmps.151001</t>
  </si>
  <si>
    <t>DL7EK</t>
  </si>
  <si>
    <t>WOS:000375803000006</t>
  </si>
  <si>
    <t>Sanches, PF; Pellizzari, F; Horta, PA</t>
  </si>
  <si>
    <t>Sanches, Paola Franzan; Pellizzari, Franciane; Horta, Paulo Antunes</t>
  </si>
  <si>
    <t>Multivariate analyses of Antarctic and sub-Antarctic seaweed distribution patterns: An evaluation of the role of the Antarctic Circumpolar Current</t>
  </si>
  <si>
    <t>JOURNAL OF SEA RESEARCH</t>
  </si>
  <si>
    <t>Antarctica; Circulation patterns; Marine phytogeography; Macroalgae</t>
  </si>
  <si>
    <t>CHEMICAL DEFENSES; POLAR FRONT; EAST-COAST; BIOGEOGRAPHY; MACROALGAE; OCEAN; BIODIVERSITY; TEMPERATURE; PACIFIC; FLORA</t>
  </si>
  <si>
    <t>Biogeographic barriers and ecological corridors are fundamental in defining macroecological and evolutionary processes. Ocean circulation, considering present and past patterns of continental drift, can isolate or connect many groups of marine organisms, including seaweeds. These benthic organisms present spores and propagules as planktonic stages that drift with currents and or tides, and have been a sensible indicator of changes to biogeographical distribution patterns. Phycological studies have been exhaustive in the sub-Antarctic and Antarctic seaweed communities. However, the role of the Antarctic Circumpolar Current (ACC) in shaping marine phytogeographic diversity has been poorly investigated. The ACC connects the major world oceans and redistributes oceanic properties, such as heat, salt, and nutrients, consisting of three major circumpolar fronts (in order of north to southward): the Sub-Antarctic Front (SAF), the Antarctic Polar Front (PF), and the Southern Antarctic Circumpolar Front (SACF). This paper's aim is to understand the role of the ACC fronts as a constraint on seaweed distribution patterns in different taxonomic levels, in relation to the southern Sub-Tropical areas, as well as to compare sections connected with South America (1: north), influenced by the Ross Sea Gyre (2: Western Antarctica Peninsula) and by the Weddell Sea Gyre (3: Eastern Antarctica Peninsula). nMDS showed differences in the distributional patterns of species and genera in relation to the zones and sections. The predicted latitudinal gradient of species richness was observed, and by comparing biogeographic zones, two main clusters were observed: Sub-tropical and Sub-Antarctica; and Polar Front (Antarctic Peninsula) and SACF (areas surrounding continental Antarctica), suggesting, for this sort of macroscale analysis, that ACC still has a role of watershed barrier. However, a lower dissimilarity (higher similarity) was observed between the 2nd (Eastern Antarctica Peninsula EAP or under influence of the Weddell Sea Gyre, and some sub-Antarctic islands as South Orcadas, South Georgia and Crozet Archipelago) and the 1st sectors (Chilean and Argentinean Patagonia and surrounding islands, Falklands, South Shetlands and including Antarctic Peninsula). When considering recently reported changes in diversity patterns of these locations, this result could demonstrate the existence of a clear species distributional flux, despite evidence of the ACC being a limit to dispersal. Therefore, this contribution has used previously published data to provide a tool for monitoring future biogeographical changes to the flora and fauna of this region of the Antarctic and sub-Antarctic areas due to changes in biogeographical distribution, resulting either from natural dispersion due to global meteoceanographic changes, and or biological invasions related to anthropogenic activities. We could be witness to a period of changes in Antarctic diversity, suggesting that Antarctica may not be as isolated as was once thought. (C) 2016 Elsevier B.V. All rights reserved.</t>
  </si>
  <si>
    <t>[Sanches, Paola Franzan] Univ Sao Paulo, Inst Oceanog, Lab Manejo Ecol &amp; Conservacao Marinha, Praca Oceanog 191, BR-05508120 Sao Paulo, SP, Brazil; [Pellizzari, Franciane] Univ Estadual Parana, Lab Ficol &amp; Qualidade Agua Mar, Campus Paranagua,Rua Comendador Correia Jr 117, BR-83203280 Paranagua, PR, Brazil; [Horta, Paulo Antunes] Univ Fed Santa Catarina, Ctr Ciencias Biol, Programa Pos Grad Ecol, BR-88040970 Florianopolis, SC, Brazil</t>
  </si>
  <si>
    <t>Universidade de Sao Paulo; Universidade Federal de Santa Catarina (UFSC)</t>
  </si>
  <si>
    <t>Sanches, PF (corresponding author), Univ Sao Paulo, Inst Oceanog, Lab Manejo Ecol &amp; Conservacao Marinha, Praca Oceanog 191, BR-05508120 Sao Paulo, SP, Brazil.</t>
  </si>
  <si>
    <t>paolafsanches@gmail.com; francianep@yahoo.com; pahorta@ccb.ufsc.br</t>
  </si>
  <si>
    <t>Pellizzari, Franciane M./JLL-6907-2023; Fapesp, Biota/F-8655-2017; Horta, Paulo/L-3092-2015</t>
  </si>
  <si>
    <t>Fapesp, Biota/0000-0002-9887-8449; Pellizzari, Franciane/0000-0003-1877-2570; Horta, Paulo/0000-0001-7699-7589</t>
  </si>
  <si>
    <t>CAPES</t>
  </si>
  <si>
    <t>CAPES(Coordenacao de Aperfeicoamento de Pessoal de Nivel Superior (CAPES))</t>
  </si>
  <si>
    <t>Many thanks to Dr. Sergio Floeter and Dr. Paulo Pagliosa for the help and comments, Dr. Colepicolo for the invitation to enjoy the research cruise to Antarctica, to Walter A. Rich IV for the English review and to the anonymous reviewers for their comments. We also thank CAPES for the scholarship.</t>
  </si>
  <si>
    <t>1385-1101</t>
  </si>
  <si>
    <t>1873-1414</t>
  </si>
  <si>
    <t>J SEA RES</t>
  </si>
  <si>
    <t>J. Sea Res.</t>
  </si>
  <si>
    <t>10.1016/j.seares.2016.02.002</t>
  </si>
  <si>
    <t>DK0TK</t>
  </si>
  <si>
    <t>WOS:000374624900005</t>
  </si>
  <si>
    <t>Majewski, W; Wellner, JS; Anderson, JB</t>
  </si>
  <si>
    <t>Majewski, Wojciech; Wellner, Julia S.; Anderson, John B.</t>
  </si>
  <si>
    <t>Environmental connotations of benthic foraminiferal assemblages from coastal West Antarctica</t>
  </si>
  <si>
    <t>Antarctica; Foraminifera; Environmental indicators; Fjords; CM</t>
  </si>
  <si>
    <t>KING GEORGE ISLAND; WEDDELL SEA; CLIMATE-CHANGE; ICE SHELF; CACO3 DISSOLUTION; ADMIRALTY BAY; AMUNDSEN SEA; MAXWELL BAY; VARIABILITY; PENINSULA</t>
  </si>
  <si>
    <t>This paper examines the variability in foraminiferal assemblages in surface samples from coastal settings along the northwestern Antarctic Peninsula, as well as in the Pine Island Bay area. Material comes from water depths ranging between 20 and 1257 m, latitudes between 62 degrees and 73 degrees S, and bottom water temperatures from - 1.5 to 1.2 degrees C. The microfossil analysis within this broad geographical and environmental context provides a basis for paleo-environmental studies. Environmental affinities of the assemblages were interpreted based on a wide array of ecological conditions, including CTD data, as well as on faunal indices and ecological affinities of the key taxa. Six foraminiferal assemblages are dominated by calcareous taxa. Among other factors, they correspond to variable food supply, terrigenous sedimentation, and water mass properties. Another two assemblages are dominated by arenaceous foraminifera and reflect conditions corrosive to carbonate. Our findings indicate that preserved fossil assemblages in cores from these locations may not be accurate representations of living assemblages. (C) 2016 Elsevier B.V. All rights reserved.</t>
  </si>
  <si>
    <t>[Majewski, Wojciech] Polish Acad Sci, Inst Paleobiol, Twarda 51-55, PL-00818 Warsaw, Poland; [Wellner, Julia S.] Univ Houston, Earth &amp; Atmospher Sci, 312 Sci &amp; Res Bldg 1, Houston, TX 77204 USA; [Anderson, John B.] Rice Univ, Dept Earth Sci, MS 126,POB 1892, Houston, TX 77251 USA</t>
  </si>
  <si>
    <t>Polish Academy of Sciences; Institute of Paleobiology of the Polish Academy of Sciences; University of Houston System; University of Houston; Rice University</t>
  </si>
  <si>
    <t>Majewski, W (corresponding author), Polish Acad Sci, Inst Paleobiol, Twarda 51-55, PL-00818 Warsaw, Poland.</t>
  </si>
  <si>
    <t>wmaj@twarda.pan.pl</t>
  </si>
  <si>
    <t>Majewski, Wojciech/D-9255-2017</t>
  </si>
  <si>
    <t>Majewski, Wojciech/0000-0002-5407-1782</t>
  </si>
  <si>
    <t>National Science Foundation Office of Polar Programs grant [0837925]; Directorate For Geosciences; Office of Polar Programs (OPP) [0837925] Funding Source: National Science Foundation; Office of Polar Programs (OPP); Directorate For Geosciences [1246353] Funding Source: National Science Foundation</t>
  </si>
  <si>
    <t>National Science Foundation Office of Polar Programs grant; Directorate For Geosciences; Office of Polar Programs (OPP)(National Science Foundation (NSF)NSF - Directorate for Geosciences (GEO)); Office of Polar Programs (OPP); Directorate For Geosciences(National Science Foundation (NSF)NSF - Directorate for Geosciences (GEO))</t>
  </si>
  <si>
    <t>JSW and JBA were funded by the National Science Foundation Office of Polar Programs grant 0837925. We thank the captains, crews, and scientific parties of R/V Nathaniel B. Palmer (cruises NBP0502, NBP0602A, and NBP0703) and R/V Oden (OSO 0910) and the Antarctic Marine Research Facility at Florida State University for their assistance. We thank Alex Orsi for providing CTD data from Ferrero Bay. We would like to thank two anonymous reviewers for their comments.</t>
  </si>
  <si>
    <t>10.1016/j.marmicro.2016.01.002</t>
  </si>
  <si>
    <t>DL6GK</t>
  </si>
  <si>
    <t>WOS:000375737500001</t>
  </si>
  <si>
    <t>Meilland, J; Howa, H; Lo Monaco, C; Schiebel, R</t>
  </si>
  <si>
    <t>Meilland, J.; Howa, H.; Lo Monaco, C.; Schiebel, R.</t>
  </si>
  <si>
    <t>Individual planktic foraminifer protein-biomass affected by trophic conditions in the Southwest Indian Ocean, 30°S-60°S</t>
  </si>
  <si>
    <t>Modern planktic foraminifera; Carbon turnover; Southern Ocean; Primary productivity</t>
  </si>
  <si>
    <t>SOUTHERN-OCEAN; KERGUELEN PLATEAU; DISSOLVED IRON; SEDIMENT TRAPS; POLAR FRONT; CARBON; PHYTOPLANKTON; WATERS; BLOOM; FLUX</t>
  </si>
  <si>
    <t>Planktic foraminifers are ubiquitous marine mesozooplankton, and contribute to the biological carbon pump by generating organic and inorganic carbon flux. We have analyzed the morphometry and quantified the protein-biomass of the test (i.e. shell) of 1441 living planktic foraminifers from 19 stations sampled during three consecutive years (2012-2014) in the Southwest Indian Ocean (30 degrees S-60 degrees S, 50 degrees E-80 degrees E). Transects were sampled across three main hydrographic fronts, the Subtropical Front (STF), Sub-Antarctic Front (SAF), and Polar Front (PF), including water bodies of different primary productivity and interannual variability. Differences in size-normalized planktic foraminifer protein-biomass between the years, species, and water bodies indicate that environmental parameters affect the production of planktic foraminifer organic (cytoplasm) carbon to varying degrees. Among the environmental parameters, trophic conditions (i.e., chlorophyll concentration) are best related to, and assumed most important for, the ontogenetic development of species and their individual biomass. We conclude that the contribution of planktic foraminifers to the biological carbon pump depends on ecological conditions and biological prerequisites at the species level, whereas the qualitative effect of prey (i.e., diatom species) remains to be determined. The applicability of planktic foraminifers as a proxy of the past biological carbon pump in mid to high latitudes would hence critically depend on the effect exerted by changing ecological conditions, and the presence of different species of both prey and planktic foraminifers on the regional scale. (C) 2016 Elsevier B.V. All rights reserved.</t>
  </si>
  <si>
    <t>[Meilland, J.; Howa, H.; Schiebel, R.] Univ Angers, UMR 6112, LPG BIAF, Recent &amp; Fossil Bioindicators, 2 Blvd Lavoisier, F-49045 Angers, France; [Lo Monaco, C.] Univ Paris 06, Sorbonne Univ, CNRS, IRD,MNHN,LOCEAN Lab, 4 Pl Jussieu, F-75005 Paris, France; [Schiebel, R.] Max Planck Inst Chem, Hahn Meitner Weg 1, D-55128 Mainz, Germany</t>
  </si>
  <si>
    <t>Centre National de la Recherche Scientifique (CNRS); CNRS - National Institute for Earth Sciences &amp; Astronomy (INSU); Universite d'Angers; Sorbonne Universite; Institut de Recherche pour le Developpement (IRD); Centre National de la Recherche Scientifique (CNRS); Museum National d'Histoire Naturelle (MNHN); Max Planck Society</t>
  </si>
  <si>
    <t>Meilland, J (corresponding author), Univ Angers, UMR 6112, LPG BIAF, Recent &amp; Fossil Bioindicators, 2 Blvd Lavoisier, F-49045 Angers, France.</t>
  </si>
  <si>
    <t>meilland.julie@wanadoo.fr</t>
  </si>
  <si>
    <t>Meilland, Julie/AAE-9031-2021; Monaco, Claire Lo/E-1696-2012</t>
  </si>
  <si>
    <t>Meilland, Julie/0000-0001-8966-3115; Lo Monaco, Claire/0000-0002-5653-5018; Schiebel, Ralf/0000-0002-6252-7647</t>
  </si>
  <si>
    <t>French agency INSU (Institut National des Sciences de l'Univers); French agency IPEV (Institut Polaire Francais Paul-Emile Victor); University Paris 6; French program SOERE/Great-Gases; European program FP7/Carbochange; Ministry of Higher Education and Scientific Research, France; INSU</t>
  </si>
  <si>
    <t>French agency INSU (Institut National des Sciences de l'Univers); French agency IPEV (Institut Polaire Francais Paul-Emile Victor); University Paris 6; French program SOERE/Great-Gases; European program FP7/Carbochange; Ministry of Higher Education and Scientific Research, France; INSU(Centre National de la Recherche Scientifique (CNRS))</t>
  </si>
  <si>
    <t>The authors are grateful to the captain and crew of R.V. Marion-Dufresne, as well as all scientific participants for their help with sampling during the cruises Indien-Sud (MD189/OISO21), MD193/OISO22, and MD197/OISO23. We are indebted to the OISO team for unreservedly providing technical support and data. The OISO program is supported by the French agencies INSU (Institut National des Sciences de l'Univers) and IPEV (Institut Polaire Francais Paul-Emile Victor), with additional support from University Paris 6, the French program SOERE/Great-Gases, and the European program FP7/Carbochange. A. Movellan is gratefully acknowledged for indispensable advice on biomass analyses. This manuscript was improved by the editorial support of Richard Jordan, and the reviews of Graham Mortyn, and William R. Howard. The PhD project of JM is funded by the Ministry of Higher Education and Scientific Research, France, and contributes to the SOforCO2 project funded by INSU.</t>
  </si>
  <si>
    <t>10.1016/j.marmicro.2016.02.004</t>
  </si>
  <si>
    <t>WOS:000375737500006</t>
  </si>
  <si>
    <t>Cooper, MR</t>
  </si>
  <si>
    <t>Cooper, Michael R.</t>
  </si>
  <si>
    <t>On the Austrotrigoniinae (Bivalvia: Trigonioidea); their evolution and classification</t>
  </si>
  <si>
    <t>NEUES JAHRBUCH FUR GEOLOGIE UND PALAONTOLOGIE-ABHANDLUNGEN</t>
  </si>
  <si>
    <t>Bivalvia; Trigonioidea; Pleurotrigoniidae; Austrotrigoniinae; phylogeny; classification; new taxa</t>
  </si>
  <si>
    <t>ANTARCTIC PENINSULA; ALEXANDER-ISLAND; PALEOBIOGEOGRAPHY; TRIGONIIDA; CONSTRAINTS; SYSTEMATICS</t>
  </si>
  <si>
    <t>The subfamily Austotrigoniinae is a Gondwanic endemic of controversial standing. It was introduced (SKWARKO 1968) to comprise only Early Cretaceous Austrotrigonia and Late Triassic Prorotrigonia, but its status and position has been discussed and disputed by many subsequent workers. In order to establish the systematic position and content of Austrotrigoniinae, the evolutionary history of the lineage is tracked. This demonstrates that Austrotrigonia is part of an important phyletic line (NAKANO 1970a, b) dating back to the Bajocian. Together Austrotrigoniinae, Pleurotrigoniinae and Neotrigoniinae define a significant branch of the evolutionary tree and here are united as the family Pleurotrigoniidae. One new tribe (Papuagoniini) and eight new genera (Coxitrigonia, Kitchingonia, Nambangonia, Neopisthotrigonia, Ghuneriella, Kellygonia, Querandigonia, Papuagonia) are introduced.</t>
  </si>
  <si>
    <t>[Cooper, Michael R.] Univ KwaZulu Natal, Fac Earth Sci, P Bag 54001, ZA-4000 Durban, South Africa</t>
  </si>
  <si>
    <t>University of Kwazulu Natal</t>
  </si>
  <si>
    <t>Cooper, MR (corresponding author), Univ KwaZulu Natal, Fac Earth Sci, P Bag 54001, ZA-4000 Durban, South Africa.</t>
  </si>
  <si>
    <t>mikecooper1946@gmail.com</t>
  </si>
  <si>
    <t>E SCHWEIZERBARTSCHE VERLAGSBUCHHANDLUNG</t>
  </si>
  <si>
    <t>NAEGELE U OBERMILLER, SCIENCE PUBLISHERS, JOHANNESSTRASSE 3A, D 70176 STUTTGART, GERMANY</t>
  </si>
  <si>
    <t>0077-7749</t>
  </si>
  <si>
    <t>NEUES JAHRB GEOL P-A</t>
  </si>
  <si>
    <t>Neues. Jahrb. Geol. Palaontol.-Abh.</t>
  </si>
  <si>
    <t>10.1127/njgpa/2016/0561</t>
  </si>
  <si>
    <t>DJ9YP</t>
  </si>
  <si>
    <t>WOS:000374569700002</t>
  </si>
  <si>
    <t>O'Reilly, J</t>
  </si>
  <si>
    <t>O'Reilly, Jessica</t>
  </si>
  <si>
    <t>Sensing the ice: field science, models, and expert intimacy with knowledge</t>
  </si>
  <si>
    <t>JOURNAL OF THE ROYAL ANTHROPOLOGICAL INSTITUTE</t>
  </si>
  <si>
    <t>CLIMATE-CHANGE; WEST; THWAITES; COLLAPSE; SHEET</t>
  </si>
  <si>
    <t>This paper analyses relationships that Antarctic glaciologists (including field scientists, modellers, and those working with remote satellite data) have formed with the Antarctic glacial environment. These relationships contribute to understandings about the tactile and experiential nature of scientific expertise, even when the experts claim to know little scientifically. Expert extrapolations about nature in the absence of data hint at the intimacy of field scientists with the environment with which they work, and of modellers with the virtual worlds with which they interact. However, my research on sensory engagement among scientists also makes apparent the ways in which the embodied and sensorial are not primitive, elemental, basic, or instinctual, but bound up in the complexities of nationalism, scientific translations of scale, and boundary skirmishes over what counts as expertise from within scientific disciplines. Expertise is formed in the spaces between intimate encounters in relationship with the weight of cultural learning that teaches experts-in-the-making how to encounter, analyse, compare, and interpret.</t>
  </si>
  <si>
    <t>[O'Reilly, Jessica] Coll St Benedict, Anthropol, St Joseph, MO USA; [O'Reilly, Jessica] St Johns Univ, 2850 Abbey Plaza, Collegeville, MN 56321 USA; [O'Reilly, Jessica] Coll St Benedict, Dept Sociol, 2850 Abbey Plaza, Collegeville, MN 56321 USA</t>
  </si>
  <si>
    <t>College of Saint Benedict &amp; Saint Johns University; Saint Johns University Collegeville; College of Saint Benedict &amp; Saint Johns University</t>
  </si>
  <si>
    <t>O'Reilly, J (corresponding author), Coll St Benedict, Anthropol, St Joseph, MO USA.;O'Reilly, J (corresponding author), St Johns Univ, 2850 Abbey Plaza, Collegeville, MN 56321 USA.;O'Reilly, J (corresponding author), Coll St Benedict, Dept Sociol, 2850 Abbey Plaza, Collegeville, MN 56321 USA.</t>
  </si>
  <si>
    <t>jloreilly@csbsju.edu</t>
  </si>
  <si>
    <t>1359-0987</t>
  </si>
  <si>
    <t>1467-9655</t>
  </si>
  <si>
    <t>J ROY ANTHROPOL INST</t>
  </si>
  <si>
    <t>J. R. Anthropol. Inst.</t>
  </si>
  <si>
    <t>10.1111/1467-9655.12392</t>
  </si>
  <si>
    <t>Anthropology</t>
  </si>
  <si>
    <t>DJ6KL</t>
  </si>
  <si>
    <t>WOS:000374320900002</t>
  </si>
  <si>
    <t>Warren, JD; Leach, TH; Williamson, CE</t>
  </si>
  <si>
    <t>Warren, Joseph D.; Leach, Taylor H.; Williamson, Craig E.</t>
  </si>
  <si>
    <t>Measuring the distribution, abundance, and biovolume of zooplankton in an oligotrophic freshwater lake with a 710 kHz scientific echosounder</t>
  </si>
  <si>
    <t>DIEL VERTICAL MIGRATION; CRUSTACEAN ZOOPLANKTON; ACOUSTIC-SCATTERING; ULTRAVIOLET-RADIATION; ANTARCTIC KRILL; TROPHIC INTERACTIONS; CHAOBORUS-FLAVICANS; HABITAT SELECTION; CLIMATE-CHANGE; DAPHNIA-MAGNA</t>
  </si>
  <si>
    <t>Acoustic surveys of the distribution and abundance of freshwater zooplankton were conducted in Lake Giles, an oligotrophic freshwater lake. Volume backscatter data from a 710 kHz scientific echosounder were converted to high-resolution spatial and temporal numerical density estimates of small zooplankton. Vertical net tows of a 153 m mesh closing bongo net at multiple depth intervals provided both identification of the types and sizes (0.5-1.5 mm length) of crustacean zooplankton present in the lake as well as an independent measurement of zooplankton numerical density. Net and acoustic estimates of zooplankton abundance, biovolume, and distribution were very similar. The improved resolution of the high-frequency acoustic sampling provides insight into several aspects of freshwater zooplankton ecology including: separation of migrating and non-migrating zooplankton, high resolution measurements of in situ zooplankton biovolume, calculation of in situ vertical velocities of migrating zooplankton, and fine-scale (sub-meter) horizontal and vertical zooplankton distribution during daytime, nighttime, and vertical migration events. These methods allow for more detailed and accurate estimates of zooplankton distribution than traditional net sampling methods can provide, including determining the total abundance of organisms within a specific habitat. They also provide higher resolution data in both space and time of smaller zooplankton taxa than have been measured previously in freshwater ecosystems.</t>
  </si>
  <si>
    <t>[Warren, Joseph D.] SUNY Stony Brook, Sch Marine &amp; Atmospher Sci, Southampton, NY USA; [Leach, Taylor H.; Williamson, Craig E.] Miami Univ, Dept Biol, Oxford, OH 45056 USA</t>
  </si>
  <si>
    <t>State University of New York (SUNY) System; State University of New York (SUNY) Stony Brook; University System of Ohio; Miami University</t>
  </si>
  <si>
    <t>Warren, JD (corresponding author), SUNY Stony Brook, Sch Marine &amp; Atmospher Sci, Southampton, NY USA.</t>
  </si>
  <si>
    <t>joe.warren@stonybrook.edu</t>
  </si>
  <si>
    <t>Warren, Joseph/Y-4078-2019</t>
  </si>
  <si>
    <t>NSF DEB IGERT [0903560]; Direct For Biological Sciences; Division Of Environmental Biology [1360066] Funding Source: National Science Foundation</t>
  </si>
  <si>
    <t>NSF DEB IGERT; Direct For Biological Sciences; Division Of Environmental Biology(National Science Foundation (NSF)NSF - Directorate for Biological Sciences (BIO))</t>
  </si>
  <si>
    <t>Funding for this project was provided by NSF DEB IGERT Grant #0903560. Matthew Meeks, Robert Rossi, and Janet Fischer assisted with the fieldwork.</t>
  </si>
  <si>
    <t>10.1002/lom3.10084</t>
  </si>
  <si>
    <t>DK2WE</t>
  </si>
  <si>
    <t>WOS:000374774300001</t>
  </si>
  <si>
    <t>Fenice, M</t>
  </si>
  <si>
    <t>Fenice, Massimiliano</t>
  </si>
  <si>
    <t>The Psychrotolerant Antarctic Fungus Lecanicillium muscarium CCFEE 5003: A Powerful Producer of Cold-Tolerant Chitinolytic Enzymes</t>
  </si>
  <si>
    <t>MOLECULES</t>
  </si>
  <si>
    <t>Continental Antarctica; chitinolytic enzymes; Lecanicillium muscarium; cold-tolerant enzymes</t>
  </si>
  <si>
    <t>VERTICILLIUM-LECANII; TRICHODERMA-HARZIANUM; EXTRACELLULAR ENZYMES; SOLID-STATE; IN-VITRO; TEMPERATURE; CHITINASES; GROWTH; FERMENTATION; ANTAGONISM</t>
  </si>
  <si>
    <t>Lecanicillium muscarium CCFEE 5003, isolated in Continental Antarctica, is a powerful producer of extracellular cold-tolerant enzymes. Chitin-hydrolyzing enzymes seems to be the principal extracellular catalytic activities of this psychrotolerant fungus. The production of chitinolytic activities is induced by chitin and other polysaccharides and is submitted to catabolite repression. The chitinolytic system of L. muscarium consists of a number of different proteins having various molecular weights and diverse biochemical characteristics, but their most significant trait is the marked cold-tolerance. L. muscarium and selected strains of the biocontrol agent of pathogenic fungi Trichoderma harzianum, have been compared for their ability to produce chitinolytic enzymes at different temperatures. At low temperatures the Antarctic strain was definitely much more efficient. Moreover, the fungus was able to exert a strong mycoparasitic action against various other fungi and oomycetes at low temperatures. The parasitic role of this organism appeared related to the production of cell wall degrading enzymes being the release of extracellular chitinolytic enzymes a key event in the mycoparasitic process. Due to the mentioned characteristics, L. muscarium could have an important role for potential applications such as the degradation of chitin-rich materials at low temperature and the biocontrol of pathogenic organisms in cold environments. For these reasons and in view of future industrial application, the production of chitinolytic enzymes by the Antarctic fungus has been up-scaled and optimised in bench-top bioreactor.</t>
  </si>
  <si>
    <t>[Fenice, Massimiliano] Univ Tuscia, Dipartimento Sci Ecol &amp; Biol, I-01100 Viterbo, Italy</t>
  </si>
  <si>
    <t>Tuscia University</t>
  </si>
  <si>
    <t>Fenice, M (corresponding author), Univ Tuscia, Dipartimento Sci Ecol &amp; Biol, I-01100 Viterbo, Italy.</t>
  </si>
  <si>
    <t>fenice@unitus.it</t>
  </si>
  <si>
    <t>Fenice, Massimiliano/L-9195-2014</t>
  </si>
  <si>
    <t>Fenice, Massimiliano/0000-0001-8504-0885</t>
  </si>
  <si>
    <t>Italian PNRA (Programma Nazionale Ricerche Antartiche)</t>
  </si>
  <si>
    <t>The studies on Lecanicillium muscarium CCFEE 5003 mentioned in this short review were partially supported by the Italian PNRA (Programma Nazionale Ricerche Antartiche).</t>
  </si>
  <si>
    <t>1420-3049</t>
  </si>
  <si>
    <t>Molecules</t>
  </si>
  <si>
    <t>10.3390/molecules21040447</t>
  </si>
  <si>
    <t>Biochemistry &amp; Molecular Biology; Chemistry, Multidisciplinary</t>
  </si>
  <si>
    <t>Biochemistry &amp; Molecular Biology; Chemistry</t>
  </si>
  <si>
    <t>DK8CO</t>
  </si>
  <si>
    <t>WOS:000375155000060</t>
  </si>
  <si>
    <t>Sekimoto, S; Kobayashi, T; Takamiya, K; Ebihara, M; Shibata, S</t>
  </si>
  <si>
    <t>Sekimoto, Shun; Kobayashi, Takayuki; Takamiya, Koichi; Ebihara, Mitsuru; Shibata, Seiichi</t>
  </si>
  <si>
    <t>Origin of Spherule Samples Recovered from Antarctic Ice Sheet-Terrestrial or Extraterrestrial?</t>
  </si>
  <si>
    <t>NUCLEAR ENGINEERING AND TECHNOLOGY</t>
  </si>
  <si>
    <t>Antarctic; Extraterrestrial; Iridium; Neutron Activation Analysis; Spherule</t>
  </si>
  <si>
    <t>NEUTRON-ACTIVATION ANALYSIS; DEEP-SEA SEDIMENTS; MAGNETIC SPHERULES</t>
  </si>
  <si>
    <t>Thirty-eight spherules from the Antarctic ice sheet were analyzed using neutron activation analysis under two different conditions to investigate their origin. In almost all of these spherules, the contents of iron, cobalt, and manganese were determined to be 31% to 88%, 17 mg/kg to 810 mg/kg, and 0.017% to 7%, respectively. A detectable iridium content of 0.84 mg/kg was found in only one spherule, which was judged to be extraterrestrial in origin. A comparison of elemental compositions of the Antarctic spherules analyzed in this study with those of deep-sea sediment spherules and those of terrestrial materials revealed that most of the Antarctic spherules except for the sample in which iridium was detected could not be identified as extraterrestrial in origin. Copyright (C) 2016, Published by Elsevier Korea LLC on behalf of Korean Nuclear Society.</t>
  </si>
  <si>
    <t>[Sekimoto, Shun; Takamiya, Koichi; Shibata, Seiichi] Kyoto Univ, Inst Res Reactor, Osaka 59004, Japan; [Kobayashi, Takayuki] Nihon Univ, Coll Humanities &amp; Sci, Tokyo, Japan; [Ebihara, Mitsuru] Tokyo Metropolitan Univ, Dept Chem, Tokyo 158, Japan; [Shibata, Seiichi] RIKEN Nishina Ctr Accelerator Based Sci, Wako, Saitama, Japan</t>
  </si>
  <si>
    <t>Kyoto University; Nihon University; Tokyo Metropolitan University; RIKEN</t>
  </si>
  <si>
    <t>Sekimoto, S (corresponding author), Kyoto Univ, Inst Res Reactor, Osaka 59004, Japan.</t>
  </si>
  <si>
    <t>sekimoto@rri.kyoto-u.ac.jp</t>
  </si>
  <si>
    <t>TAKAMIYA, Koichi/IAQ-2880-2023</t>
  </si>
  <si>
    <t>Ministry of Education, Science and Culture in Japan [KAKENHI 25790081]; Grants-in-Aid for Scientific Research [25790081] Funding Source: KAKEN</t>
  </si>
  <si>
    <t>Ministry of Education, Science and Culture in Japan(Ministry of Education, Culture, Sports, Science and Technology, Japan (MEXT)); Grants-in-Aid for Scientific Research(Ministry of Education, Culture, Sports, Science and Technology, Japan (MEXT)Japan Society for the Promotion of ScienceGrants-in-Aid for Scientific Research (KAKENHI))</t>
  </si>
  <si>
    <t>The authors express their gratitude to the members of the research reactor group in KURRI for the preparation and operation of the neutron irradiation. The authors also thank M. Kusaka for performing INAA for a part of the samples. This study was supported by a grant-in-aid from the Ministry of Education, Science and Culture (KAKENHI 25790081) in Japan awarded to SS.</t>
  </si>
  <si>
    <t>KOREAN NUCLEAR SOC</t>
  </si>
  <si>
    <t>DAEJEON</t>
  </si>
  <si>
    <t>NUTOPIA BLDG, 342-1 JANGDAE-DONG, DAEJEON, 305-308, SOUTH KOREA</t>
  </si>
  <si>
    <t>1738-5733</t>
  </si>
  <si>
    <t>NUCL ENG TECHNOL</t>
  </si>
  <si>
    <t>Nucl. Eng. Technol.</t>
  </si>
  <si>
    <t>10.1016/j.net.2016.02.004</t>
  </si>
  <si>
    <t>Nuclear Science &amp; Technology</t>
  </si>
  <si>
    <t>DK7XU</t>
  </si>
  <si>
    <t>WOS:000375141000002</t>
  </si>
  <si>
    <t>McCreary, JP; Furue, R; Schloesser, F; Burkhardt, TW; Nonaka, M</t>
  </si>
  <si>
    <t>McCreary, Julian P., Jr.; Furue, Ryo; Schloesser, Fabian; Burkhardt, Theodore W.; Nonaka, Masami</t>
  </si>
  <si>
    <t>Dynamics of the Atlantic meridional overturning circulation and Southern Ocean in an ocean model of intermediate complexity</t>
  </si>
  <si>
    <t>GEOSTROPHIC BAROCLINIC STABILITY; ANTARCTIC CIRCUMPOLAR CURRENT; THERMOHALINE CIRCULATION; DEEP STRATIFICATION; ABYSSAL CIRCULATION; MARGINAL SEAS; EDDY TRANSFER; WORLD OCEAN; TRANSPORT; WIND</t>
  </si>
  <si>
    <t>A steady-state, variable-density, 2-layer, ocean model (VLOM) is used to investigate basic dynamics of the Atlantic meridional overturning circulation and Southern Ocean. The domain consists of idealized (rectangular) representations of the Atlantic, Southern, and Pacific Oceans. The model equations represent the depth-averaged, layer-1 response (except for one solution in which they represent the depth-integrated flow over both layers). To allow for overturning, water can cross the bottom of layer 1 at the velocity w(e) = w(d) + w(m) + w(n), the three parts representing: interior diffusion w(d) that increases the layer-1 thickness h throughout the basin, mixed-layer entrainment w(m) that ensures h is never less than a minimum value h(m), and diapycnal (cooling) processes external to the basin w(n) that adjust h to h(n). For most solutions, horizontal mixing has the form of Rayleigh damping with coefficient v, which we interpret to result from baroclinic instability through the closure, V* = -(v/f(2))del P, where del P = V (1/2g'h(2)) is the depth-integrated pressure gradient, g' is the reduced-gravity coefficient, and v is a mixing coefficient; with this interpretation, the layer-1 flow corresponds to the sum of the Eulerian-mean and eddy-mean (V*) transport/widths, that is, the residual circulation. Finally, layer-1 temperature cools polewards in response to a surface heat flux Q, and the cooling can be strong enough in the Southern Ocean for g' = 0 south of a latitude y(0), in which case layer 1 vanishes and the model reduces to a single layer 2. Solutions are obtained both numerically and analytically. The analytic approach splits fields into interior and boundary-layer parts, from which a coupled set of integral constraints can be derived. The set allows properties of the circulation (upwelling-driven transport out of the Southern Ocean M, down welling transport in the North Atlantic, transport of the Antarctic Circumpolar Current) and stratification (Atlantic thermocline depth, and the latitudes, y' and y(0), where h thins to h(m) or layer 1 vanishes in the Southern Ocean) to be evaluated in terms of model forcings (Southern-Ocean wind strength tau(a), Q, entrainment due to w(d)), processes (v, V* in the Southern Ocean, northern sinking, upwelling within the Atlantic Subpolar Gyre), and to the presence of the Pacific Ocean. A hierarchy of solutions is reported in which forcings and processes are individually introduced. The complete solution set includes a wide variety of solution types: with M &gt; 0 and M &lt;= 0; with and without wind forcing; with, without, and for two parameterizations of northern-boundary sinking that represent cooling external to and within the North Atlantic; for a wide range of v and tau(a); and for different closures. Novel aspects of the model and solutions include the following: use of VLOM, which allows Q. forcing to be introduced realistically; the aforementioned closure, which allows V* to be determined when layer 1 represents both the surface mixed layer (h = h(m)) and the depth of subsurface isopycnals (h &gt; h(m)); latitude y', where layer 1 outcrops in the Southern Ocean, being internally determined rather than externally specified; and a boundary layer, based on Gill's (1968) solution, that smoothly connects the Southern- and Atlantic-Ocean responses across the latitude of the southern tip of South America. Finally, some solutions in the set are comparable to solutions to idealized, ocean general circulation models (OGCMs); in these cases, our solutions provide insight into the underlying dynamics of the OGCM solutions, for example, pointing toward processes that may be involved in eddy saturation and compensation. (C) 2016 The Authors. Published by Elsevier Ltd.</t>
  </si>
  <si>
    <t>[McCreary, Julian P., Jr.; Furue, Ryo; Schloesser, Fabian] Univ Hawaii, Int Pacific Res Ctr, Honolulu, HI 96822 USA; [Furue, Ryo; Nonaka, Masami] Japan Agcy Marine Earth Sci &amp; Technol JAMSTEC, Applicat Lab, Yokohama, Kanagawa, Japan; [Schloesser, Fabian] Univ Rhode Isl, Grad Sch Oceanog, Kingston, RI 02881 USA; [Burkhardt, Theodore W.] Temple Univ, Dept Phys, Philadelphia, PA 19122 USA</t>
  </si>
  <si>
    <t>University of Hawaii System; Japan Agency for Marine-Earth Science &amp; Technology (JAMSTEC); University of Rhode Island; Pennsylvania Commonwealth System of Higher Education (PCSHE); Temple University</t>
  </si>
  <si>
    <t>McCreary, JP (corresponding author), Univ Hawaii, Int Pacific Res Ctr, Honolulu, HI 96822 USA.</t>
  </si>
  <si>
    <t>Nonaka, Masami/G-3417-2014</t>
  </si>
  <si>
    <t>Nonaka, Masami/0000-0003-2522-0686</t>
  </si>
  <si>
    <t>National Science Foundation [OCE-0961716]; Japan Agency for Marine-Earth Science and Technology (JAMSTEC)</t>
  </si>
  <si>
    <t>National Science Foundation(National Science Foundation (NSF)); Japan Agency for Marine-Earth Science and Technology (JAMSTEC)</t>
  </si>
  <si>
    <t>The authors are grateful to Nori Aiki, Paola Cessi, Yoshiki Komuro, Roger Samelson, and Mike Spall for helpful discussions. This research was supported by National Science Foundation Grant OCE-0961716 and also by the Japan Agency for Marine-Earth Science and Technology (JAMSTEC) through its sponsorship of research at the International Pacific Research Center. This manuscript is SOEST Contribution No. 9564 and IPRC Contribution No. 1166.</t>
  </si>
  <si>
    <t>10.1016/j.pocean.2016.01.001</t>
  </si>
  <si>
    <t>DK4VS</t>
  </si>
  <si>
    <t>WOS:000374919000004</t>
  </si>
  <si>
    <t>Huang, XX; Jokat, W</t>
  </si>
  <si>
    <t>Huang, Xiaoxia; Jokat, Wilfried</t>
  </si>
  <si>
    <t>Middle Miocene to present sediment transport and deposits in the Southeastern Weddell Sea, Antarctica</t>
  </si>
  <si>
    <t>GLOBAL AND PLANETARY CHANGE</t>
  </si>
  <si>
    <t>Seismic interpretation; Weddell Sea; turbidity-contourites; Mass transport deposits (MTDs); bottom/turbidity currents</t>
  </si>
  <si>
    <t>TROUGH-MOUTH FAN; SOUTHERN SCOTIA SEA; ICE-SHEET; SUBMARINE LANDSLIDES; CONTINENTAL-MARGIN; DEEP; SLOPE; WATER; WEST; PLIOCENE</t>
  </si>
  <si>
    <t>Understanding the transport and deposition of sediments along the Antarctic continental shelves helps to provide constraints on past ice sheet dynamics. Seismic stratigraphic and scientific drilling data from the Antarctic continental margins have provided much direct evidence concerning ice sheet evolution and sedimentation history. In this study, we describe a series of sedimentary features along the continental margin of the southeastern Weddell Sea to constrain glacial-influenced sedimentation processes from the Middle Miocene to the present. The Crary Trough Mouth Fan (CTMF), channel systems, Mix-system turbidity-contourites are investigated by using seismic reflection, sub-bottom profiler, and results from ODP Site 693. The sinuous, NE-SW-oriented turbidity-contourites are characterized by bathymetric highs that are more than 150 km wide, 700 km long, and have a sediment thickness of up to 2 km. The unique sedimentation environment of the southeastern Weddell Sea is controlled by a large catchment area and its fast (paleo-)ice streams feeding the Filchner Ronne Ice Shelf, turbidity/bottom currents as well as sea level changes. A remarkable increase in mass transport deposits (MTDs) in the Late Miocene and Early Pliocene strata has been related to, ice sheet loading, eustatic sea level fall, earthquakes, and overpressure of rapid sediment accumulation. Our seismic records also imply that fluctuations of East Antarctic ice sheet similar to those that occurred during the last glacial cycle might have been typical for southeastern Weddell Sea during glacial periods since the Late Miocene or even earlier. (C) 2016 The Authors. Published by Elsevier B.V.</t>
  </si>
  <si>
    <t>[Huang, Xiaoxia; Jokat, Wilfried] Helmholtz Centre Polar &amp; Marine Res, Alfred Wegener Inst, Alten Hafen 26, D-27568 Bremerhaven, Germany</t>
  </si>
  <si>
    <t>Huang, XX (corresponding author), Helmholtz Centre Polar &amp; Marine Res, Alfred Wegener Inst, Alten Hafen 26, D-27568 Bremerhaven, Germany.</t>
  </si>
  <si>
    <t>xiaoxia.huang@awi.de</t>
  </si>
  <si>
    <t>Huang, Xiaoxia/0000-0002-0771-9005; Jokat, Wilfried/0000-0002-7793-5854; Huang, Xiaoxia/0000-0002-9978-5404</t>
  </si>
  <si>
    <t>Chinese Scholarship Council (CSC)</t>
  </si>
  <si>
    <t>Chinese Scholarship Council (CSC)(China Scholarship Council)</t>
  </si>
  <si>
    <t>The authors would like to thank the masters, crews and seismic teams of the many ship expeditions to the Weddell Sea, who acquired the seismic data used in this study. The German Federal Institute of Geosciences and Resources (BGR) as well as research institutes in Norway are gratefully acknowledged for their contribution of the used seismic data to the Antarctic Seismic Data Library System (SDLS). Many thanks to Dr. Robert Larter and Dr. Graeme Eagles for their careful reading and discussions of the manuscript and the constructive comments from reviewers. X.H. has been receiving a PhD scholarship from the Chinese Scholarship Council (CSC).</t>
  </si>
  <si>
    <t>0921-8181</t>
  </si>
  <si>
    <t>1872-6364</t>
  </si>
  <si>
    <t>GLOBAL PLANET CHANGE</t>
  </si>
  <si>
    <t>Glob. Planet. Change</t>
  </si>
  <si>
    <t>10.1016/j.gloplacha.2016.03.002</t>
  </si>
  <si>
    <t>DK0UC</t>
  </si>
  <si>
    <t>WOS:000374626700018</t>
  </si>
  <si>
    <t>Salogni, E; Sanvito, S; Galimberti, F</t>
  </si>
  <si>
    <t>Salogni, Elena; Sanvito, Simona; Galimberti, Filippo</t>
  </si>
  <si>
    <t>Postmortem examination and causes of death of northern elephant seal (Mirounga angustirostris) pups of the San Benito Islands, Baja California, Mexico</t>
  </si>
  <si>
    <t>MARINE MAMMAL SCIENCE</t>
  </si>
  <si>
    <t>ANTARCTIC FUR-SEAL; ARCTOCEPHALUS-GAZELLA; POPULATION-DYNAMICS; BREEDING BIOLOGY; EARLY MORTALITY; HARBOR SEAL; SURVIVAL; INVESTMENT; AUSTRALIS; BEHAVIOR</t>
  </si>
  <si>
    <t>[Salogni, Elena; Sanvito, Simona; Galimberti, Filippo] Elephant Seal Res Grp, Via Buonarroti 35, I-20145 Milan, Italy; [Salogni, Elena] Univ Milan, Dipartimento Biosci, Via Festa Perdono 7, I-20122 Milan, Italy; [Sanvito, Simona] Univ Autonoma Baja California, Fac Ciencias Marinas, Km 103 Carretera Tijuana Ensenada, Ensenada 22860, Baja California, Mexico; [Salogni, Elena] Elephant Seal Res Grp, Sea Lion Island, Falkland Island, England</t>
  </si>
  <si>
    <t>University of Milan; Universidad Autonoma de Baja California</t>
  </si>
  <si>
    <t>Salogni, E (corresponding author), Elephant Seal Res Grp, Via Buonarroti 35, I-20145 Milan, Italy.;Salogni, E (corresponding author), Univ Milan, Dipartimento Biosci, Via Festa Perdono 7, I-20122 Milan, Italy.;Salogni, E (corresponding author), Elephant Seal Res Grp, Sea Lion Island, Falkland Island, England.</t>
  </si>
  <si>
    <t>fil_esrg@eleseal.org</t>
  </si>
  <si>
    <t>Salogni, Elena/0009-0007-3767-7145</t>
  </si>
  <si>
    <t>0824-0469</t>
  </si>
  <si>
    <t>1748-7692</t>
  </si>
  <si>
    <t>MAR MAMMAL SCI</t>
  </si>
  <si>
    <t>Mar. Mamm. Sci.</t>
  </si>
  <si>
    <t>10.1111/mms.12273</t>
  </si>
  <si>
    <t>DJ6UR</t>
  </si>
  <si>
    <t>WOS:000374349200017</t>
  </si>
  <si>
    <t>Hastings, KK; Jemison, LA</t>
  </si>
  <si>
    <t>Hastings, Kelly K.; Jemison, Lauri A.</t>
  </si>
  <si>
    <t>Age-specific variation in timing of parturition in Steller sea lions at Forrester Island Complex, Alaska</t>
  </si>
  <si>
    <t>ANTARCTIC FUR SEALS; HARBOR SEALS; MATERNAL INVESTMENT; EUMETOPIAS-JUBATUS; PHOCA-VITULINA; BIRTH; GROWTH; IMPLANTATION; ENERGETICS; MORTALITY</t>
  </si>
  <si>
    <t>[Hastings, Kelly K.; Jemison, Lauri A.] Alaska Dept Fish &amp; Game, Div Wildlife Conservat, 1255 West 8th St, Juneau, AK 99811 USA</t>
  </si>
  <si>
    <t>Alaska Department of Fish &amp; Game</t>
  </si>
  <si>
    <t>Hastings, KK (corresponding author), Alaska Dept Fish &amp; Game, Div Wildlife Conservat, 1255 West 8th St, Juneau, AK 99811 USA.</t>
  </si>
  <si>
    <t>kelly.hastings@alaska.gov</t>
  </si>
  <si>
    <t>National Marine Fisheries Service, Alaska Region [NA17FX1079, NA04NMF4390170, NA08NMF4390544]</t>
  </si>
  <si>
    <t>National Marine Fisheries Service, Alaska Region</t>
  </si>
  <si>
    <t>Special recognition is due Lowrie Island camp leaders S. Lewis and B. Van Burgh, and field work coordinators T. Gage, J. Jenniges, C. Kaplan, J. King, and G. Snedgen. Thanks are also due the many people who collected data from Lowrie Island over the years, particularly J. Carie, T. Lehnhart, D. Van Burgh, T. Visscher, and S. Youngstrom for many years of data collection. This manuscript benefited greatly from review and statistical consultation by G. Pendleton, and suggestions from several anonymous reviewers. Our study was made possible by Alaska Department of Fish and Game SSL marking studies initiated by D. Calkins, T. Gelatt, and K. Pitcher. This work was conducted under permits granted by the Alaska Maritime National Wildlife Refuge to the Alaska Department of Fish and Game for work at Lowrie Island, and under U.S. Marine Mammal Permits 358-1564, 358-1769, 358-1888 and 14325. Funding for this research was provided by the National Marine Fisheries Service, Alaska Region, through awards NA17FX1079, NA04NMF4390170 and NA08NMF4390544 to the Alaska Department of Fish and Game.</t>
  </si>
  <si>
    <t>10.1111/mms.12288</t>
  </si>
  <si>
    <t>WOS:000374349200020</t>
  </si>
  <si>
    <t>Krietsch, J; Esefeld, J; Braun, C; Lisovski, S; Peter, HU</t>
  </si>
  <si>
    <t>Krietsch, Johannes; Esefeld, Jan; Braun, Christina; Lisovski, Simeon; Peter, Hans-Ulrich</t>
  </si>
  <si>
    <t>Long-term dataset reveals declines in breeding success and high fluctuations in the number of breeding pairs in two skua species breeding on King George Island</t>
  </si>
  <si>
    <t>Seabirds; Population trends; Apex predators; Brown Skua; South Polar Skua; Catharacta spp.; Stercorarius spp.; Maritime Antarctic</t>
  </si>
  <si>
    <t>CATHARACTA-ANTARCTICA-LONNBERGI; STERCORARIUS-MACCORMICKI; SOUTHERN-HEMISPHERE; FOOD AVAILABILITY; POPULATION; SEABIRDS; SPP.; DIET; PENINSULA; FISH</t>
  </si>
  <si>
    <t>Marine ecosystems face a variety of threats induced by environmental changes and anthropogenic activities. Seabirds are predators often used as indicator species to monitor the status and health of their communities and the environment. Here, we present the results from a 35-year monitoring time series of Brown Skuas (Catharacta antarctica lonnbergi) and South Polar Skuas (C. maccormicki) breeding sympatrically in the Maritime Antarctic on Fildes Peninsula and Potter Peninsula, King George Island. Our results reveal high annual variability in the number and proportions of breeding pairs across the entire study period. Apart from that, the breeding pair numbers of Brown Skuas were relatively stable. By contrast, the breeding pair number of mixed species and South Polar Skua pairs increased substantially until 2003/2004 and 2010/2011, respectively. Both pair types experienced a decline in the breeding pair numbers within recent years. Despite the strong fluctuations in the number of breeding pairs, the sum of occupied territories has been stable during the last 9 years. The breeding success of all pair types declined significantly, and within recent years, both South Polar Skuas and mixed species pairs completely failed to produce offspring. The ultimate causes driving the breeding success decline remain unclear. The overall increase in the number of skuas might have raised density-dependent factors and resulted in a higher predation rate between conspecifics. The more recent total breeding failures, however, indicate a drastic shortage in local food availability.</t>
  </si>
  <si>
    <t>[Krietsch, Johannes; Esefeld, Jan; Braun, Christina; Peter, Hans-Ulrich] Univ Jena, Inst Ecol, Dornburger Str 159, D-07743 Jena, Germany; [Lisovski, Simeon] Deakin Univ, Ctr Integrat Ecol, 75 Pigdons Rd, Geelong, Vic 3220, Australia</t>
  </si>
  <si>
    <t>Friedrich Schiller University of Jena; Deakin University</t>
  </si>
  <si>
    <t>Krietsch, J (corresponding author), Univ Jena, Inst Ecol, Dornburger Str 159, D-07743 Jena, Germany.</t>
  </si>
  <si>
    <t>j.krietsch@gmx.de</t>
  </si>
  <si>
    <t>Lisovski, Simeon/AAD-4201-2019</t>
  </si>
  <si>
    <t>Lisovski, Simeon/0000-0002-6399-0035; Krietsch, Johannes/0000-0002-8080-1734</t>
  </si>
  <si>
    <t>Deutsche Forschungsgemeinschaft [PE 454/1 ff.]; German Federal Environment Agency [FKZ 3708 91 102, 3708 91 102, 3712 87 100]</t>
  </si>
  <si>
    <t>Deutsche Forschungsgemeinschaft(German Research Foundation (DFG)); German Federal Environment Agency</t>
  </si>
  <si>
    <t>We thank the following current and former members of the Polar &amp; Bird Ecology Group for their instrumental help in the field: Klaus Reinhardt, Jorg Welcker, Markus Ritz, Steffen Hahn, Anne Frohlich, Matthias Kopp, Tobias Gutter, Michel Stelter, Marie-Charlott Rummler and Martin Senf and three anonymous referees for helpful comments on the manuscript. The research was supported by the Deutsche Forschungsgemeinschaft (PE 454/1 ff.) and the German Federal Environment Agency (FKZ 3708 91 102, 3708 91 102 and 3712 87 100).</t>
  </si>
  <si>
    <t>10.1007/s00300-015-1808-7</t>
  </si>
  <si>
    <t>DK1HC</t>
  </si>
  <si>
    <t>WOS:000374662100001</t>
  </si>
  <si>
    <t>Halsey, LG; Lambert, R; Collins, P; Newnham, A; Kumar, A; O'Driscoll, C; Stroud, MA</t>
  </si>
  <si>
    <t>Halsey, L. G.; Lambert, R.; Collins, P.; Newnham, A.; Kumar, A.; O'Driscoll, C.; Stroud, M. A.</t>
  </si>
  <si>
    <t>Antarctica on foot: the energy expended to walk, ski and man-haul</t>
  </si>
  <si>
    <t>Accelerometry; Heart rate; Metabolic rate; Oxygen consumption; Treadmill; Ski machine; Antarctica</t>
  </si>
  <si>
    <t>HEART-RATE; OXYGEN-CONSUMPTION; BODY ACCELERATION; EXPENDITURE; ACCELEROMETRY; COST; EXERCISE; ANIMALS; SCOTT; WORK</t>
  </si>
  <si>
    <t>Polar exploration often involves travelling on foot and thus is physically intensive, with long-term excursions typically resulting in weight loss. Few studies have investigated the energy expended under such circumstances. Here, we present a range of prediction equations for estimating metabolic rate from heart rate or accelerometry data for specific activities including skiing and man-hauling which can be applied to either short- or long-term excursions. We also use some of these equations to estimate the energy expended undertaking various activities by a team of explorers while attempting to traverse the Antarctic continent during the austral winter of 2013 (as part of the White Mars Project during The Coldest Journey). Calibration equations based on either accelerometry data (from which overall dynamic body acceleration, ODBA, is derived) or heart rate showed good relationships with rate of oxygen consumption, particularly when person height was included. Periods of skiing and man-hauling on The Coldest Journey were estimated to be more energetically demanding (30.0 and 31.1 kJ min(-1), respectively) than walking (24.9 kJ min(-1)), or other outdoor work (21.9 kJ min(-1)). Estimates of energy expenditure during The Coldest Journey were similar to measures obtained in previous, comparative scenarios. We hope that future expeditions to Antarctica will use these prediction equations to further our understanding of the energy costs of exploring Antarctica and the nutritional requirements needed to guard against emaciation.</t>
  </si>
  <si>
    <t>[Halsey, L. G.; Collins, P.; Newnham, A.; O'Driscoll, C.] Univ Roehampton, Dept Life Sci, Holybourne Ave, London SW15 4JD, England; [Lambert, R.] Royal Infirm Edinburgh NHS Trust, Dept Orthopaed Surg, Edinburgh EH16 4SA, Midlothian, Scotland; [Kumar, A.] Univ Fribourg, Dept Physiol, CH-1700 Fribourg, Switzerland; [Stroud, M. A.] Southampton Univ Hosp Trust, Natl Inst Hlth Res Biomed Res Ctr Nutr, Southampton SO16 6YD, Hants, England</t>
  </si>
  <si>
    <t>Roehampton University; Royal Infirmary of Edinburgh; University of Edinburgh; University of Fribourg; University of Southampton; University Hospital Southampton NHS Foundation Trust</t>
  </si>
  <si>
    <t>Halsey, LG (corresponding author), Univ Roehampton, Dept Life Sci, Holybourne Ave, London SW15 4JD, England.</t>
  </si>
  <si>
    <t>l.halsey@roehampton.ac.uk</t>
  </si>
  <si>
    <t>Halsey, Lewis/B-8498-2011; 何, 泰绪/AGF-3218-2022</t>
  </si>
  <si>
    <t>Halsey, Lewis/0000-0002-0786-7585;</t>
  </si>
  <si>
    <t>10.1007/s00300-015-1818-5</t>
  </si>
  <si>
    <t>WOS:000374662100006</t>
  </si>
  <si>
    <t>Leonardi, MS; Bobinac, M; Negrete, J</t>
  </si>
  <si>
    <t>Soledad Leonardi, Maria; Bobinac, Magali; Negrete, Javier</t>
  </si>
  <si>
    <t>Redescription of Antarctophthirus lobodontis (Anoplura: Echinophthiriidae) from the crabeater seal and identification key for Antarctic lice</t>
  </si>
  <si>
    <t>Antarctica; Antarctophthirus; Sucking lice; Taxonomic revision</t>
  </si>
  <si>
    <t>LIFE</t>
  </si>
  <si>
    <t>The Anoplura (Phthiraptera) is composed of lice parasitizing mainly terrestrial mammals, but a few members have been able to adapt to the marine environment. The latter are included in the family Echinophthiriidae, a particular group infecting pinnipeds worldwide. They also are of the few insects that managed to survive in the ocean. The study of Antarctic echinophthiriids flourished in the 1960s, but in the last 50 years, no advance has been made. Revision of Antarctic echinophthiriids is part of ongoing research on the systematics, phylogeny and ecology of these lice. During the summer season of 2014, we had the opportunity to collect lice from crabeater seals captured at Cierva Cove in the northern sector of the Danco Coast, Antarctic Peninsula. Since its original description was incomplete and the holotypes were lost, here we redescribe Antarctophthirus lobodontis based on these specimens. The present material can be distinguished from other Antarctic Antarctophthirus species by the presence of four marginal long hairs and in the basis of the head a line of eight spines and three hairs above the last row of four spines. Also in the present work, we provide a key to the identification of the Antarctic species of Echinophthiriidae based on morphological characteristics.</t>
  </si>
  <si>
    <t>[Soledad Leonardi, Maria] CENPAT CONICET, Inst Biol Organismos Marinos, Bvd Brown 2915, RA-9120 Puerto Madryn, Argentina; [Bobinac, Magali] Museo Argentino Ciencias Nat Bernardino Rivadavia, Ave Angel Gallardo 470, RA-1045 Buenos Aires, DF, Argentina; [Negrete, Javier] Univ Nacl La Plata, Fac Ciencias Nat &amp; Museo, Ave 122 &amp; 60, RA-1900 La Plata, Buenos Aires, Argentina; [Negrete, Javier] Inst Antartico Argentino, Dept Biol Predadores Tope, Cerrito 1248, RA-1010 Buenos Aires, DF, Argentina</t>
  </si>
  <si>
    <t>Centro Nacional Patagonico (CENPAT); Consejo Nacional de Investigaciones Cientificas y Tecnicas (CONICET); Museo Argentino de Ciencias Naturales Bernardino Rivadavia (MACN); National University of La Plata; Museo La Plata; Instituto Antartico Argentino</t>
  </si>
  <si>
    <t>Leonardi, MS (corresponding author), CENPAT CONICET, Inst Biol Organismos Marinos, Bvd Brown 2915, RA-9120 Puerto Madryn, Argentina.</t>
  </si>
  <si>
    <t>leonardi@cenpat-conicet.gob.ar</t>
  </si>
  <si>
    <t>Leonardi, Maria Soledad/0000-0002-1736-7031; Negrete, Javier/0000-0001-6853-8307; Bobinac, Magali Andrea/0000-0002-1974-3395</t>
  </si>
  <si>
    <t>Direccion Nacional del Antartico, Instituto Antartico Argentino; Ministerio de Ciencia, Tecnologia e Innovacion Productiva; Ministerio de Educacion de la Nacion for the promotion of the Scientific Argentinean Program</t>
  </si>
  <si>
    <t>The study was financially and logistically supported by the Direccion Nacional del Antartico, Instituto Antartico Argentino. This work's permit was granted by the Direccion Nacional del Antartico (Environmental Office). We are very grateful to Sebastian Poljak, Juan Galliari and Pedro Carlini for their assistance during the fieldwork. Special thanks goes to A. Moyano, L. Cataldo, G. Arce, C. Alvarez, J. Villalba, R. Moyano, M. Echazarreta, E. de los Santos and M.S. Cosenza. We specially thank to Paula Rivera, who helped us to improve the figures. Thanks are given to the Ministerio de Ciencia, Tecnologia e Innovacion Productiva and Ministerio de Educacion de la Nacion for the promotion of the Scientific Argentinean Program and the support of public education.</t>
  </si>
  <si>
    <t>10.1007/s00300-015-1822-9</t>
  </si>
  <si>
    <t>WOS:000374662100010</t>
  </si>
  <si>
    <t>Li, F; Hao, WF; Yan, JG; Shao, XY; Ye, M; Xiao, C</t>
  </si>
  <si>
    <t>Li Fei; Hao Wei-Feng; Yan Jian-Guo; Shao Xian-Yuan; Ye Mao; Xiao Chi</t>
  </si>
  <si>
    <t>Advancement of lunar gravity model due to the development of space tracking techniques</t>
  </si>
  <si>
    <t>CHINESE JOURNAL OF GEOPHYSICS-CHINESE EDITION</t>
  </si>
  <si>
    <t>Lunar gravity model; Tracking mode; Lunar interior structure; Precise orbit determination</t>
  </si>
  <si>
    <t>GRAIL PRIMARY; FIELD; MOON; MISSION; PROSPECTOR; CLEMENTINE; THICKNESS; ORBITER; CRUST</t>
  </si>
  <si>
    <t>Based on the three modes of lunar spacecraft tracking techniques: Earth-based tracking mode, high-low satellite-to-satellite tracking mode and low-low satellite-to-satellite tracking mode, the development of lunar gravity models could be divided into 4 stages. First, we introduce the principle, technical characteristics of the different tracking modes, and the representative gravity models, and then make comments to these models' precision. Further, through comparison of gravity anomaly precision, characteristics and orbit determination precision from different stages' lunar gravity field models, we conclude that: the advancement of space tracking techniques has significantly improved the precision of lunar gravity model and effectively promote the understanding of lunar interior structure and there liability of lunar satellite orbit determination. Finally, we analyze the deficiency of current lunar gravity models and give a perspective of future space tracking techniques.</t>
  </si>
  <si>
    <t>[Li Fei; Hao Wei-Feng; Xiao Chi] Wuhan Univ, Chinese Antarctic Ctr Surveying &amp; Mapping, Wuhan 430079, Peoples R China; [Li Fei; Yan Jian-Guo; Shao Xian-Yuan; Ye Mao] Wuhan Univ, State Key Lab Informat Engn Surveying Mapping &amp; R, Wuhan 430079, Peoples R China</t>
  </si>
  <si>
    <t>Wuhan University; Wuhan University</t>
  </si>
  <si>
    <t>Li, F (corresponding author), Wuhan Univ, Chinese Antarctic Ctr Surveying &amp; Mapping, Wuhan 430079, Peoples R China.;Li, F (corresponding author), Wuhan Univ, State Key Lab Informat Engn Surveying Mapping &amp; R, Wuhan 430079, Peoples R China.</t>
  </si>
  <si>
    <t>fli@whu.edu.cn</t>
  </si>
  <si>
    <t>Xiao, Chi/AFD-1063-2022</t>
  </si>
  <si>
    <t>Yan, Jianguo/0000-0003-2612-4776</t>
  </si>
  <si>
    <t>0001-5733</t>
  </si>
  <si>
    <t>CHINESE J GEOPHYS-CH</t>
  </si>
  <si>
    <t>Chinese J. Geophys.-Chinese Ed.</t>
  </si>
  <si>
    <t>10.6038/cjg2016047</t>
  </si>
  <si>
    <t>DJ0AS</t>
  </si>
  <si>
    <t>WOS:000373864400007</t>
  </si>
  <si>
    <t>Jennings, S; Pascoe, S; Hall-Aspland, S; Le Bouhellec, B; Norman-Lopez, A; Sullivan, A; Pecl, G</t>
  </si>
  <si>
    <t>Jennings, Sarah; Pascoe, Sean; Hall-Aspland, Sophie; Le Bouhellec, Bastien; Norman-Lopez, Ana; Sullivan, Andrew; Pecl, Gretta</t>
  </si>
  <si>
    <t>Setting objectives for evaluating management adaptation actions to address climate change impacts in south-eastern Australian fisheries</t>
  </si>
  <si>
    <t>FISHERIES OCEANOGRAPHY</t>
  </si>
  <si>
    <t>Analytic Hierarchy Process; climate change adaptation; fisheries; management objectives; stakeholders</t>
  </si>
  <si>
    <t>ANALYTIC HIERARCHY PROCESS; RAPID ASSESSMENT; JASUS-EDWARDSII; ROCK LOBSTER; PREFERENCES; HOTSPOT</t>
  </si>
  <si>
    <t>Under likely climate change scenarios, changes to fisheries assessment, monitoring, management and governance, intended to reduce negative impacts and seize opportunities to improve performance, will form an important part of climate change adaptation responses for fisheries. Comprehensively and consistently assessing possible management adaptation options requires a clear definition of a multi-criteria evaluation framework incorporating information about the relative importance of often competing criteria or objectives. Such a framework is often missing from climate change adaptation evaluation, with adaptation priorities and plans often developed without direct reference to the key objectives of management. We used the Analytic Hierarchy Process (AHP) to develop a weighted hierarchy of objectives in four south-eastern Australian fisheries. The developed hierarchy included fisheries management objectives routinely articulated in policy and management documents, those that may underpin effective adaptation and adaptation planning, and objectives likely to contribute to ongoing adaptive capacity and resilience of fisheries and associated communities. Results of an interactive survey of managers, researchers and commercial and recreational fishers yielded average weightings of objectives that were quite consistent across the four fisheries, with a very strong preference for ensuring that adaptations support environmental and ecological values, particularly through sustaining the harvested population. However, differences between stakeholder groups were more marked, with economic objectives considered more important by commercial fishers, and social objectives by recreational fishers, than by other groups. This suggests the possibility of conflicts between groups when determining appropriate adaptation strategies, as alternative strategies will have different economic and social outcomes even if achieving comparable environmental outcomes.</t>
  </si>
  <si>
    <t>[Jennings, Sarah; Hall-Aspland, Sophie; Le Bouhellec, Bastien] Univ Tasmania, Tasmanian Sch Business &amp; Econ, Private Bag 84, Hobart, Tas 7001, Australia; [Jennings, Sarah; Pascoe, Sean; Pecl, Gretta] Ctr Marine Socioecol, Private Bag 129, Hobart, Tas 7001, Australia; [Pascoe, Sean; Norman-Lopez, Ana] CSIRO Oceans &amp; Atmosphere, POB 2583, Brisbane, Qld 4001, Australia; [Hall-Aspland, Sophie; Pecl, Gretta] Inst Marine &amp; Antarctic Studies, Private Bag 129, Hobart, Tas 7001, Australia; [Sullivan, Andrew] Fish Focus Consulting, POB 804, Sandy Bay, Tas 7006, Australia</t>
  </si>
  <si>
    <t>University of Tasmania; Commonwealth Scientific &amp; Industrial Research Organisation (CSIRO); University of Tasmania</t>
  </si>
  <si>
    <t>Jennings, S (corresponding author), Univ Tasmania, Tasmanian Sch Business &amp; Econ, Private Bag 84, Hobart, Tas 7001, Australia.;Jennings, S (corresponding author), Ctr Marine Socioecol, Private Bag 129, Hobart, Tas 7001, Australia.</t>
  </si>
  <si>
    <t>sarah.jennings@utas.edu.au</t>
  </si>
  <si>
    <t>Jennings, Sarah M/J-7888-2014; Pecl, Gretta/D-7267-2011; Pascoe, Sean/D-9710-2011</t>
  </si>
  <si>
    <t>Pecl, Gretta/0000-0003-0192-4339; Pascoe, Sean/0000-0001-6581-2649</t>
  </si>
  <si>
    <t>ARC Future Fellowship; Fisheries Research and Development Corporation under the South East Australia Program (SEAP); CSIRO Wealth from Oceans Flagship</t>
  </si>
  <si>
    <t>ARC Future Fellowship(Australian Research Council); Fisheries Research and Development Corporation under the South East Australia Program (SEAP); CSIRO Wealth from Oceans Flagship(Commonwealth Scientific &amp; Industrial Research Organisation (CSIRO))</t>
  </si>
  <si>
    <t>The project was funded by the Fisheries Research and Development Corporation under the South East Australia Program (SEAP) and the CSIRO Wealth from Oceans Flagship. G.P. was supported by an ARC Future Fellowship. Our thanks to the many members of the industry and management committees, scientific groups and case study leaders for the four SEAP fisheries who participated in the workshop discussion and objective elicitation surveys. Special thanks to Eriko Hoshino who assisted in the facilitation of the workshop discussions. This project was undertaken under the guidance of the El Nemo SEAP Project Management Committee. Particular thanks to Dallas D'Silva for coordinating and overseeing the direction of the programme. Elsa Gartner provided the map in Fig. 1. Our thanks also to three anonymous reviewers whose comments improved the quality of the paper.</t>
  </si>
  <si>
    <t>1054-6006</t>
  </si>
  <si>
    <t>1365-2419</t>
  </si>
  <si>
    <t>FISH OCEANOGR</t>
  </si>
  <si>
    <t>Fish Oceanogr.</t>
  </si>
  <si>
    <t>10.1111/fog.12137</t>
  </si>
  <si>
    <t>Fisheries; Oceanography</t>
  </si>
  <si>
    <t>DJ0UF</t>
  </si>
  <si>
    <t>WOS:000373919200004</t>
  </si>
  <si>
    <t>Betka, P; Klepeis, K; Mosher, S</t>
  </si>
  <si>
    <t>Betka, Paul; Klepeis, Keith; Mosher, Sharon</t>
  </si>
  <si>
    <t>Fault kinematics of the Magallanes-Fagnano fault system, southern Chile; an example of diffuse strain and sinistral transtension along a continental transform margin</t>
  </si>
  <si>
    <t>JOURNAL OF STRUCTURAL GEOLOGY</t>
  </si>
  <si>
    <t>Patagonia; Strike-slip; Continental transform; Faults; Andes; Tierra del Fuego</t>
  </si>
  <si>
    <t>TIERRA-DEL-FUEGO; DARWIN METAMORPHIC COMPLEX; RELATIVE PLATE MOTIONS; FORELAND BASIN; BACK-ARC; CORDILLERA DARWIN; PATAGONIAN BATHOLITH; STRATIGRAPHIC RECORD; ANTARCTIC PENINSULA; TECTONIC EVOLUTION</t>
  </si>
  <si>
    <t>A system of left-lateral faults that separates the South American and Scotia plates, known as the Magallanes-Fagnano fault system, defines the modern tectonic setting of the southernmost Andes and is superimposed on the Late Cretaceous - Paleogene Patagonian fold-thrust belt. Fault kinematic data and crosscutting relationships from populations of thrust, strike-slip and normal faults from Peninsula Brunswick adjacent to the Magallanes-Fagnano fault system, presented herein, show kinematic and temporal relationships between thrust faults and sets of younger strike-slip and normal faults. Thrust fault kinematics are homogeneous in the study area and record subhorizontal northeast-directed shortening. Strike-slip faults record east-northeast-directed horizontal shortening, west-northwest-directed horizontal extension and form Riedel and P-shear geometries compatible with left-lateral slip on the main splay of the Magallanes-Fagnano fault system. Normal faults record north-south trending extension that is compatible with the strike -slip faults. The study area occurs in a releasing step-over between overlapping segments of the Magallanes-Fagnano fault system, which localized on antecedent sutures between basement terranes with differing geological origin. Results are consistent with regional tectonic models that suggest sinistral shearing and transtension in the southernmost Andes was contemporaneous with the onset of seafloor spreading in the Western Scotia Sea during the Early Miocene. (C) 2016 Elsevier Ltd. All rights reserved.</t>
  </si>
  <si>
    <t>[Betka, Paul; Mosher, Sharon] Univ Texas Austin, Jackson Sch Geosci, Dept Geol Sci, Austin, TX 78712 USA; [Klepeis, Keith] Univ Vermont, Dept Geol, Burlington, VT 05405 USA</t>
  </si>
  <si>
    <t>University of Texas System; University of Texas Austin; University of Vermont</t>
  </si>
  <si>
    <t>Betka, P (corresponding author), Columbia Univ, Lamont Doherty Earth Observ, POB 1000,61 Route 9W, Palisades, NY 10964 USA.</t>
  </si>
  <si>
    <t>pmbetka@utexas.edu</t>
  </si>
  <si>
    <t>Betka, Paul/0000-0003-3239-3155; Klepeis, Keith/0000-0002-7946-0872</t>
  </si>
  <si>
    <t>National Science Foundation [EAR - 0635940]; American Association of Petroleum Geologists; Jackson School of Geosciences at the University of Texas at Austin</t>
  </si>
  <si>
    <t>National Science Foundation(National Science Foundation (NSF)); American Association of Petroleum Geologists; Jackson School of Geosciences at the University of Texas at Austin</t>
  </si>
  <si>
    <t>This work was supported by funding from the National Science Foundation (EAR - 0635940 to K.K.) and by grants awarded to P.B. from the American Association of Petroleum Geologists Grants in Aid Program and the Jackson School of Geosciences at the University of Texas at Austin. This work is part of a PhD dissertation completed by P.B. at the University of Texas at Austin and benefited greatly from many discussions with Ian Dalziel, Constantino Mpodozis, Randy Marrett, and Brian Horton. We thank captains Keri Pashuk and Greg Landreth for safe passage and crucial logistical support aboard their vessel Northanger. P.B. is also greatly indebted to Randy Twyman Mansilla for his friendship and guiding services that supported this research. Marco Menichetti and Victor Ramos provided constructive reviews that improved this manuscript.</t>
  </si>
  <si>
    <t>0191-8141</t>
  </si>
  <si>
    <t>J STRUCT GEOL</t>
  </si>
  <si>
    <t>J. Struct. Geol.</t>
  </si>
  <si>
    <t>10.1016/j.jsg.2016.02.001</t>
  </si>
  <si>
    <t>DJ3BG</t>
  </si>
  <si>
    <t>WOS:000374079200010</t>
  </si>
  <si>
    <t>Pelorosso, B; Bonadiman, C; Coltorti, M; Faccini, B; Melchiorre, M; Ntaflos, T; Gregoire, M</t>
  </si>
  <si>
    <t>Pelorosso, Beatrice; Bonadiman, Costanza; Coltorti, Massimo; Faccini, Barbara; Melchiorre, Massimiliano; Ntaflos, Theodoros; Gregoire, Michel</t>
  </si>
  <si>
    <t>Pervasive, tholeiitic refertilisation and heterogeneous metasomatism in Northern Victoria Land lithospheric mantle (Antarctica)</t>
  </si>
  <si>
    <t>LITHOS</t>
  </si>
  <si>
    <t>Mantle xenoliths; Tholeiitic refertilisation; Garnet signature</t>
  </si>
  <si>
    <t>PRINCE-ALBERT-MOUNTAINS; DRONNING-MAUD-LAND; JURASSIC FERRAR THOLEIITES; SPINEL OXYGEN GEOBAROMETER; TRACE-ELEMENT COMPOSITION; ORTHO-PYROXENE; O-ISOTOPE; TRANSANTARCTIC MOUNTAINS; EXPERIMENTAL CALIBRATION; SUBCONTINENTAL MANTLE</t>
  </si>
  <si>
    <t>The petrology of peridotite xenoliths in the Cenozoic volcanics from Greene Point (Northern Victoria Land, Antarctica) provides new constraints on the characterisation of the lithospheric mantle beneath the West Antarctic Rift. Based on mineral major and trace element models, this mantle domain is proposed to represent a residuum after 10% and 20% partial melting. Moreover, melting models and isotopic results for Sr and Nd systematics highlight the substantial contribution of tholeiitic melts percolating through peridotites. Close correlation with trace element contents in clinopyroxene phenocrysts from Ferrar and Karoo tholeiites allows us to ascribe this refertilisation event to the Jurassic. This asthenospheric melt was also able to transfer a garnet signature to the Northern Victoria Land mantle segment. The rare presence of glass and secondary phases indicate that Greene Point xenoliths were heterogeneously affected by alkaline metasomatism, probably related to the West Antarctic Rift System opening; this has also been widely observed in other Northern Victoria Land localities (i.e., Baker Rocks). Temperature and fO(2) were calculated (950 degrees C; Delta log fO(2) (QFM), -1.70 to -0.39) at a fixed pressure of 15 kbar, confirming the tendency of the anhydrous Greene Point xenolith population to have higher equilibration temperatures and comparable redox conditions, compared to the nearby amphibole -bearing peridotites from Baker Rocks. (C) 2016 Published by Elsevier B.V.</t>
  </si>
  <si>
    <t>[Pelorosso, Beatrice; Bonadiman, Costanza; Coltorti, Massimo; Faccini, Barbara] Univ Ferrara, Dipartimento Fis &amp; Sci Terra, I-44100 Ferrara, Italy; [Melchiorre, Massimiliano] Inst Earth Sci Jaume Almera, Barcelona, Spain; [Ntaflos, Theodoros] Univ Vienna, Dept Lithospher Res, A-1010 Vienna, Austria; [Gregoire, Michel] Univ Toulouse 3, GETCNRS IRD, F-31062 Toulouse, France</t>
  </si>
  <si>
    <t>University of Ferrara; Consejo Superior de Investigaciones Cientificas (CSIC); CSIC - Geociencias Barcelona (GEO3BCN); University of Vienna; Universite de Toulouse; Universite Toulouse III - Paul Sabatier</t>
  </si>
  <si>
    <t>Pelorosso, B (corresponding author), Univ Ferrara, Dipartimento Fis &amp; Sci Terra, I-44100 Ferrara, Italy.</t>
  </si>
  <si>
    <t>Gregoire, Michel/B-5738-2008</t>
  </si>
  <si>
    <t>Gregoire, Michel/0000-0001-9196-876X; Faccini, Barbara/0000-0002-3546-7159</t>
  </si>
  <si>
    <t>PNRA (National Programme Antarctic Research)</t>
  </si>
  <si>
    <t>This work was funded by PNRA (National Programme Antarctic Research) projects; in particular, samples were collected during the XX Italian expedition in Antarctica. Analyses were possible also thank to the PNRA project 2013-2015; Coordinator of the Project: Costanza Bonadiman: Hydrous phases stability in the lithospheric mantle of the large continental rift systems: a petrological/experimental study of the mantle xenoliths and lavas of the Northern Victoria Land.</t>
  </si>
  <si>
    <t>0024-4937</t>
  </si>
  <si>
    <t>1872-6143</t>
  </si>
  <si>
    <t>Lithos</t>
  </si>
  <si>
    <t>10.1016/j.lithos.2016.01.032</t>
  </si>
  <si>
    <t>DJ0AN</t>
  </si>
  <si>
    <t>WOS:000373863900034</t>
  </si>
  <si>
    <t>Schrader, CM; Cohen, BA; Donovan, JJ; Vicenzi, EP</t>
  </si>
  <si>
    <t>Schrader, Christian M.; Cohen, Barbara A.; Donovan, John J.; Vicenzi, Edward P.</t>
  </si>
  <si>
    <t>Ni/S/Cl systematics and the origin of impact-melt glasses in Martian meteorite Elephant Moraine 79001</t>
  </si>
  <si>
    <t>SHOCK METAMORPHISM; MERIDIANI-PLANUM; SOIL COMPONENT; GUSEV CRATER; SHERGOTTITE; OLIVINE; ROCKS; PETROGRAPHY; MINERALOGY; CHEMISTRY</t>
  </si>
  <si>
    <t>Martian meteorite Elephant Moraine A79001 (EET 79001) has received considerable attention for the unusual composition of its shock melt glass, particularly its enrichment in sulfur relative to the host shergottite. It has been hypothesized that Martian regolith was incorporated into the melt or, conversely, that the S-enrichment stems from preferential melting of sulfide minerals in the host rock during shock. We present results from an electron microprobe study of EET 79001 including robust measurements of major and trace elements in the shock melt glass (S, Cl, Ni, Co, V, and Sc) and minerals in the host rock (Ni, Co, and V). We find that both S and major element abundances can be reconciled with previous hypotheses of regolith incorporation and/or excess sulfide melt. However, trace element characteristics of the shock melt glass, particularly Ni and Cl abundances relative to S, cannot be explained either by the incorporation of regolith or sulfide minerals. We therefore propose an alternative hypothesis whereby, prior to shock melting, portions of EET 79001 experienced acid-sulfate leaching of the mesostasis, possibly groundmass feldspar, and olivine, producing Al-sulfates that were later incorporated into the shock melt, which then quenched to glass. Such activity in the Martian near-surface is supported by observations from the Mars Exploration Rovers and laboratory experiments. Our preimpact alteration model, accompanied by the preferential survival of olivine and excess melting of feldspar during impact, explains the measured trace element abundances better than either the regolith incorporation or excess sulfide melting hypothesis does.</t>
  </si>
  <si>
    <t>[Schrader, Christian M.; Cohen, Barbara A.] NASA, Marshall Space Flight Ctr, Huntsville, AL 35812 USA; [Schrader, Christian M.] Bowdoin Coll, Dept Geol, Brunswick, ME 04011 USA; [Donovan, John J.] Univ Oregon, Dept Chem, Eugene, OR 97403 USA; [Vicenzi, Edward P.] Museum Conservat Inst, Smithsonian Inst, Suitland, MD 20746 USA</t>
  </si>
  <si>
    <t>National Aeronautics &amp; Space Administration (NASA); Bowdoin College; University of Oregon; Smithsonian Institution</t>
  </si>
  <si>
    <t>Cohen, BA (corresponding author), NASA, Marshall Space Flight Ctr, Huntsville, AL 35812 USA.</t>
  </si>
  <si>
    <t>barbara.a.cohen@nasa.gov</t>
  </si>
  <si>
    <t>Vicenzi, Edward P/T-9430-2017; COHEN, BARBARA/AAV-8199-2021</t>
  </si>
  <si>
    <t>Vicenzi, Edward P/0000-0003-2085-6546; Cohen, Barbara/0000-0001-5896-5903</t>
  </si>
  <si>
    <t>NASA Postdoctoral Program; Mars Fundamental Research Program grant</t>
  </si>
  <si>
    <t>NASA Postdoctoral Program(National Aeronautics &amp; Space Administration (NASA)); Mars Fundamental Research Program grant</t>
  </si>
  <si>
    <t>We thank the NASA Postdoctoral Program for funding salary and travel for the first author, and the Antarctic Meteorite Working Group for approving our sample request. Joel Hurowitz, Hap McSween, Paul Warren, Erin Walton, and several anonymous reviewers provided helpful reviews and editor Mike Zolensky encouraged us through several revisions. This research was supported by a Mars Fundamental Research Program grant to B. A. Cohen and used NASA's Astrophysics Data System (ADS).</t>
  </si>
  <si>
    <t>10.1111/maps.12612</t>
  </si>
  <si>
    <t>DJ2QT</t>
  </si>
  <si>
    <t>WOS:000374050800003</t>
  </si>
  <si>
    <t>Rudraswami, NG; Prasad, MS; Babu, EVSSK; Kumar, TV</t>
  </si>
  <si>
    <t>Rudraswami, N. G.; Prasad, M. Shyam; Babu, E. V. S. S. K.; Kumar, T. Vijaya</t>
  </si>
  <si>
    <t>Major and trace element geochemistry of S-type cosmic spherules</t>
  </si>
  <si>
    <t>OXYGEN-ISOTOPE; ACCRETION RATE; ANTARCTIC MICROMETEORITES; RELICT OLIVINE; ENTRY; EARTH; FRACTIONATION; CHONDRULES; SEDIMENTS; IDENTIFICATION</t>
  </si>
  <si>
    <t>Micrometeorites that pass through the Earth's atmosphere undergo changes in their chemical compositions, thereby making it difficult to understand if they are sourced from the matrix, chondrules, or calcium-aluminum-rich inclusions (CAIs). These components have the potential to provide evidence toward the understanding of the early solar nebular evolution. The variations in the major element and trace element compositions of 155 different type (scoriaceous, relict bearing, porphyritic, barred, cryptocrystalline, and glass) of S-type cosmic spherules are investigated with the intent to decipher the parent sources using electron microprobe and laser ablation inductively coupled plasma-mass spectrometry. The S-type cosmic spherules appear to show a systematic depletion in volatile element contents, but have preserved their refractory trace elements. The trends in their chemical compositions suggest that the S-type spherules comprise of components from similar parent bodies, that is, carbonaceous chondrites. Large fosteritic relict grains observed in this investigation appear to be related to the fragments of chondrules from carbonaceous chondrites. Furthermore, four spherules (two of these spherules enclose spinels and one comprised entirely of a Ca-Al-rich plagioclase) show enhanced trace element enrichment patterns that are drastically different from all the other 151 cosmic spherules. The information on the chemical composition and rare earth elements (REEs) on cosmic spherules suggest that the partially to fully melted ones can preserve evidences related to their parent bodies. The Ce, Eu, and Tm anomalies found in the cosmic spherules have similar behavior as that of chondrites. Distinct correlations observed between different REEs and types of cosmic spherules reflect the inherited properties of the precursors.</t>
  </si>
  <si>
    <t>[Rudraswami, N. G.; Prasad, M. Shyam] Natl Inst Oceanog, CSIR, Panaji 403004, Goa, India; [Babu, E. V. S. S. K.; Kumar, T. Vijaya] Natl Geophys Res Inst, CSIR, Hyderabad 500007, Andhra Pradesh, India</t>
  </si>
  <si>
    <t>Council of Scientific &amp; Industrial Research (CSIR) - India; CSIR - National Institute of Oceanography (NIO); Council of Scientific &amp; Industrial Research (CSIR) - India; CSIR - National Geophysical Research Institute (NGRI)</t>
  </si>
  <si>
    <t>Rudraswami, NG (corresponding author), Natl Inst Oceanog, CSIR, Panaji 403004, Goa, India.</t>
  </si>
  <si>
    <t>rudra@nio.org</t>
  </si>
  <si>
    <t>Elapavalooru, Babu/F-3401-2012</t>
  </si>
  <si>
    <t>Elapavalooru, Babu/0000-0002-3474-8864</t>
  </si>
  <si>
    <t>CSIR XII Plan</t>
  </si>
  <si>
    <t>This work is supported by the CSIR XII Plan funded Project GEOSINKS and the PLANEX project, Physical Research Laboratory, Ahmedabad (NGR and MSP). We are grateful to Samena Balgar during sample preparation and Vijay Khedekar for his support during the EPMA analyses. We are grateful to G. Flynn and Don Brownlee for their valuable comments and inputs which helped improve the manuscript. This is NIO's contribution No. 5847.</t>
  </si>
  <si>
    <t>10.1111/maps.12618</t>
  </si>
  <si>
    <t>WOS:000374050800006</t>
  </si>
  <si>
    <t>Sears, DWG; Sears, H; Ebel, DS; Wallace, S; Friedrich, JM</t>
  </si>
  <si>
    <t>Sears, Derek W. G.; Sears, Hazel; Ebel, Denton S.; Wallace, Sean; Friedrich, Jon M.</t>
  </si>
  <si>
    <t>X-ray computed tomography imaging: A not-so-nondestructive technique</t>
  </si>
  <si>
    <t>THERMO-LUMINESCENCE; ORDINARY CHONDRITES; REHEATING HISTORY; METEORITES; THERMOLUMINESCENCE; MICROTOMOGRAPHY; GEOSCIENCES; SAMPLES; SHOCK; CT</t>
  </si>
  <si>
    <t>X-ray computed tomography has become a popular means for examining the interiors of meteorites and has been advocated for routine curation and for the examination of samples returned by missions. Here, we report the results of a blind test that indicate that CT imaging deposits a considerable radiation dose in a meteorite and seriously compromises its natural radiation record. Ten vials of the Bruderheim L6 chondrite were placed in CT imager and exposed to radiation levels typical for meteorite studies. Half were retained as controls. Their thermoluminescence (TL) properties were then measured in a blind test. Five of the samples had TL data unaltered from their original (similar to 10 cps) while five had very strong signals (similar to 20,000 cps). It was therefore very clear which samples had been in the CT scanner. For comparison, the natural TL signal from Antarctic meteorites is similar to 5000-50,000 cps. Using the methods developed for Antarctic meteorites, the apparent dose absorbed by the five test samples was calculated to be 83 +/- 5 krad, comparable with the highest doses observed in Antarctic meteorites and freshly fallen meteorites. While these results do not preclude the use of CT scanners when scientifically justified, it should be remembered that the record of radiation exposure to ionizing radiations for the sample will be destroyed and that TL, or the related optically stimulated luminescence, are the primary modern techniques for radiation dosimetry. This is particularly important with irreplaceable samples, such as meteorite main masses, returned samples, and samples destined for archive.</t>
  </si>
  <si>
    <t>[Sears, Derek W. G.; Sears, Hazel] NASA, Ames Res Ctr, BAER Inst, Mountain View, CA 95035 USA; [Ebel, Denton S.; Wallace, Sean; Friedrich, Jon M.] Amer Museum Nat Hist, New York, NY 10024 USA; [Friedrich, Jon M.] Fordham Univ, Dept Chem, New York, NY 10458 USA</t>
  </si>
  <si>
    <t>National Aeronautics &amp; Space Administration (NASA); NASA Ames Research Center; American Museum of Natural History (AMNH); Fordham University</t>
  </si>
  <si>
    <t>Sears, DWG (corresponding author), NASA, Ames Res Ctr, BAER Inst, Mountain View, CA 95035 USA.</t>
  </si>
  <si>
    <t>derek.sears@nasa.gov</t>
  </si>
  <si>
    <t>10.1111/maps.12622</t>
  </si>
  <si>
    <t>WOS:000374050800013</t>
  </si>
  <si>
    <t>Ma, XL; Sun, XL; Wiens, DA; Wen, LX; Nyblade, A; Anandakrishnan, S; Aster, R; Huerta, A; Wilson, T</t>
  </si>
  <si>
    <t>Ma, Xiaolong; Sun, Xinlei; Wiens, Douglas A.; Wen, Lianxing; Nyblade, Andrew; Anandakrishnan, Sridhar; Aster, Rick; Huerta, Audrey; Wilson, Terry</t>
  </si>
  <si>
    <t>Strong seismic scatterers near the core-mantle boundary north of the Pacific Anomaly</t>
  </si>
  <si>
    <t>PHYSICS OF THE EARTH AND PLANETARY INTERIORS</t>
  </si>
  <si>
    <t>Seismic scatterers; PKP precursor; Subducted slabs; Lateral heterogeneities; Core-mantle boundary</t>
  </si>
  <si>
    <t>SUBDUCTED OCEANIC-CRUST; LOW VELOCITY ZONES; EARTHS INNER-CORE; WAVE SCATTERING; DEEP EARTH; ATTENUATION STRUCTURES; MULTIPLE-SCATTERING; PKP PRECURSORS; BENEATH; HETEROGENEITY</t>
  </si>
  <si>
    <t>Tomographic images have shown that there are clear high-velocity heterogeneities to the north of the Pacific Anomaly near the core-mantle boundary (CMB), but the detailed structure and origin of these heterogeneities are poorly known. In this study, we analyze PKP precursors from earthquakes in the Aleutian Islands and Kamchatka Peninsula recorded by seismic arrays in Antarctica, and find that these heterogeneities extend similar to 400 km above the CMB and are distributed between 30 degrees and 45 degrees N in latitude. The scatterers show the largest P-wave velocity perturbation of 1.0-1.2% in the center (160-180 degrees E) and similar to 0.5% to the west and east (140-160 degrees E, 180-200 degrees E). ScS-S differential travel-time residuals reveal similar features. We suggest that these seismic scatterers are the remnants of ancient subducted slab material. The lateral variations may be caused either by different slabs, or by variations in slab composition resulting from their segregation process. (C) 2016 Elsevier B.V. All rights reserved.</t>
  </si>
  <si>
    <t>[Ma, Xiaolong; Sun, Xinlei] Chinese Acad Sci, Guangzhou Inst Geochem, State Key Lab Isotope Geochem, Guangzhou 510640, Guangdong, Peoples R China; [Ma, Xiaolong] Univ Chinese Acad Sci, Beijing 10069, Peoples R China; [Sun, Xinlei; Wiens, Douglas A.] Washington Univ, Dept Earth &amp; Planetary Sci, St Louis, MO 63130 USA; [Wen, Lianxing] SUNY Stony Brook, Dept Geosci, Stony Brook, NY USA; [Wen, Lianxing] Univ Sci &amp; Technol China, Dept Earth &amp; Space Sci, Hefei, Peoples R China; [Nyblade, Andrew; Anandakrishnan, Sridhar] Penn State Univ, Dept Geosci, University Pk, PA 16802 USA; [Aster, Rick] Colorado State Univ, Dept Geosci, Ft Collins, CO 80523 USA; [Huerta, Audrey] Cent Washington Univ, Dept Geol Sci, Washington, DC USA; [Wilson, Terry] Ohio State Univ, Dept Geol Sci, Columbus, OH 43210 USA</t>
  </si>
  <si>
    <t>Chinese Academy of Sciences; Guangzhou Institute of Geochemistry, CAS; Chinese Academy of Sciences; University of Chinese Academy of Sciences, CAS; Washington University (WUSTL); State University of New York (SUNY) System; State University of New York (SUNY) Stony Brook; Chinese Academy of Sciences; University of Science &amp; Technology of China, CAS; Pennsylvania Commonwealth System of Higher Education (PCSHE); Pennsylvania State University; Pennsylvania State University - University Park; Colorado State University; University System of Ohio; Ohio State University</t>
  </si>
  <si>
    <t>Sun, XL (corresponding author), Chinese Acad Sci, Guangzhou Inst Geochem, State Key Lab Isotope Geochem, Guangzhou 510640, Guangdong, Peoples R China.</t>
  </si>
  <si>
    <t>xsun@gig.ac.cn</t>
  </si>
  <si>
    <t>Huerta, Audrey D/A-8680-2009; Ma, Xiaolong/ABC-9088-2021; Anandakrishnan, Sridhar/JCN-5026-2023; Aster, Richard/E-5067-2013; Wiens, Douglas/J-9259-2016</t>
  </si>
  <si>
    <t>Ma, Xiaolong/0000-0003-3275-1346; Aster, Richard/0000-0002-0821-4906; Wen, Lianxing/0000-0002-5344-6212; Wiens, Douglas/0000-0002-5169-4386; Huerta, Audrey/0000-0002-0252-8496</t>
  </si>
  <si>
    <t>China National Science Foundation [41274057, 41330209]; 973 project of Ministry of Science and Technology of China [2014CB845901]; National Science Foundation of United States [ANT-0537597, ANT-0632209, ANT-0838934]; IRIS Data Services [EAR-1261681]; Directorate For Geosciences; Office of Polar Programs (OPP) [1246712] Funding Source: National Science Foundation; Directorate For Geosciences; Office of Polar Programs (OPP) [1246776, 1249631, 1419268] Funding Source: National Science Foundation</t>
  </si>
  <si>
    <t>China National Science Foundation(National Natural Science Foundation of China (NSFC)); 973 project of Ministry of Science and Technology of China(National Basic Research Program of China); National Science Foundation of United States(National Science Foundation (NSF)); IRIS Data Services; Directorate For Geosciences; Office of Polar Programs (OPP)(National Science Foundation (NSF)NSF - Directorate for Geosciences (GEO)); Directorate For Geosciences; Office of Polar Programs (OPP)(National Science Foundation (NSF)NSF - Directorate for Geosciences (GEO))</t>
  </si>
  <si>
    <t>We would like to thank V.F. Cormier and another reviewer for their constructive comments/suggestions, which have greatly improved the quality of the manuscript. We also thank N.J. Mancinelli and P.M. Shearer for providing us the phonon code generously. X. Ma and X. Sun are supported by China National Science Foundation (No. 41274057) and the 973 project of Ministry of Science and Technology of China (2014CB845901), and China National Science Foundation (No. 41330209). The Antarctic seismic data were collected with the support of the National Science Foundation of United States under grants ANT-0537597, ANT-0632209, and ANT-0838934. Figures are made using Generic Mapping Tools (Wessel and Smith, 1995). The facilities of IRIS Data Services, and specifically the IRIS Data Management Center, were used for access to waveforms, related metadata, and/or derived products used in this study. IRIS Data Services are funded through the Seismological Facilities for the Advancement of Geoscience and EarthScope (SAGE) Proposal of the National Science Foundation under Cooperative Agreement EAR-1261681. This is a contribution to No. IS-2188 of GIGCAS.</t>
  </si>
  <si>
    <t>0031-9201</t>
  </si>
  <si>
    <t>1872-7395</t>
  </si>
  <si>
    <t>PHYS EARTH PLANET IN</t>
  </si>
  <si>
    <t>Phys. Earth Planet. Inter.</t>
  </si>
  <si>
    <t>10.1016/j.pepi.2016.01.007</t>
  </si>
  <si>
    <t>DJ3BX</t>
  </si>
  <si>
    <t>WOS:000374080900003</t>
  </si>
  <si>
    <t>Yao, Y; Huang, JB; Luo, Y; Zhao, ZC</t>
  </si>
  <si>
    <t>Yao, Yao; Huang, Jianbin; Luo, Yong; Zhao, Zongci</t>
  </si>
  <si>
    <t>An upgraded scheme of surface physics for Antarctic ice sheet and its implementation in the WRF model</t>
  </si>
  <si>
    <t>SCIENCE BULLETIN</t>
  </si>
  <si>
    <t>Regional climate model; Antarctica; Surface temperature; Ice sheet</t>
  </si>
  <si>
    <t>SCALAR TRANSFER-COEFFICIENTS; ENERGY BALANCE; SEA-ICE; SNOW; SIMULATION; HEAT; PRECIPITATION; TEMPERATURES; PERFORMANCE; REANALYSES</t>
  </si>
  <si>
    <t>Regional climate models often lack detailed description of ice sheet surface and, as a result, are limited in their capability to provide useful information for Antarctic climate research and field campaigns. In this study, an upgraded scheme of surface physics for Antarctic ice sheet (IST) is developed to improve the surface temperature simulations in Antarctica. Through stand-alone simulations, IST shows advantages over the Noah glacial module, a commonly utilized scheme in the widely used Weather Research and Forecasting (WRF) model. These improvements are mainly attributed to the incorporation of detailed snow physics and optimized surface layer parameterization, which results in better simulations of both the surface albedo in summer and the turbulent sensible heat flux in winter. When coupled with IST instead of Noah, WRF models show improved simulation of surface temperatures throughout the year. The bias and root-meansquare-error of annual mean surface temperatures are reduced from 5.7 and 6.0 to 0.2 and 2.7 K.</t>
  </si>
  <si>
    <t>[Yao, Yao; Huang, Jianbin; Luo, Yong; Zhao, Zongci] Tsinghua Univ, Minist Educ, Key Lab Earth Syst Modeling, Ctr Earth Syst Sci, Beijing 100084, Peoples R China; [Yao, Yao; Huang, Jianbin; Luo, Yong; Zhao, Zongci] Tsinghua Univ, Joint Ctr Global Change Studies, Beijing 100084, Peoples R China</t>
  </si>
  <si>
    <t>Tsinghua University; Tsinghua University</t>
  </si>
  <si>
    <t>Huang, JB (corresponding author), Tsinghua Univ, Minist Educ, Key Lab Earth Syst Modeling, Ctr Earth Syst Sci, Beijing 100084, Peoples R China.;Huang, JB (corresponding author), Tsinghua Univ, Joint Ctr Global Change Studies, Beijing 100084, Peoples R China.</t>
  </si>
  <si>
    <t>jbh@tsinghua.edu.cn</t>
  </si>
  <si>
    <t>Huang, Jianbin/AAP-5941-2020</t>
  </si>
  <si>
    <t>National Basic Research Program of China [2013CBA01805]; National Natural Science Foundation for Young Scientists of China [41305054]; Tsinghua University Initiative Scientific Research Program [20131089356]</t>
  </si>
  <si>
    <t>National Basic Research Program of China(National Basic Research Program of China); National Natural Science Foundation for Young Scientists of China(National Natural Science Foundation of China (NSFC)); Tsinghua University Initiative Scientific Research Program</t>
  </si>
  <si>
    <t>We thank Bin Wang, Lingen Bian, Daoyi Gong, Ying Xu and Yanluan Lin for providing suggestions during the preparation of the paper. This work is supported by the National Basic Research Program of China (2013CBA01805), the National Natural Science Foundation for Young Scientists of China (41305054), and Tsinghua University Initiative Scientific Research Program (20131089356). Our work is completed on the Explorer 100 cluster system of Tsinghua National Laboratory for Information Science and Technology.</t>
  </si>
  <si>
    <t>2095-9273</t>
  </si>
  <si>
    <t>2095-9281</t>
  </si>
  <si>
    <t>SCI BULL</t>
  </si>
  <si>
    <t>Sci. Bull.</t>
  </si>
  <si>
    <t>10.1007/s11434-016-1029-7</t>
  </si>
  <si>
    <t>DJ3IQ</t>
  </si>
  <si>
    <t>WOS:000374098600008</t>
  </si>
  <si>
    <t>Wu, ZX; Bai, H; Cui, XQ</t>
  </si>
  <si>
    <t>Wu, Zhixu; Bai, Hua; Cui, Xiangqun</t>
  </si>
  <si>
    <t>Curvature wavefront sensing based on a single defocused image and intensity compensation</t>
  </si>
  <si>
    <t>APPLIED OPTICS</t>
  </si>
  <si>
    <t>PHASE-RETRIEVAL ALGORITHMS; SYSTEM; RECONSTRUCTION; OPTICS</t>
  </si>
  <si>
    <t>Curvature wavefront sensing usually requires the measurement of two defocused images at equal distances before and after the focus. In this paper, a new wavefront recovery algorithm based on only one defocused image is proposed. This algorithm contains the following four steps: response matrix calculation, establishment of intensity distribution equations, Zernike coefficients solution derived from the least squares method, and defocused image compensation with the solved Zernike coefficients. The performance of the algorithm in a large obscuration ratio and fast focal ratio optical system on axis and the edge of the field of view (FOV) is examined. Two optical systems of the Hubble telescope and a modified Paul-Baker telescope are employed to test the algorithm. The simulations show that the proposed algorithm outperforms in structural simplicity, and applications are expected in the wavefront recovery of the extreme environment (i.e., in space and the Antarctic). (C) 2016 Optical Society of America</t>
  </si>
  <si>
    <t>[Wu, Zhixu] Nanchang Univ, Nanchang 330031, Peoples R China; [Wu, Zhixu; Bai, Hua; Cui, Xiangqun] Chinese Acad Sci, Natl Astron Observ, Nanjing Inst Astron Opt &amp; Technol, Nanjing 210042, Jiangsu, Peoples R China; [Wu, Zhixu; Bai, Hua; Cui, Xiangqun] Chinese Acad Sci, Nanjing Inst Astron Opt &amp; Technol, Key Lab Astron Opt &amp; Technol, Nanjing 210042, Jiangsu, Peoples R China; [Wu, Zhixu] Univ Chinese Acad Sci, Beijing 100049, Peoples R China</t>
  </si>
  <si>
    <t>Nanchang University; Chinese Academy of Sciences; Nanjing Institute of Astronomical Optics &amp; Technology, NAOC, CAS; National Astronomical Observatory, CAS; Chinese Academy of Sciences; Nanjing Institute of Astronomical Optics &amp; Technology, NAOC, CAS; Chinese Academy of Sciences; University of Chinese Academy of Sciences, CAS</t>
  </si>
  <si>
    <t>Bai, H (corresponding author), Chinese Acad Sci, Natl Astron Observ, Nanjing Inst Astron Opt &amp; Technol, Nanjing 210042, Jiangsu, Peoples R China.;Bai, H (corresponding author), Chinese Acad Sci, Nanjing Inst Astron Opt &amp; Technol, Key Lab Astron Opt &amp; Technol, Nanjing 210042, Jiangsu, Peoples R China.</t>
  </si>
  <si>
    <t>hbai@niaot.ac.cn</t>
  </si>
  <si>
    <t>National Natural Science Foundation of China (NSFC) [11103048, 11273038, 11190013]</t>
  </si>
  <si>
    <t>National Natural Science Foundation of China (NSFC)(National Natural Science Foundation of China (NSFC))</t>
  </si>
  <si>
    <t>National Natural Science Foundation of China (NSFC) (11103048, 11273038, 11190013).</t>
  </si>
  <si>
    <t>OPTICAL SOC AMER</t>
  </si>
  <si>
    <t>2010 MASSACHUSETTS AVE NW, WASHINGTON, DC 20036 USA</t>
  </si>
  <si>
    <t>1559-128X</t>
  </si>
  <si>
    <t>2155-3165</t>
  </si>
  <si>
    <t>APPL OPTICS</t>
  </si>
  <si>
    <t>Appl. Optics</t>
  </si>
  <si>
    <t>10.1364/AO.55.002791</t>
  </si>
  <si>
    <t>Optics</t>
  </si>
  <si>
    <t>DI3LS</t>
  </si>
  <si>
    <t>WOS:000373400800042</t>
  </si>
  <si>
    <t>Peña, M; Calise, L</t>
  </si>
  <si>
    <t>Pena, M.; Calise, L.</t>
  </si>
  <si>
    <t>Use of SDWBA predictions for acoustic volume backscattering and the Self-Organizing Map to discern frequencies identifying Meganyctiphanes norvegica from mesopelagic fish species</t>
  </si>
  <si>
    <t>Krill; Meganyctiphanes norvegica; MVBS; Identification; Bristlemouths; Lanternfishes; Self-Organizing Map</t>
  </si>
  <si>
    <t>KRILL EUPHAUSIA-SUPERBA; SOUTH SHETLAND ISLANDS; TARGET STRENGTH MEASUREMENTS; ANTARCTIC KRILL; SOUND-SCATTERING; 120 KHZ; BIOMASS DENSITY; BROAD-BANDWIDTH; ELEPHANT ISLAND; BERING-SEA</t>
  </si>
  <si>
    <t>To acoustically assess the biomass of multiple species or taxa within a survey region, the volume backscatter data should be apportioned to the constituent sound scatterers. Typically, measured back scatter is attributed to certain species using predictions at different frequencies, mostly based on the difference in scattering at the frequencies of 38 and 120 kHz (dual frequency method). We used the full version of the stochastic distortedwave Born approximation (SDWBA) model to predict backscatter spectra for Meganyctiphanes norvegica and to explore the sensitivities of Delta MVBS to the model parameters, e.g. acoustic frequency and incidence angle, and animal density and sound speed contrast, length, and shape. The orientation is almost the unique parameter responsible for variation, with fatness affecting longer lengths. We present a summary of Delta MVBS that can serve as the basis for identification algorithms. Next, we simulate the scenario encountered in the Balearic Sea (western Mediterranean) where Northern krill are mixed with mesopelagic fish species (bristlemouths and lanternfishes), which are modeled with a prolate spheroid model. Simulated numerical data are employed to emulate the discrimination process with the most common identification techniques and typical survey frequencies. The importance of using density-independent techniques for acoustic classification is highlighted. Finally, an unsupervised neural network, the Self-Organizing Map (SOM), is used to cluster these theoretical data and identify the frequencies that provide, in this case, the most classification potential. The simulation results confirm that pairs of frequencies spanning the Rayleigh and geometric scattering regimes of the targets are the most useful for clustering; a minimum of four frequencies are necessary to separate the three species, while three frequencies are able to differentiate krill from mesopelagic fish species. (C) 2016 Elsevier Ltd. All rights reserved.</t>
  </si>
  <si>
    <t>[Pena, M.] Inst Espanol Oceanog, Palma De Mallorca, Spain; [Calise, L.] Inst Marine Res, POB 1870, N-5024 Bergen, Norway</t>
  </si>
  <si>
    <t>Spanish Institute of Oceanography; Institute of Marine Research - Norway</t>
  </si>
  <si>
    <t>Peña, M (corresponding author), Inst Espanol Oceanog, Palma De Mallorca, Spain.</t>
  </si>
  <si>
    <t>marian.pena@ba.ieo.es</t>
  </si>
  <si>
    <t>Peña, Marian/HKN-2290-2023</t>
  </si>
  <si>
    <t>Peña, Marian/0000-0002-9000-1060</t>
  </si>
  <si>
    <t>project Migrants and Active Flux In the Atlantic Ocean (MAFIA) [CTM2012-39587-C04-03]</t>
  </si>
  <si>
    <t>project Migrants and Active Flux In the Atlantic Ocean (MAFIA)</t>
  </si>
  <si>
    <t>We thank the support received from the project Migrants and Active Flux In the Atlantic Ocean (MAFIA; CTM2012-39587-C04-03), competitive project of the Spanish Government R+D+I (Research + Development + Innovation) National Plan.</t>
  </si>
  <si>
    <t>10.1016/j.dsr.2016.01.006</t>
  </si>
  <si>
    <t>DI5MY</t>
  </si>
  <si>
    <t>WOS:000373544500004</t>
  </si>
  <si>
    <t>Meilland, J; Fabri-Ruiz, S; Koubbi, P; Lo Monaco, C; Cotte, C; Hosie, GW; Sanchez, S; Howa, H</t>
  </si>
  <si>
    <t>Meilland, Julie; Fabri-Ruiz, Salome; Koubbi, Philippe; Lo Monaco, Claire; Cotte, Cedric; Hosie, Graham W.; Sanchez, Sophie; Howa, Helene</t>
  </si>
  <si>
    <t>Planktonic foraminiferal biogeography in the Indian sector of the Southern Ocean: Contribution from CPR data</t>
  </si>
  <si>
    <t>Specific assemblages; Upper mixed layer; Chlorophyll a; Primary production; Kerguelen Plateau; Crozet Islands</t>
  </si>
  <si>
    <t>NATURAL IRON-FERTILIZATION; ZOOPLANKTON DISTRIBUTION PATTERNS; SURFACE-TEMPERATURE; PHYTOPLANKTON BLOOM; KERGUELEN ISLANDS; DISSOLVED IRON; CROZET PLATEAU; AUSTRAL SUMMER; POLAR FRONT; RECORDER</t>
  </si>
  <si>
    <t>Within the framework of the Scientific Committee on Antarctic Research (SCAR) Southern Ocean-Continuous Plankton Recorder (SO-CPR) Survey, the oceanic regions around Crozet and Kerguelen Islands were investigated in February-March 2013. Living planktonic Foraminifera (LPF) were collected in the upper mixed layer with a CPR along a 2160 nautical mile sea transect that crossed main hydrological fronts in the Indian sector of the Southern Ocean. In the SO-CPR database, mean total abundances of Foraminifera occurring during late austral summer are highly variable at an inter-annual scale, from 10 to 250 ind.m(-3), representing 10-40% of the total zooplankton abundance, respectively. In the Southern Ocean, major inter-annual changes in zooplankton community structure were already reported. In this study, we describe the large scale distributional pattern of individual planktonic foraminiferal species living in near-surface waters of the Indian sector of the Southern Ocean, and we attempt to explain why major spatial variability in relative species abundances occurs during a late austral summer. In February-March 2013, LPF total abundances recorded between 42.86 degrees S and 56.42 degrees S ranged from 0 to a maximum of 258 ind.m(-3). In the Open Ocean Zone, the LPF community was composed of four major species (Globigerinita uvula, Neogloboquadrina pachyderma, Neogloboquadrina incompta, Globigerina bulloides). Generally, LPF total abundances are supposed to mirror primary production induced by hydrological fronts or induced by topography near Crozet and Kerguelen Islands. However, during late austral summer 2013, high foraminiferal abundances in the upper mixed layer did not always match the pattern of near-surface primary production (high Chl-a concentration areas delineated from satellite imagery). Low LPF standing stocks in late austral summer in the Southern Ocean contrasted with the presence of high densities of heavily silicified diatoms. This suggests that the late bloom production is not a suitable resource for planktonic Foraminifera. Consequently, LPF regional distribution in the upper mixed layer cannot be directly reconstructed from Chl-a concentration maps derived from satellite imagery. Knowledge of phytoplankton community composition is needed to understand the impact of primary production on foraminiferal population dynamics. Our results also emphasize that the polar/subpolar foraminiferal assemblages are characterized by high abundances of G. uvula in the iron-enriched waters surrounding the French Sub-Antarctic Islands. This species might react either to coastal or late summer production in high latitudes. (C) 2016 Elsevier Ltd. All rights reserved.</t>
  </si>
  <si>
    <t>[Meilland, Julie; Sanchez, Sophie; Howa, Helene] Univ Angers, UMR CNRS 6112, LPG BIAF, Bioindicateurs Actuels &amp; Fossiles, 2 Blvd Lavoisier, F-49045 Angers, France; [Fabri-Ruiz, Salome; Koubbi, Philippe] Univ Paris 06, Biol Organismes &amp; Ecosyst Aquat, UMR CNRS 7208, BOREA,Museum Natl Hist Nat,Sorbonne Univ, 57 Rue Cuvier, F-75005 Paris, France; [Lo Monaco, Claire; Cotte, Cedric] Univ Paris 06, CNRS IRD MNHN, LOCEAN Lab, Sorbonne Univ, 4 Pl Jussieu, F-75005 Paris, France; [Hosie, Graham W.] SCAR Life Sci, Australian Antarct Div, Dept Environm, 203 Channel Highwa, Kingston, Tas 7050, Australia</t>
  </si>
  <si>
    <t>Universite d'Angers; Centre National de la Recherche Scientifique (CNRS); Centre National de la Recherche Scientifique (CNRS); Institut de Recherche pour le Developpement (IRD); Museum National d'Histoire Naturelle (MNHN); Sorbonne Universite; Institut de Recherche pour le Developpement (IRD); Museum National d'Histoire Naturelle (MNHN); Sorbonne Universite; Australian Antarctic Division</t>
  </si>
  <si>
    <t>Howa, H (corresponding author), Univ Angers, UMR CNRS 6112, LPG BIAF, Bioindicateurs Actuels &amp; Fossiles, 2 Blvd Lavoisier, F-49045 Angers, France.</t>
  </si>
  <si>
    <t>helene.howa@univ-angers.fr</t>
  </si>
  <si>
    <t>Cotte, Cedric/C-3296-2013; Koubbi, Philippe/D-5873-2015; Meilland, Julie/AAE-9031-2021; Monaco, Claire Lo/E-1696-2012; Cotté, Cédric/AAX-6120-2021; Cotté, Cédric/Z-3243-2019</t>
  </si>
  <si>
    <t>Meilland, Julie/0000-0001-8966-3115; Cotté, Cédric/0000-0002-8307-6435; Cotté, Cédric/0000-0002-8307-6435</t>
  </si>
  <si>
    <t>CNRS; NSU (LEFE-CYBER SOforCO2) [AO2013-765773]; IPSL; French Ministere des Outre-mer; European Project CAR-BOCHANGE [264879]; Regional government TAAF; Reserve Naturelle National des Terres Australes Francaises</t>
  </si>
  <si>
    <t>CNRS(Centre National de la Recherche Scientifique (CNRS)); NSU (LEFE-CYBER SOforCO2); IPSL; French Ministere des Outre-mer; European Project CAR-BOCHANGE; Regional government TAAF; Reserve Naturelle National des Terres Australes Francaises</t>
  </si>
  <si>
    <t>We are grateful to the captain and crew of R/V Marion Dufresne, chartered by IPEV-French Polar Institute Paul Emile Victor, as well as all participants to the MD193-LOGIPEV cruise. This work was funded by CNRS, INSU (LEFE-CYBER SOforCO2 project, grant number AO2013-765773), IPSL (OISO program, O.R.E. CARAUS), and the French Ministere des Outre-mer (RECEPT program) for the CPR acquisition. This research profits also from the support of GACS, the SCAR SO-CPR Survey and the European Project CAR-BOCHANGE (grant number 264879). We thank the Regional government TAAF for support through the AAMP Ecoregionalization project. The fellowship of SalomeFabri-Ruiz was funded by the Reserve Naturelle National des Terres Australes Francaises (courtesy Cedric Marteau). Many thanks to John Kitchener and Lance Gregory for their help in the implementation of the CPR. Finally, we thank R. Morard and the two other anonymous reviewers who provided very helpful reviews.</t>
  </si>
  <si>
    <t>10.1016/j.dsr.2015.12.014</t>
  </si>
  <si>
    <t>WOS:000373544500006</t>
  </si>
  <si>
    <t>Lecomte, KL; Vignoni, PA; Córdoba, FE; Chaparro, MAE; Chaparro, MAE; Kopalová, K; Gargiulo, JD; Lirio, JM; Irurzun, MA; Böhnel, HN</t>
  </si>
  <si>
    <t>Lecomte, Karina L.; Vignoni, Paula A.; Cordoba, Francisco E.; Chaparro, Marcos A. E.; Chaparro, Mauro A. E.; Kopalova, Katerina; Gargiulo, Jose D.; Lirio, Juan M.; Irurzun, Maria A.; Boehnel, Harald N.</t>
  </si>
  <si>
    <t>Hydrological systems from the Antarctic Peninsula under climate change: James Ross archipelago as study case</t>
  </si>
  <si>
    <t>ENVIRONMENTAL EARTH SCIENCES</t>
  </si>
  <si>
    <t>Freshwater ecosystems; Limnology; Sediment; Geochemistry; Magnetism; Antarctic Peninsula</t>
  </si>
  <si>
    <t>METAL CONTAMINATION; ICE-SHELF; ISLAND; SEDIMENTS; PONDS; MELTWATER; DRAINAGE; GLACIER; STATION; DIATOMS</t>
  </si>
  <si>
    <t>Hydrological systems of the ice-free areas of the James Ross archipelago (NE Antarctic Peninsula) provide a unique opportunity for studying recent environmental changes associated with the current Global Warming. Geochemical, hydrological, sedimentological, and magnetic studies were carried out on different lake systems and ephemeral ponds from post-Holocene periglacial environments to characterize their natural variability. Significant differences between the lakes were observed based on physicochemical analyses, and can be attributed to several characteristics and processes taking place (geochemical, diagenetic, biological, etc.) in individual lake catchments. Seymour-Marambio Island's lakes exhibit high total dissolved solids (similar to 3.300 mg L-1) due to the high rate of evaporation in the region, whereas trace elements show differences in the lithological source. Lakes from Vega and James Ross islands are comparatively diluted, with the highest pH values up to 10.2. Within Vega Island, trace elements discriminate lakes into sectors which show statistical differences due to variations in lithological sources. Dissolved sources can be divided according to their kinetics into: high-rate processes which occur during summer months (evaporation, salt precipitation, atmospheric precipitation, melting processes) and low-rate processes (mineral weathering, giving a long-term signature). The present multidisciplinary study contributes to a better understanding of Antarctic lake systems, and can be used as a baseline dataset for further studies investigating the impact of recent climate changes on the biological and geochemical characteristics of these pristine ecosystems in the future.</t>
  </si>
  <si>
    <t>[Lecomte, Karina L.] Univ Nacl Cordoba, CONICET, Ctr Invest Ciencias Tierra CICTERRA, Av Velez Sarsfield 1611,X5016CGA, RA-5000 Cordoba, Argentina; [Vignoni, Paula A.] Univ Nacl Cordoba, Fac Ciencias Exactas Fis &amp; Nat, Av Velez Sarsfield 1611,X5016CGA, RA-5000 Cordoba, Argentina; [Cordoba, Francisco E.] Univ Nacl Jujuy, Inst Geol &amp; Min, Ctr Invest &amp; Transferencia Jujuy CIT, Jujuy CONICET, Av Bolivia 1661, San Salvador De Jujuy, Argentina; [Chaparro, Marcos A. E.; Gargiulo, Jose D.; Irurzun, Maria A.] CONICET UNCPBA, Ctr Invest Fis &amp; Ingn, Ctr Prov Buenos Aires CIFICEN, Pinto 399, RA-7000 Tandil, Argentina; [Chaparro, Mauro A. E.] Fac Ciencias Exactas &amp; Nat UNMDP, Dept Matemat, Mar Del Plata, Buenos Aires, Argentina; [Kopalova, Katerina] Charles Univ Prague, Fac Sci, Dept Ecol, Vinicna 7, CR-12844 Prague 2, Czech Republic; [Gargiulo, Jose D.; Lirio, Juan M.] Inst Antartico Argentino, Campus Migeletes,Ave Mayo 1143, RA-1650 San Mariin, Pcia De Buenos, Argentina; [Boehnel, Harald N.] Ctr Geociencias UNAM, Blvd Juriquilla 3001, Santiago De Queretaro 76230, Queretaro, Mexico</t>
  </si>
  <si>
    <t>Consejo Nacional de Investigaciones Cientificas y Tecnicas (CONICET); National University of Cordoba; National University of Cordoba; Charles University Prague; Instituto Antartico Argentino</t>
  </si>
  <si>
    <t>Lecomte, KL (corresponding author), Univ Nacl Cordoba, CONICET, Ctr Invest Ciencias Tierra CICTERRA, Av Velez Sarsfield 1611,X5016CGA, RA-5000 Cordoba, Argentina.</t>
  </si>
  <si>
    <t>karina.lecomte@unc.edu.ar</t>
  </si>
  <si>
    <t>Lecomte, Karina/KHD-3796-2024; Chaparro, Marcos A.E./O-9042-2019; Kopalova, Katerina/M-6207-2017</t>
  </si>
  <si>
    <t>Chaparro, Marcos A.E./0000-0003-2832-2151; Bohnel, Harald/0000-0002-3833-225X; Irurzun, Alicia/0000-0002-4013-7808; Kopalova, Katerina/0000-0002-7905-4268; Gargiulo, Jose Daniel/0000-0002-8285-3634; Chaparro, Mauro A.E./0009-0005-5983-8398; Cordoba, Francisco E./0000-0001-8341-4951; LECOMTE, KARINA LETICIA/0000-0001-6901-0918</t>
  </si>
  <si>
    <t>UNCPBA; UNC; UNAM; DNA; CONICET; ANPCYT [PICTO-2010-0096]; long-term research development project RVO [67985939]</t>
  </si>
  <si>
    <t>UNCPBA; UNC; UNAM(Universidad Nacional Autonoma de Mexico); DNA; CONICET(Consejo Nacional de Investigaciones Cientificas y Tecnicas (CONICET)); ANPCYT(ANPCyT); long-term research development project RVO(Netherlands Enterprise Agency (RVO))</t>
  </si>
  <si>
    <t>The authors wish to thank the UNCPBA, UNC, UNAM, DNA, and CONICET for their financial support. This contribution was supported by the ANPCYT project PICTO-2010-0096. Authors especially thank Ing. J. Escalante from UNAM (Mexico). This study was supported as a long-term research development project RVO no. 67985939. Many thanks to Tyler J. Kohler for the English proof reading and two anonymous reviewers for their comments which improved the manuscript.</t>
  </si>
  <si>
    <t>1866-6280</t>
  </si>
  <si>
    <t>1866-6299</t>
  </si>
  <si>
    <t>ENVIRON EARTH SCI</t>
  </si>
  <si>
    <t>Environ. Earth Sci.</t>
  </si>
  <si>
    <t>10.1007/s12665-016-5406-y</t>
  </si>
  <si>
    <t>Environmental Sciences; Geosciences, Multidisciplinary; Water Resources</t>
  </si>
  <si>
    <t>Environmental Sciences &amp; Ecology; Geology; Water Resources</t>
  </si>
  <si>
    <t>DI6UJ</t>
  </si>
  <si>
    <t>WOS:000373635400082</t>
  </si>
  <si>
    <t>Wasley, J; Mooney, TJ; King, CK</t>
  </si>
  <si>
    <t>Wasley, Jane; Mooney, Thomas J.; King, Catherine K.</t>
  </si>
  <si>
    <t>Soil invertebrate community change over fuel-contaminated sites on a subantarctic island: An ecological field-based line of evidence for site risk assessment</t>
  </si>
  <si>
    <t>INTEGRATED ENVIRONMENTAL ASSESSMENT AND MANAGEMENT</t>
  </si>
  <si>
    <t>Collembola; contaminants; hydrocarbon; toxicity; Macquarie Island</t>
  </si>
  <si>
    <t>DIESEL FUEL; TOXICITY; COLLEMBOLA; HYDROCARBONS; DIVERSITY</t>
  </si>
  <si>
    <t>A number of fuel spills, of both recent and historic origins, have occurred on World Heritage-listed subantarctic Macquarie Island. Sites contaminated by mainly diesel fuels are undergoing remediation by the Australian Antarctic Division. The risks posed by these sites are being managed using a weight of evidence approach, for which this study provides a preliminary line of evidence for the ecological assessment component of this site management decision framework. This knowledge is pertinent, given the absence of environmental guidelines for fuel contaminants in subantarctic ecosystems. We provide a field-based, site-specific ecological risk assessment for soil invertebrate communities across the fuel spill sites, before the commencement of in situ remediation activities. Springtails (Collembola) were the most abundant taxa. Springtail community patterns showed only limited correlations with the level of fuel contamination at the soil surface, even when elevated levels occurred in the substratum layers. Of the environmental variables measured, community patterns were most strongly correlated with vegetation cover. We identify a suite of 6 species that contribute most to the community dynamics across these sites. A subset of these we propose as useful candidates for future development of single-species toxicity tests: Folsomotoma punctata, Cryptopygus caecus, Cryptopygus antarcticus and Parisotoma insularis. Findings from this study advance our understanding of soil invertebrate community dynamics within these contaminated sites, directly contributing to the improved management and restoration of the sites. Not only does this study provide an important line of evidence for the island's ecological risk assessment for fuel contaminants, it also enhances our understanding of the potential impact of fuels at other subantarctic islands. Integr Environ Assess Manag 2016;12:306-314. (c) 2015 SETAC</t>
  </si>
  <si>
    <t>[Wasley, Jane; King, Catherine K.] Australian Antarctic Div, Antarctic Conservat &amp; Management, Kingston, Tas, Australia; [Mooney, Thomas J.] ERISS, Eaton, Australia</t>
  </si>
  <si>
    <t>Australian Antarctic Division</t>
  </si>
  <si>
    <t>Wasley, J (corresponding author), Australian Antarctic Div, Antarctic Conservat &amp; Management, Kingston, Tas, Australia.</t>
  </si>
  <si>
    <t>jane.wasley@aad.gov.au</t>
  </si>
  <si>
    <t>King, Catherine K/G-7059-2017; Wasley, Jane/KHX-4880-2024</t>
  </si>
  <si>
    <t>King, Catherine K/0000-0003-3356-0381; Wasley, Jane/0000-0001-9379-664X; Mooney, Thomas/0000-0002-9217-6382</t>
  </si>
  <si>
    <t>Australian Government through Australian Antarctic Science (AAS) [2933, 1163]</t>
  </si>
  <si>
    <t>Australian Government through Australian Antarctic Science (AAS)(Australian Government)</t>
  </si>
  <si>
    <t>Funding for this work was provided by the Australian Government through Australian Antarctic Science (AAS) grants 2933 (C King) and 1163 (I Snape). Field and laboratory support was provided by AAD staff and the 2007/8 Macquarie Island remediation team: Susan Ferguson, Greg Hince, Andrew Pond, Erika Heiden, Ben Kefford, Margaret Lindsay, and Scott Stark. Verification of springtail taxonomy was provided by Penny Greenslade. Contaminated site maps in Figure 1 were produced by Dan Wilkins and David Smith. Tania Raymond provided useful comments on a previous version of this manuscript, significantly improving the structure of this published version.</t>
  </si>
  <si>
    <t>1551-3777</t>
  </si>
  <si>
    <t>1551-3793</t>
  </si>
  <si>
    <t>INTEGR ENVIRON ASSES</t>
  </si>
  <si>
    <t>Integr. Environ. Assess. Manag.</t>
  </si>
  <si>
    <t>10.1002/ieam.1674</t>
  </si>
  <si>
    <t>Environmental Sciences; Toxicology</t>
  </si>
  <si>
    <t>Environmental Sciences &amp; Ecology; Toxicology</t>
  </si>
  <si>
    <t>DI3KG</t>
  </si>
  <si>
    <t>WOS:000373396900011</t>
  </si>
  <si>
    <t>Oosthuizen, WC; de Bruyn, PJN; Wege, M; Bester, MN</t>
  </si>
  <si>
    <t>Oosthuizen, W. Chris; de Bruyn, P. J. Nico; Wege, Mia; Bester, Marthan N.</t>
  </si>
  <si>
    <t>Geographic variation in subantarctic fur seal pup growth: linkages with environmental variability and population density</t>
  </si>
  <si>
    <t>JOURNAL OF MAMMALOGY</t>
  </si>
  <si>
    <t>Arctocephalus tropicalis; body mass; Gough Island; growth rate; long term; Marion Island; otariid; quantile regression; Southern Oscillation Index; weaning mass</t>
  </si>
  <si>
    <t>ARCTOCEPHALUS-GAZELLA PUPS; NINO-SOUTHERN-OSCILLATION; CLIMATE-CHANGE; MATERNAL CHARACTERISTICS; TEMPORAL VARIATION; FOOD AVAILABILITY; SEASONAL-CHANGES; MARINE PREDATOR; ELEPHANT SEALS; TROPICALIS</t>
  </si>
  <si>
    <t>Marine predator populations are sensitive to temporal variation in prey availability, but prey dynamics are often difficult to quantify. Long-term measures of offspring growth is a useful performance attribute to gauge the potential demographic direction for such predator populations, especially where other metrics (e. g., population size estimates) are lacking. Subantarctic fur seal (Arctocephalus tropicalis) females are central place foragers during a protracted lactation period, and their foraging success determines the growth and vitality of their offspring. Using data spanning over 2 decades, we assessed geographic and temporal variation in growth rates and weaning mass of subantarctic fur seal pups at 2 of the species' principal populations (Gough and Marion islands) and identified environmental conditions that may, through assumed bottom-up mechanisms, affect body mass at weaning. While Marion Island pups grew at an average rate of between 0.040 and 0.067 kg/day early in lactation (comparable to conspecific growth at Amsterdam Island), the mean growth rate at Gough Island (approximately 0.030 kg/day) was lower than the growth rate represented by the bottom 5% of the body mass distribution at Marion Island. Notwithstanding substantial interannual variability, we found support for a negative trend in weaning mass at both populations, suggesting a rise in limiting factors that is hypothesized to relate to concurrent local population size increases. Weaning mass tended to be higher when sea surface temperatures were warmer (with a stronger positive effect at Gough Island) and during positive phases of the Southern Oscillation Index (La Nina events), with a stronger positive effect in males. Given the low weaning mass of Gough Island fur seal pups, continued population growth here seems unlikely. While density-dependent regulation appears to have increased in strength at Marion Island, terminating rapid population growth, current weaning weights remain above the physiological limits of growth in subantarctic fur seals.</t>
  </si>
  <si>
    <t>[Oosthuizen, W. Chris; de Bruyn, P. J. Nico; Wege, Mia; Bester, Marthan N.] Univ Pretoria, Dept Zool &amp; Entomol, Mammal Res Inst, Private Bag X20, ZA-0028 Hatfield, South Africa</t>
  </si>
  <si>
    <t>University of Pretoria</t>
  </si>
  <si>
    <t>Oosthuizen, WC (corresponding author), Univ Pretoria, Dept Zool &amp; Entomol, Mammal Res Inst, Private Bag X20, ZA-0028 Hatfield, South Africa.</t>
  </si>
  <si>
    <t>wcoosthuizen@zoology.up.ac.za</t>
  </si>
  <si>
    <t>Wege, Mia/B-1103-2016; Oosthuizen, W. Chris/I-2947-2016; de Bruyn, P. J. Nico/E-4176-2010; Bester, Marthán N/E-5387-2010</t>
  </si>
  <si>
    <t>Wege, Mia/0000-0002-9022-3069; Oosthuizen, W. Chris/0000-0003-2905-6297; de Bruyn, P. J. Nico/0000-0002-9114-9569;</t>
  </si>
  <si>
    <t>South African Department of Environmental Affairs (DEA); South African National Research Foundation; Hanse-Wissenschaftskolleg (Institute for Advanced Study) Fellowship in Delmenhorst, Germany</t>
  </si>
  <si>
    <t>South African Department of Environmental Affairs (DEA); South African National Research Foundation(National Research Foundation - South Africa); Hanse-Wissenschaftskolleg (Institute for Advanced Study) Fellowship in Delmenhorst, Germany</t>
  </si>
  <si>
    <t>Seal research at Marion Island is conducted as part of the South African National Antarctic Programme (SANAP) with support of the South African Department of Environmental Affairs (DEA) and the South African National Research Foundation. Logistical support at Gough Island was provided by DEA within SANAP under permit from the Tristan da Cunha Conservation Department and the kind permission of the Administrator and Island Council of Tristan da Cunha. We thank the many sealers and volunteers who collectively caught and weighed sub-antarctic fur seal pups exceeding 197 tons in total biomass. MNB benefitted from a Hanse-Wissenschaftskolleg (Institute for Advanced Study) Fellowship in Delmenhorst, Germany, during the final stages of preparing this manuscript. We thank 2 reviewers for providing constructive comments on the manuscript.</t>
  </si>
  <si>
    <t>OXFORD UNIV PRESS INC</t>
  </si>
  <si>
    <t>CARY</t>
  </si>
  <si>
    <t>JOURNALS DEPT, 2001 EVANS RD, CARY, NC 27513 USA</t>
  </si>
  <si>
    <t>0022-2372</t>
  </si>
  <si>
    <t>1545-1542</t>
  </si>
  <si>
    <t>J MAMMAL</t>
  </si>
  <si>
    <t>J. Mammal.</t>
  </si>
  <si>
    <t>10.1093/jmammal/gyv181</t>
  </si>
  <si>
    <t>DI8AI</t>
  </si>
  <si>
    <t>WOS:000373722700002</t>
  </si>
  <si>
    <t>Cuthbert, RJ; Wanless, RM; Angel, A; Burle, MH; Hilton, GM; Louw, H; Visser, P; Wilson, JW; Ryan, PG</t>
  </si>
  <si>
    <t>Cuthbert, Richard J.; Wanless, Ross M.; Angel, Andrea; Burle, Marie-Helene; Hilton, Geoff M.; Louw, Henk; Visser, Paul; Wilson, John W.; Ryan, Peter G.</t>
  </si>
  <si>
    <t>Drivers of predatory behavior and extreme size in house mice Mus musculus on Gough Island</t>
  </si>
  <si>
    <t>invasive species; island syndrome; Mus musculus; predatory behavior</t>
  </si>
  <si>
    <t>BODY-SIZE; OVERWINTER SURVIVAL; POPULATION-DYNAMICS; BURROWING PETRELS; BREEDING BIOLOGY; ATLANTIC PETREL; MOUSE PREDATION; ECOLOGY; CHICKS; REPRODUCTION</t>
  </si>
  <si>
    <t>In comparison to the mainland, populations of rodents on islands are often characterized by a suite of life history characteristics termed the island syndrome. Populations of rodents introduced to islands are also well known for their impacts on native species that have evolved in the absence of mammalian predators. We studied the ecology and behavior of introduced house mice Mus musculus on Gough Island where they are the only terrestrial mammal and where their predatory behavior is having a devastating impact on the island's burrowing petrel (order Procellariiformes) population and the Critically Endangered Tristan albatross Diomedea dabbenena. Mice on Gough exhibit extreme features of the island syndrome, including: a body mass 50-60% greater than any other island mouse population, peak densities among the highest recorded for island populations, and low seasonal variation in numbers compared to other studied islands. Seasonal patterns of breeding and survival were linked to body condition and mass, and mice in areas with high chick predation rates were able to maintain higher mass and condition during the winter when mouse mortality rates peak. Within-site patterns of chick predation indicate that proximity to neighboring predated nests and nesting densities are important factors in determining the likelihood of predation. We conclude that selection for extreme body mass and predatory behavior of mice result from enhanced overwinter survival. Small mammal populations at temperate and high latitudes are normally limited by high mortality during the winter, but on Gough Island mice avoid that by exploiting the island's abundant seabird chicks.</t>
  </si>
  <si>
    <t>[Cuthbert, Richard J.; Burle, Marie-Helene; Louw, Henk; Visser, Paul; Wilson, John W.] Royal Soc Protect Birds, RSPB Ctr Conservat Sci, Sandy SG19 2DL, Beds, England; [Wanless, Ross M.; Angel, Andrea; Burle, Marie-Helene; Louw, Henk; Visser, Paul; Wilson, John W.; Ryan, Peter G.] Univ Cape Town, DST NRF Ctr Excellence, Percy FitzPatrick Inst, ZA-7701 Rondebosch, South Africa; [Hilton, Geoff M.] Wildfowl &amp; Wetlands Trust, Slimbridge GL2 7BT, Glos, England; [Cuthbert, Richard J.] Wildlife Conservat Soc, POB 277, Goroka 441, Eastern Highlan, Papua N Guinea</t>
  </si>
  <si>
    <t>Royal Society for Protection of Birds; National Research Foundation - South Africa; University of Cape Town</t>
  </si>
  <si>
    <t>Cuthbert, RJ (corresponding author), Royal Soc Protect Birds, RSPB Ctr Conservat Sci, Sandy SG19 2DL, Beds, England.;Cuthbert, RJ (corresponding author), Wildlife Conservat Soc, POB 277, Goroka 441, Eastern Highlan, Papua N Guinea.</t>
  </si>
  <si>
    <t>richard_cuthbert@yahoo.co.uk</t>
  </si>
  <si>
    <t>Wilson, John W./E-9601-2011; Hilton, Geoff/H-3086-2017</t>
  </si>
  <si>
    <t>Wilson, John W./0000-0002-7230-1449; Hilton, Geoff/0000-0001-9062-3030</t>
  </si>
  <si>
    <t>Royal Society for the Protection of Birds (RSPB); University of Cape Town (UCT); South African Department of Environmental Affairs through the South African National Antarctic Programme; United Kingdom's Government's Overseas Territories Environment Programme (OTEP); Darwin Initiative; RSPB; UCT</t>
  </si>
  <si>
    <t>We are grateful for the support of the Tristan da Cunha Conservation Department and successive Island Administrators for permission and encouragement to undertake this work. Logistical and financial support was provided by the Royal Society for the Protection of Birds (RSPB), the University of Cape Town (UCT), and the South African Department of Environmental Affairs through the South African National Antarctic Programme. Funding was provided from the United Kingdom's Government's Overseas Territories Environment Programme (OTEP) and the Darwin Initiative, with additional support from the RSPB and UCT.</t>
  </si>
  <si>
    <t>10.1093/jmammal/gyv199</t>
  </si>
  <si>
    <t>WOS:000373722700019</t>
  </si>
  <si>
    <t>Possmayer, M; Gupta, RK; Szyszka-Mroz, B; Maxwell, DP; Lachance, MA; Hüner, NPA; Smith, DR</t>
  </si>
  <si>
    <t>Possmayer, Marc; Gupta, Rajesh K.; Szyszka-Mroz, Beth; Maxwell, Denis P.; Lachance, Marc-Andre; Huener, Norman P. A.; Smith, David Roy</t>
  </si>
  <si>
    <t>Resolving the phylogenetic relationship between Chlamydomonas sp UWO 241 and Chlamydomonas raudensis sag 49.72 (Chlorophyceae) with nuclear and plastid DNA sequences</t>
  </si>
  <si>
    <t>JOURNAL OF PHYCOLOGY</t>
  </si>
  <si>
    <t>Chlamydomonas; cold adaptation; green algal phylogeny; Lake Bonney; Psychrophile</t>
  </si>
  <si>
    <t>PSYCHROPHILIC GREEN-ALGA; ACCLIMATION; ADAPTATION; LAKE</t>
  </si>
  <si>
    <t>The Antarctic psychrophilic green alga Chlamy-domonas sp. UWO 241 is an emerging model for studying microbial adaptation to polar environments. However, little is known about its evolutionary history and its phylogenetic relationship with other chlamydomonadalean algae is equivocal. Here, we attempt to clarify the phylogenetic position of UWO 241, specifically with respect to Chlamydomonas rau-densis SAG 49.72. Contrary to a previous report, we show that UWO 241 is a distinct species from SAG 49.72. Our phylogenetic analyses of nuclear and plastid DNA sequences reveal that UWO 241 represents a unique lineage within the Moewusinia clade (sensu Nakada) of the Chlamydomonadales (Chlorophyceae, Chlorophyta), closely affiliated to the marine species Chlamydomonas parkeae SAG 24.89.</t>
  </si>
  <si>
    <t>[Possmayer, Marc; Szyszka-Mroz, Beth; Maxwell, Denis P.; Lachance, Marc-Andre; Huener, Norman P. A.; Smith, David Roy] Univ Western Ontario, Dept Biol, London, ON N6A 5B7, Canada; [Gupta, Rajesh K.] Univ Western Ontario, Dept Biochem, London, ON N6A 5C1, Canada</t>
  </si>
  <si>
    <t>Western University (University of Western Ontario); Western University (University of Western Ontario)</t>
  </si>
  <si>
    <t>Smith, DR (corresponding author), Univ Western Ontario, Dept Biol, London, ON N6A 5B7, Canada.</t>
  </si>
  <si>
    <t>dsmit242@uwo.ca</t>
  </si>
  <si>
    <t>Smith, David Roy/L-7910-2015; Smith, David Roy/AAR-1529-2020</t>
  </si>
  <si>
    <t>Smith, David Roy/0000-0001-9560-5210; Smith, David Roy/0000-0001-9560-5210</t>
  </si>
  <si>
    <t>Natural Science and Engineering Research Council of Canada Discovery grants; TATA Endowment Trust, Mumbai, India</t>
  </si>
  <si>
    <t>Natural Science and Engineering Research Council of Canada Discovery grants(Natural Sciences and Engineering Research Council of Canada (NSERC)); TATA Endowment Trust, Mumbai, India</t>
  </si>
  <si>
    <t>This work was funded by Natural Science and Engineering Research Council of Canada Discovery grants to N. Huner, D. Maxwell, M. Lachance and D. Smith. A TATA International Scholarship from the TATA Endowment Trust, Mumbai, India, supported R. Gupta. The authors acknowledge the assistance of the Integrated Microscopy @ Biotron Facility, Western University, in obtaining light microscopy images.</t>
  </si>
  <si>
    <t>0022-3646</t>
  </si>
  <si>
    <t>1529-8817</t>
  </si>
  <si>
    <t>J PHYCOL</t>
  </si>
  <si>
    <t>J. Phycol.</t>
  </si>
  <si>
    <t>10.1111/jpy.12383</t>
  </si>
  <si>
    <t>Plant Sciences; Marine &amp; Freshwater Biology</t>
  </si>
  <si>
    <t>DI6OG</t>
  </si>
  <si>
    <t>WOS:000373618400014</t>
  </si>
  <si>
    <t>Carracedo, LI; Pardo, PC; Flecha, S; Pérez, FF</t>
  </si>
  <si>
    <t>Carracedo, L. I.; Pardo, P. C.; Flecha, S.; Perez, F. F.</t>
  </si>
  <si>
    <t>On the Mediterranean Water Composition</t>
  </si>
  <si>
    <t>Water masses; Geographic location/entity; Physical Meteorology and Climatology; North Atlantic Ocean; Entrainment; Circulation/ Dynamics; Mixing; Atm/Ocean Structure/ Phenomena; Climatology</t>
  </si>
  <si>
    <t>ANTARCTIC INTERMEDIATE WATER; NORTH-ATLANTIC OCEAN; OPTIMUM MULTIPARAMETER ANALYSIS; SPREADING PATTERN; INORGANIC CARBON; MIXING ANALYSIS; ORGANIC-MATTER; SEA-WATER; MASSES; CIRCULATION</t>
  </si>
  <si>
    <t>The Mediterranean Outflow Water (MOW) spills from the Mediterranean Sea (east North Atlantic basin) west off the Strait of Gibraltar. As MOW outflows, it entrains eastern North Atlantic Central Waters (ENACW) and Intermediate Waters to form the neutrally buoyant Mediterranean Water (MW) that can be traced over the entire North Atlantic basin. Its high salinity content influences the thermohaline properties of the intermediate-deep water column in the North Atlantic and its dynamics. Here, the composition of MW in its source region (the Gulf of Cadiz, west off Strait of Gibraltar) is investigated on the basis of an optimum multiparameter analysis. The results obtained indicate that mixing of MOW (34.1% +/- 0.3%) occurs mainly with overlying ENACW (57.1% +/- 0.8%) in a process broadly known as central water entrainment. A diluted form (80% of dilution) of the Antarctic Intermediate Water (AAIW) reaches the region and also takes part in MW formation (8.3% +/- 0.5%). Finally, the underlying Labrador Sea Water (LSW) also contributes (0.4% +/- 0.1%) to the characteristics of MW. From these results and considering 0.74 Sverdrups (Sv; 1 Sv equivalent to 10(6) m(3) s(-1)) as the mean outflow of MOW, the MW exportation rate was inferred (2.2 Sv), which, decomposing MW, means that the MOW outflow is accompanied by 1.24 Sv of entrained ENACW, 0.18 Sv of AAIW, and &lt;0.01 Sv of LSW.</t>
  </si>
  <si>
    <t>[Carracedo, L. I.] Univ Vigo, Fac Marine Sci, Campus Lagoas Marcosende, Vigo 36200, Spain; [Carracedo, L. I.; Pardo, P. C.; Perez, F. F.] CSIC, Inst Invest Marinas, Vigo, Spain; [Flecha, S.] CSIC, Inst Ciencias Marinas Andalucia, Cadiz, Spain</t>
  </si>
  <si>
    <t>Universidade de Vigo; Consejo Superior de Investigaciones Cientificas (CSIC); CSIC - Instituto de Investigaciones Marinas (IIM); Consejo Superior de Investigaciones Cientificas (CSIC); CSIC - Instituto de Ciencias Marinas de Andalucia (ICMAN); CSIC - Centro Mediterraneo de Investigaciones Marinas y Ambientales (CMIMA); CSIC - Instituto de Ciencias del Mar (ICM)</t>
  </si>
  <si>
    <t>Carracedo, LI (corresponding author), Univ Vigo, Fac Marine Sci, Dept ofApplied Phys, Phys Oceanog Grp GOFUVI, Campus Lagoas Marcosende, Vigo 36200, Spain.</t>
  </si>
  <si>
    <t>lcarracedo@uvigo.es</t>
  </si>
  <si>
    <t>C. Pardo, Paula/A-8217-2019; Fernandez Perez, Fiz/B-9001-2011; Carracedo, Lidia/AAT-5505-2021; Flecha, Susana/O-6227-2017</t>
  </si>
  <si>
    <t>C. Pardo, Paula/0000-0001-6348-2332; Fernandez Perez, Fiz/0000-0003-4836-8974; Carracedo, Lidia/0000-0003-3316-7651; Flecha, Susana/0000-0003-2826-5820</t>
  </si>
  <si>
    <t>EU [C_ENVIR/0869]; Spanish Research Council (CSIC); Regional Government of Galicia; University of Vigo</t>
  </si>
  <si>
    <t>EU(European Union (EU)); Spanish Research Council (CSIC); Regional Government of Galicia; University of Vigo</t>
  </si>
  <si>
    <t>We are grateful to the cruise staff and researchers who contributed to the acquisition, processing, and quality control of hydrographic data used in the present study. We owe special thanks to editor and referees for their useful and constructive comments. The research was supported through the Seventh Framework Program (EU FP7 Project CARBOCHANGE, Changes in carbon uptake and emissions by oceans in a changing climate,'' C_ENVIR/0869). All the authors were funded by the Spanish Research Council (CSIC). The first author was also partly financed by the Regional Government of Galicia through a specific program for short stays abroad, cofounded by the European Social Fund (FSE) 2011-15 and now is being funded by the University of Vigo, through the Galician I2C Plan for postdoctoral research.</t>
  </si>
  <si>
    <t>10.1175/JPO-D-15-0095.1</t>
  </si>
  <si>
    <t>DI7KR</t>
  </si>
  <si>
    <t>Green Submitted, Green Accepted, hybrid</t>
  </si>
  <si>
    <t>WOS:000373679000001</t>
  </si>
  <si>
    <t>Alley, KE; Scambos, TA; Siegfried, MR; Fricker, HA</t>
  </si>
  <si>
    <t>Alley, Karen E.; Scambos, Ted A.; Siegfried, Matthew R.; Fricker, Helen Amanda</t>
  </si>
  <si>
    <t>Impacts of warm water on Antarctic ice shelf stability through basal channel formation</t>
  </si>
  <si>
    <t>NATURE GEOSCIENCE</t>
  </si>
  <si>
    <t>GROUNDING ZONE; BENEATH; THICKNESS; SURFACE; MODIS; MODEL</t>
  </si>
  <si>
    <t>Antarctica's ice shelves provide resistance to the flow of grounded ice towards the ocean. If this resistance is decreased as a result of ice shelf thinning or disintegration(1), acceleration of grounded ice can occur, increasing rates of sea-level rise. Loss of ice shelf mass is accelerating, especially in West Antarctica, where warm seawater is reaching ocean cavities beneath ice shelves(2). Here we use satellite imagery, airborne ice-penetrating radar and satellite laser altimetry spanning the period from 2002 to 2014 to map extensive basal channels in the ice shelves surrounding Antarctica. The highest density of basal channels is found in West Antarctic ice shelves. Within the channels, warm water flows northwards, eroding the ice shelf base and driving channel evolution on annual to decadal timescales. Our observations show that basal channels are associated with the development of new zones of crevassing, suggesting that these channels may cause ice fracture. We conclude that basal channels can form and grow quickly as a result of warm ocean water intrusion, and that they can structurally weaken ice shelves, potentially leading to rapid ice shelf loss in some areas.</t>
  </si>
  <si>
    <t>[Alley, Karen E.; Scambos, Ted A.] Univ Colorado, Natl Snow &amp; Ice Data Ctr, Boulder, CO 80309 USA; [Siegfried, Matthew R.; Fricker, Helen Amanda] Univ Calif San Diego, Scripps Inst Oceanog, La Jolla, CA 92093 USA</t>
  </si>
  <si>
    <t>University of Colorado System; University of Colorado Boulder; University of California System; University of California San Diego; Scripps Institution of Oceanography</t>
  </si>
  <si>
    <t>Alley, KE (corresponding author), Univ Colorado, Natl Snow &amp; Ice Data Ctr, Boulder, CO 80309 USA.</t>
  </si>
  <si>
    <t>karen.alley@colorado.edu</t>
  </si>
  <si>
    <t>Alley, Karen E/HGE-5249-2022</t>
  </si>
  <si>
    <t>Alley, Karen E/0000-0003-0358-3806; Fricker, Helen Amanda/0000-0002-0921-1432; SCAMBOS, Ted A./0000-0003-4268-6322</t>
  </si>
  <si>
    <t>NASA through a NASA Earth Science Student Fellowship [NNX14AK82H, NNX13AP60]; USGS [G12PC00066]; NASA [NNX14AK82H, 680440] Funding Source: Federal RePORTER</t>
  </si>
  <si>
    <t>NASA through a NASA Earth Science Student Fellowship; USGS(United States Geological Survey); NASA(National Aeronautics &amp; Space Administration (NASA))</t>
  </si>
  <si>
    <t>This study was supported by NASA through a NASA Earth Science Student Fellowship (NNX14AK82H) and grant NNX13AP60, and by USGS contract G12PC00066. We thank A. Le Brocq lit providing subglacial hydrology data, and S. Schmidtko and L. Padman for ocean temperature data. 93 would also like to acknowledge assistance with figures from A. Pope, and helpful suggestions from O. Sergienko, R. Alley and C. Shuman.</t>
  </si>
  <si>
    <t>75 VARICK ST, 9TH FLR, NEW YORK, NY 10013-1917 USA</t>
  </si>
  <si>
    <t>1752-0894</t>
  </si>
  <si>
    <t>1752-0908</t>
  </si>
  <si>
    <t>NAT GEOSCI</t>
  </si>
  <si>
    <t>Nat. Geosci.</t>
  </si>
  <si>
    <t>10.1038/NGEO2675</t>
  </si>
  <si>
    <t>DI3BV</t>
  </si>
  <si>
    <t>WOS:000373374100013</t>
  </si>
  <si>
    <t>Bradley, SL; Milne, GA; Horton, BP; Zong, YQ</t>
  </si>
  <si>
    <t>Bradley, Sarah L.; Milne, Glenn A.; Horton, Benjamin P.; Zong, Yongqiang</t>
  </si>
  <si>
    <t>Modelling sea level data from China and Malay-Thailand to estimate Holocene ice-volume equivalent sea level change</t>
  </si>
  <si>
    <t>Holocene sea level; Eustatic sea level; Antarctic ice sheet glacial isostatic; Adjustment modelling</t>
  </si>
  <si>
    <t>GLACIAL ISOSTATIC-ADJUSTMENT; ANTARCTIC CONTRIBUTION; VISCOELASTIC EARTH; SOUTHEAST COAST; UPPER-MANTLE; EAST-COAST; MAXIMUM; SHEET; RECONSTRUCTIONS; PLEISTOCENE</t>
  </si>
  <si>
    <t>This study presents a new model of Holocene ice-volume equivalent sea level (ESL), extending a previously published global ice sheet model (Bassett et al., 2005), which was unconstrained from 10 kyr BP to present. This new model was developed by comparing relative sea level (RSL) predictions from a glacial isostatic adjustment (GIA) model to a suite of Holocene sea level index points from China and Malay-Thailand. Three consistent data-model misfits were found using the Bassett et al. (2005) model: an over-prediction in the height of maximum sea level, the timing of this maximum, and the temporal variation of sea level from the time of the highstand to present. The data-model misfits were examined for a large suite of ESL scenarios and a range of earth model parameters to determine an optimum model of Holocene ESL. This model is characterised by a slowdown in melting at similar to 7 kyr BP, associated with the final deglaciation of the Laurentide Ice Sheet, followed by a continued rise in ESL until similar to 1 kyr BP of similar to 5.8 m associated with melting from the Antarctic Ice Sheet. It was not possible to identify an earth viscosity model that provided good fits for both regions; with the China data preferring viscosity values in the upper mantle of less than 1.5 x 10(20) Pa s and the Malay Thailand data preferring greater values. We suggest that this inference of a very weak upper mantle for the China data originates from the nearby subduction zone and Hainan Plume. The low viscosity values may also account for the lack of a well-defined highstand at the China sites. (C) 2016 Elsevier Ltd. All rights reserved.</t>
  </si>
  <si>
    <t>[Bradley, Sarah L.] Univ Utrecht, Inst Marine &amp; Atmospher Res Utrecht, NL-3584 CC Utrecht, Netherlands; [Milne, Glenn A.] Univ Ottawa, Dept Earth &amp; Environm Sci, Ottawa, ON K1N 6N5, Canada; [Horton, Benjamin P.] Rutgers State Univ, Dept Marine &amp; Coastal Sci, Sea Level Res, New Brunswick, NJ 08901 USA; [Horton, Benjamin P.] Rutgers State Univ, Inst Earth Ocean &amp; Atmospher Sci, New Brunswick, NJ 08901 USA; [Horton, Benjamin P.] Nanyang Technol Univ, Singapore &amp; Asian Sch Environm, Earth Observ, Singapore 639798, Singapore; [Zong, Yongqiang] Univ Hong Kong, Dept Earth Sci, Hong Kong, Hong Kong, Peoples R China</t>
  </si>
  <si>
    <t>Utrecht University; University of Ottawa; Rutgers University System; Rutgers University New Brunswick; Rutgers University System; Rutgers University New Brunswick; Nanyang Technological University; University of Hong Kong</t>
  </si>
  <si>
    <t>Bradley, SL (corresponding author), Univ Utrecht, Inst Marine &amp; Atmospher Res Utrecht, NL-3584 CC Utrecht, Netherlands.</t>
  </si>
  <si>
    <t>d80ngv@gmail.com; gamilne@uottawa.ca; bphorton@marine.rutgers.edu; yqzong@hku.hk</t>
  </si>
  <si>
    <t>Horton, Benjamin/0000-0001-9245-3768</t>
  </si>
  <si>
    <t>Netherlands Earth System Science Centre (NESSC); Ministry of Education, Culture and Science (OCW); Natural Sciences and Engineering Research Council of Canada; Canada Research Chairs Program; National Science Foundation [EAR 0809392, 1458904]; Division Of Ocean Sciences; Directorate For Geosciences [1458904] Funding Source: National Science Foundation</t>
  </si>
  <si>
    <t>Netherlands Earth System Science Centre (NESSC); Ministry of Education, Culture and Science (OCW)(Ministry of Education, Culture, Sports, Science and Technology, Japan (MEXT)); Natural Sciences and Engineering Research Council of Canada(Natural Sciences and Engineering Research Council of Canada (NSERC)CGIAR); Canada Research Chairs Program(Canada Research Chairs); National Science Foundation(National Science Foundation (NSF)); Division Of Ocean Sciences; Directorate For Geosciences(National Science Foundation (NSF)NSF - Directorate for Geosciences (GEO))</t>
  </si>
  <si>
    <t>SLB was supported by the program of the Netherlands Earth System Science Centre (NESSC) which is financially supported by the Ministry of Education, Culture and Science (OCW). GAM acknowledges support from the Natural Sciences and Engineering Research Council of Canada and the Canada Research Chairs Program. BPH research was supported by National Science Foundation EAR 0809392 and 1458904.</t>
  </si>
  <si>
    <t>1873-457X</t>
  </si>
  <si>
    <t>10.1016/j.quascirev.2016.02.002</t>
  </si>
  <si>
    <t>DI5NY</t>
  </si>
  <si>
    <t>WOS:000373547100005</t>
  </si>
  <si>
    <t>Merrifield, ST; St Laurent, L; Owens, B; Thurnherr, AM; Toole, JM</t>
  </si>
  <si>
    <t>Merrifield, Sophia T.; St Laurent, Louis; Owens, Breck; Thurnherr, Andreas M.; Toole, John M.</t>
  </si>
  <si>
    <t>Enhanced Diapycnal Diffusivity in Intrusive Regions of the Drake Passage</t>
  </si>
  <si>
    <t>Turbulence; Circulation/ Dynamics; Fronts; Atm/Ocean Structure/ Phenomena; Observational techniques and algorithms; Profilers, oceanic; Mixing; Southern Ocean; Diapycnal mixing; Geographic location/entity</t>
  </si>
  <si>
    <t>ANTARCTIC CIRCUMPOLAR CURRENT; SOUTHERN-OCEAN; MICROSTRUCTURE MEASUREMENTS; SALT FINGERS; WATER MASSES; DISSIPATION; TURBULENCE; TOPOGRAPHY; FLUID; CONDUCTIVITY</t>
  </si>
  <si>
    <t>Direct measurements of oceanic turbulent parameters were taken upstream of and across Drake Passage, in the region of the Subantarctic and Polar Fronts. Values of turbulent kinetic energy dissipation rate epsilon estimated by microstructure are up to two orders of magnitude lower than previously published estimates in the upper 1000 m. Turbulence levels in Drake Passage are systematically higher than values upstream, regardless of season. The dissipation of thermal variance chi is enhanced at middepth throughout the surveys, with the highest values found in northern Drake Passage, where water mass variability is the most pronounced. Using the density ratio, evidence for double-diffusive instability is presented. Subject to double-diffusive physics, the estimates of diffusivity using the Osborn-Cox method are larger than ensemble statistics based on epsilon and the buoyancy frequency.</t>
  </si>
  <si>
    <t>[Merrifield, Sophia T.] Woods Hole Oceanog Inst, Massachusetts Inst Technol Woods Hole Oceanog Ins, Woods Hole, MA 02543 USA; [St Laurent, Louis; Owens, Breck; Toole, John M.] Woods Hole Oceanog Inst, Dept Phys Oceanog, Woods Hole, MA 02543 USA; [Thurnherr, Andreas M.] Lamont Doherty Earth Observ, Div Ocean &amp; Climate Phys, Palisades, NY USA</t>
  </si>
  <si>
    <t>Massachusetts Institute of Technology (MIT); Woods Hole Oceanographic Institution; Woods Hole Oceanographic Institution; Columbia University</t>
  </si>
  <si>
    <t>Merrifield, ST (corresponding author), Woods Hole Oceanog Inst, MIT WHOI Joint Program, 266 Woods Hole Rd,MS29, Woods Hole, MA 02543 USA.</t>
  </si>
  <si>
    <t>stm@mit.edu</t>
  </si>
  <si>
    <t>Thurnherr, Andreas/0000-0002-1977-7122; Toole, John/0000-0003-2905-0637</t>
  </si>
  <si>
    <t>U.S. National Science Foundation; Division Of Ocean Sciences; Directorate For Geosciences [1232962] Funding Source: National Science Foundation</t>
  </si>
  <si>
    <t>U.S. National Science Foundation(National Science Foundation (NSF)); Division Of Ocean Sciences; Directorate For Geosciences(National Science Foundation (NSF)NSF - Directorate for Geosciences (GEO))</t>
  </si>
  <si>
    <t>We thank the officers and crews of the U.S. research vessels R/V T. G. Thompson and N. B. Palmer for their considerable efforts supporting the field expeditions that allowed us to collect these data. Technical staff from LDEO, WHOI, and the U.S. Antarctic Program provided heroic support of instrumentation in very challenging at-sea conditions. We additionally thank colleagues for their comments on the draft manuscript. This work was supported by grants from the U.S. National Science Foundation.</t>
  </si>
  <si>
    <t>10.1175/JPO-D-15-0068.1</t>
  </si>
  <si>
    <t>DI2TH</t>
  </si>
  <si>
    <t>WOS:000373351300001</t>
  </si>
  <si>
    <t>Salis, AT; Easton, LJ; Robertson, BC; Gemmell, N; Smith, IWG; Weisler, MI; Waters, JM; Rawlence, NJ</t>
  </si>
  <si>
    <t>Salis, Alexander T.; Easton, Luke J.; Robertson, Bruce C.; Gemmell, Neil; Smith, Ian W. G.; Weisler, Marshall I.; Waters, Jonathan M.; Rawlence, Nicolas J.</t>
  </si>
  <si>
    <t>Myth or relict: Does ancient DNA detect the enigmatic Upland seal?</t>
  </si>
  <si>
    <t>MOLECULAR PHYLOGENETICS AND EVOLUTION</t>
  </si>
  <si>
    <t>Ancient-DNA; Arctocephalus forsteri snaresensis; Fur seal; Human impact; Sealing; Upland seal</t>
  </si>
  <si>
    <t>ZEALAND FUR SEALS; SOUTHERN-HEMISPHERE; POPULATION; HYBRIDIZATION; EXTRACTION; ANTIPODES; NUMBERS</t>
  </si>
  <si>
    <t>The biological status of the so-called 'Upland seal' has remained contentious ever since historical records described a distinct seal from the uplands of New Zealand's (NZ) remote sub-Antarctic islands. Subsequent genetic surveys of the NZ fur seal (Arctocephalus forsteri) detected two highly-divergent mtDNA clades, hypothesized to represent a post-sealing hybrid swarm between 'mainland' (Australia NZ; A. forsteri) and sub-Antarctic (putative 'Upland'; A. snaresensis) lineages. We present ancient-DNA analyses of prehistoric mainland NZ and sub-Antarctic fur seals, revealing that both of these genetic lineages were already widely distributed across the region at the time of human arrival. These findings indicate that anthropogenic factors did not contribute to the admixture of these lineages, and cast doubt on the validity of the Upland seal. Human-mediated impacts on Arctocephalus genetic diversity are instead highlighted by a dramatic temporal haplotype frequency-shift due to genetic drift in heavily bottlenecked populations following the cessation of industrial-scale harvesting. These extinction-recolonisation dynamics add to a growing picture of human-mediated change in NZ's coastal and marine ecosystems. (C) 2015 Elsevier Inc. All rights reserved.</t>
  </si>
  <si>
    <t>[Salis, Alexander T.; Easton, Luke J.; Robertson, Bruce C.; Waters, Jonathan M.; Rawlence, Nicolas J.] Univ Otago, Dept Zool, Allan Wilson Ctr, Dunedin, New Zealand; [Gemmell, Neil] Univ Otago, Dept Anat, Allan Wilson Ctr, Dunedin, New Zealand; [Smith, Ian W. G.] Univ Otago, Dept Anthropol &amp; Archaeol, Dunedin, New Zealand; [Weisler, Marshall I.] Univ Queensland, Sch Social Sci, Brisbane, Qld, Australia</t>
  </si>
  <si>
    <t>University of Otago; University of Otago; University of Otago; University of Queensland</t>
  </si>
  <si>
    <t>Rawlence, NJ (corresponding author), Univ Otago, Dept Zool, Allan Wilson Ctr, Dunedin, New Zealand.</t>
  </si>
  <si>
    <t>nic.rawlence@otago.ac.nz</t>
  </si>
  <si>
    <t>Waters, Jonathan/B-4983-2009; Gemmell, Neil/C-6774-2009; Smith, Ian/B-6463-2008</t>
  </si>
  <si>
    <t>Waters, Jonathan/0000-0002-1514-7916; Weisler, Marshall/0000-0002-2336-2544; Gemmell, Neil/0000-0003-0671-3637; Salis, Alexander/0000-0002-3205-3006; Smith, Ian/0000-0003-3481-6086</t>
  </si>
  <si>
    <t>Royal Society of New Zealand Marsden Fund; Allan Wilson Centre; University of Otago</t>
  </si>
  <si>
    <t>Royal Society of New Zealand Marsden Fund(Royal Society of New ZealandMarsden Fund (NZ)); Allan Wilson Centre; University of Otago</t>
  </si>
  <si>
    <t>We thank the University of Otago's Department of Anthropology and Archaeology (Phil Latham), Southland Museum (David Dudfield), Hugh Best, Laura Boren, Corey Bradshaw, Alan Buckland, David Butler, Bruce Dix, Nick Galms, Gina Lento, Rob Mattlin, Janice Molloy, Sonia Read, James Russell, Sue Triggs, and the New Zealand Department of Conservation for supplying and collecting samples; and the Royal Society of New Zealand Marsden Fund, Allan Wilson Centre and University of Otago for funding. We also thank three anonymous reviewers whose comments greatly improved this manuscript.</t>
  </si>
  <si>
    <t>1055-7903</t>
  </si>
  <si>
    <t>1095-9513</t>
  </si>
  <si>
    <t>MOL PHYLOGENET EVOL</t>
  </si>
  <si>
    <t>Mol. Phylogenet. Evol.</t>
  </si>
  <si>
    <t>10.1016/j.ympev.2015.12.012</t>
  </si>
  <si>
    <t>Biochemistry &amp; Molecular Biology; Evolutionary Biology; Genetics &amp; Heredity</t>
  </si>
  <si>
    <t>DH4QC</t>
  </si>
  <si>
    <t>WOS:000372769500010</t>
  </si>
  <si>
    <t>Robertson, BC; Stephenson, BM; Ronconi, RA; Goldstien, SJ; Shepherd, L; Tennyson, A; Carlile, N; Ryan, PG</t>
  </si>
  <si>
    <t>Robertson, Bruce C.; Stephenson, Brent M.; Ronconi, Robert A.; Goldstien, Sharyn J.; Shepherd, Lara; Tennyson, Alan; Carlile, Nicholas; Ryan, Peter G.</t>
  </si>
  <si>
    <t>Phylogenetic affinities of the Fregetta storm-petrels are not black and white</t>
  </si>
  <si>
    <t>Phylogeny; Fregetta storm-petrels; Cytochrome b gene; beta-fibrinogen gene; Procellariiformes; South Atlantic Ocean</t>
  </si>
  <si>
    <t>NEW-ZEALAND; SEQUENCES; ISLAND</t>
  </si>
  <si>
    <t>The Fregetta storm-petrels generally are regarded to comprise two species: black-bellied storm-petrels F. tropica (monotypic) breed at Antarctic and sub-Antarctic islands (46-63 degrees S), and white-bellied storm petrels F. grallaria breed at south temperate islands (28-37 degrees S), with four recognized subspecies. Confusion surrounds the status of birds at Gough Island (40 degrees S), central South Atlantic, which have been attributed usually to a white-bellied form of black-bellied storm-petrel F. t. melanoleuca. We use cytochrome b and nuclear beta-fibrinogen gene sequences to show that F. t. melanoleuca are present during the breeding season at Gough and islands in the nearby Tristan da Cunha archipelago (37 degrees S), exhibiting limited divergence from F. t. tropica. We also show that there is greater diversity among F. grallaria populations, with eastern South Pacific F. g. segethi and F. g. titan differing by c. 0.011, and both differing from western South Pacific nominate F. g. grallaria by c. 0.059. The Tristan archipelago supports a population of F. grallaria closely allied to the nominate form, as well as a distinct form identified as F. g. leucogaster. Further research is needed to assess how F. grallaria and F. tropica segregate in sympatry at Tristan and Gough, and why this is the only location where both species have white-bellies. (C) 2016 Elsevier Inc. All rights reserved.</t>
  </si>
  <si>
    <t>[Robertson, Bruce C.] Univ Otago, Dept Zool, Allan Wilson Ctr Mol Ecol &amp; Evolut, POB 56, Dunedin 9054, New Zealand; [Stephenson, Brent M.] Ecovista Photog &amp; Res Ltd, POB 8291, Havelock North 4157, New Zealand; [Ronconi, Robert A.] Dalhousie Univ, Dept Biol, Halifax, NS, Canada; [Goldstien, Sharyn J.] Univ Canterbury, Sch Biol Sci, PB 4800, Christchurch 8140, New Zealand; [Shepherd, Lara; Tennyson, Alan] Museum New Zealand Te Papa Tongarewa, POB 467, Wellington, New Zealand; [Shepherd, Lara] Victoria Univ Wellington, Sch Biol Sci, Wellington, New Zealand; [Carlile, Nicholas] Dept Premier &amp; Cabinet, Off Environm &amp; Heritage, POB 1967, Hurstville, NSW 2220, Australia; [Ryan, Peter G.] Univ Cape Town, DST NRF Ctr Excellence, Percy Fitzpatrick Inst African Ornithol, ZA-7701 Rondebosch, South Africa</t>
  </si>
  <si>
    <t>University of Otago; Dalhousie University; University of Canterbury; Victoria University Wellington; Office of Environment &amp; Heritage - New South Wales; University of Cape Town; National Research Foundation - South Africa</t>
  </si>
  <si>
    <t>Robertson, BC (corresponding author), Univ Otago, Dept Zool, Allan Wilson Ctr Mol Ecol &amp; Evolut, POB 56, Dunedin 9054, New Zealand.</t>
  </si>
  <si>
    <t>bruce.robertson@otago.ac.nz</t>
  </si>
  <si>
    <t>Shepherd, Lara D/E-6663-2011</t>
  </si>
  <si>
    <t>Shepherd, Lara/0000-0002-7136-0017</t>
  </si>
  <si>
    <t>University of Otago (PBRF)</t>
  </si>
  <si>
    <t>We thank Gary Graves, Martim Melo, Graham Parker, Robert Prys-Jones, Kalinka Rexer-Huber, Sarah Jacob, Fiona McDuie, Paul Scofield, Martin Stervander and Ross Wanless for providing samples, sample information or assistance in the field; Fiona Robertson and Tasman Gillies for assistance in the laboratory; Fiona Robertson for assistance with manuscript preparation; and Edward Braun and one anonymous referee for helpful discussions and comments. BCR acknowledges financial support from University of Otago (PBRF funding). Sampling at Tristan da Cunha and Gough Island was conducted with the permission of the Tristan Administrator and Island Council, through Tristan's Conservation Department; logistic support was provided by the South African Department of Environmental Affairs and Ovenstones Fishing.</t>
  </si>
  <si>
    <t>10.1016/j.ympev.2016.01.004</t>
  </si>
  <si>
    <t>WOS:000372769500016</t>
  </si>
  <si>
    <t>Klotzbach, PJ; Oliver, ECJ; Leeper, RD; Schreck, CJ</t>
  </si>
  <si>
    <t>Klotzbach, Philip J.; Oliver, Eric C. J.; Leeper, Ronald D.; Schreck, Carl J., III</t>
  </si>
  <si>
    <t>The Relationship between the Madden-Julian Oscillation (MJO) and Southeastern New England Snowfall</t>
  </si>
  <si>
    <t>MONTHLY WEATHER REVIEW</t>
  </si>
  <si>
    <t>Snowfall; Snow; Atm/Ocean Structure/ Phenomena; Madden-Julian oscillation; Extratropical cyclones</t>
  </si>
  <si>
    <t>VARIABILITY; REANALYSIS; PRECIPITATION; CIRCULATION; RAINFALL</t>
  </si>
  <si>
    <t>The winter of 2014/15 brought record snow totals to portions of southeastern New England. Additionally, over 90% of Boston Logan Airport snowfall during the winter fell during phases 7 and 8 of the Madden-Julian oscillation (MJO) index. This motivated the authors to investigate potential connections between intense southeastern New England snowstorms and the MJO in the historical record. It was found that southeastern New England snowfall, measured since the 1930s at several stations in the region, recorded higher than average winter snowfalls when enhanced MJO convection was located over the western Pacific and the Western Hemisphere (phases 7-8). Similarly, snowfall was suppressed when enhanced MJO convection was located over the Maritime Continent (phases 4-5). The MJO also modulates the frequency of nor'easters, which contribute the majority of New England's snowfall, as measured by reanalysis-derived cyclone tracks. These tracks were more numerous during the same MJO phases that lead to enhanced snowfall, and they were less common during phases with less snowfall.</t>
  </si>
  <si>
    <t>[Klotzbach, Philip J.] Colorado State Univ, Dept Atmospher Sci, West LaPorte Ave, Ft Collins, CO 80523 USA; [Oliver, Eric C. J.] Univ Tasmania, Inst Marine &amp; Antarctic Studies, Australian Res Council Ctr Climate Syst Sci, Hobart, Tas, Australia; [Leeper, Ronald D.; Schreck, Carl J., III] N Carolina State Univ, NOAA, Natl Ctr Environm Informat, Cooperat Inst Climate &amp; Satellites, Asheville, NC USA</t>
  </si>
  <si>
    <t>Colorado State University; University of Tasmania; National Oceanic Atmospheric Admin (NOAA) - USA; North Carolina State University</t>
  </si>
  <si>
    <t>Klotzbach, PJ (corresponding author), Colorado State Univ, Dept Atmospher Sci, West LaPorte Ave, Ft Collins, CO 80523 USA.</t>
  </si>
  <si>
    <t>philk@atmos.colostate.edu</t>
  </si>
  <si>
    <t>Schreck, Carl J/B-8711-2011; Klotzbach, Philip J/P-1911-2014; Oliver, Eric/G-5118-2014; Leeper, Ronald/I-4000-2016</t>
  </si>
  <si>
    <t>Oliver, Eric/0000-0002-4006-2826; Leeper, Ronald/0000-0001-6821-8151</t>
  </si>
  <si>
    <t>NOAA's Climate Program Office [NA09OAR4310104]; G. Unger Vetlesen Foundation; NOAA through the Cooperative Institute for Climate and Satellites, North Carolina [NA14NES432003]</t>
  </si>
  <si>
    <t>NOAA's Climate Program Office(National Oceanic Atmospheric Admin (NOAA) - USA); G. Unger Vetlesen Foundation; NOAA through the Cooperative Institute for Climate and Satellites, North Carolina</t>
  </si>
  <si>
    <t>We would like to acknowledge the efforts of Scott Applequist, David Easterling, and Ken Kunkel in the development of the extratropical cyclone (ETC) dataset used in this study, which was funded by the NOAA's Climate Program Office by Grant NA09OAR4310104. Klotzbach would like to thank the G. Unger Vetlesen Foundation for financial support that helped fund this research. Schreck and Leeper were supported by NOAA through the Cooperative Institute for Climate and Satellites, North Carolina, under Cooperative Agreement NA14NES432003. This paper makes a contribution to the objectives of the Australian Research Council Centre of Excellence for Climate System Science (ARCCCS).</t>
  </si>
  <si>
    <t>0027-0644</t>
  </si>
  <si>
    <t>1520-0493</t>
  </si>
  <si>
    <t>MON WEATHER REV</t>
  </si>
  <si>
    <t>Mon. Weather Rev.</t>
  </si>
  <si>
    <t>10.1175/MWR-D-15-0434.1</t>
  </si>
  <si>
    <t>DI2FY</t>
  </si>
  <si>
    <t>WOS:000373312300002</t>
  </si>
  <si>
    <t>Tellez, HF; Morrison, SA; Neyt, X; Mairesse, O; Piacentini, MF; Macdonald-Nethercott, E; Pangerc, A; Dolenc-Groselj, L; Eiken, O; Pattyn, N; Mekjavic, IB; Meeusen, R</t>
  </si>
  <si>
    <t>Tellez, Helio Fernandez; Morrison, Shawnda A.; Neyt, Xavier; Mairesse, Olivier; Piacentini, Maria Francesca; Macdonald-Nethercott, Eoin; Pangerc, Andrej; Dolenc-Groselj, Leja; Eiken, Ola; Pattyn, Nathalie; Mekjavic, Igor B.; Meeusen, Romain</t>
  </si>
  <si>
    <t>Exercise during Short-Term and Long-Term Continuous Exposure to Hypoxia Exacerbates Sleep-Related Periodic Breathing</t>
  </si>
  <si>
    <t>SLEEP</t>
  </si>
  <si>
    <t>Antarctica; sleep apnea; confinement; cycling; high altitude; oxygen saturation</t>
  </si>
  <si>
    <t>HIGH-ALTITUDE; HYPOBARIC HYPOXIA; VENTILATORY ACCLIMATIZATION; RESPONSES; HUMANS; CHEMORECEPTORS; MECHANISMS</t>
  </si>
  <si>
    <t>Study Objectives: Exposure to hypoxia elevates chemosensitivity, which can lead to periodic breathing. Exercise impacts gas exchange, altering chemosensitivity; however, interactions between sleep, exercise and chronic hypoxic exposure have not been examined. This study investigated whether exercise exacerbates sleep-related periodic breathing in hypoxia. Methods: Two experimental phases. Short-Term Phase: a laboratory controlled, group-design study in which 16 active, healthy men (age: 25 +/- 3 y, height: 1.79 +/- 0.06 m, mass: 74 +/- 8 kg) were confined to a normobaric hypoxic environment (FIO2 = 0.139 +/- 0.003, 4,000 m) for 10 days, after random assignment to a sedentary (control, CON) or cycle-exercise group (EX). Long-Term Phase: conducted at the Concordia Antarctic Research Station (3,800 m equivalent at the Equator) where 14 men (age: 36 +/- 9 y, height: 1.77 +/- 0.09 m, mass: 75 +/- 10 kg) lived for 12-14 months, continuously confined. Participants were stratified post hoc based on self-reported physical activity levels. We quantified apnea-hypopnea index (AHI) and physical activity variables. Results: Short-Term Phase: mean AHI scores were significantly elevated in the EX group compared to CON (Night1 = CON: 39 +/- 51, EX: 91 +/- 59; Night10 = CON: 32 +/- 32, EX: 92 +/- 48; P = 0.046). Long-Term Phase: AHI was correlated to mean exercise time (R-2 = 0.4857; P = 0.008) and the coefficient of variation in night oxyhemoglobin saturation (SpO(2); R-2 = 0.3062; P = 0.049). Conclusions: Data indicate that exercise (physical activity) per se affects night SpO(2) concentrations and AHI after a minimum of two bouts of moderateintensity hypoxic exercise, while habitual physical activity in hypobaric hypoxic confinement affects breathing during sleep, up to 13+ months' duration</t>
  </si>
  <si>
    <t>[Tellez, Helio Fernandez; Mairesse, Olivier; Piacentini, Maria Francesca; Pattyn, Nathalie; Meeusen, Romain] Vrije Univ Brussel, Human Physiol &amp; Sports Med Dept, Bldg L,Pl Laan,2, B-1050 Brussels, Belgium; [Tellez, Helio Fernandez; Neyt, Xavier; Pattyn, Nathalie] Royal Mil Acad Brussels, VIPER Res Unit, Brussels, Belgium; [Morrison, Shawnda A.; Mekjavic, Igor B.] Jozef Stefan Inst, Dept Automat Biocybernet &amp; Robot, Ljubljana, Slovenia; [Neyt, Xavier] Royal Mil Acad Brussels, CISS, Brussels, Belgium; [Mairesse, Olivier] Brugmann Univ Hosp Free Univ Brussels ULB VUB, Sleep Lab, Brussels, Belgium; [Mairesse, Olivier] Brugmann Univ Hosp Free Univ Brussels ULB VUB, Unit Chronobiol, Brussels, Belgium; [Piacentini, Maria Francesca] Univ Rome Foro Italico, Dept Movement Human &amp; Hlth Sci, Rome, Italy; [Macdonald-Nethercott, Eoin] Addenbrookes Hosp, JF Intens Care Unit, Cambridge, England; [Macdonald-Nethercott, Eoin] Inst Polaire Francais Paul Emile Victor, Technopole Brest Iroise, Plouzane, France; [Pangerc, Andrej; Dolenc-Groselj, Leja] Univ Clin Ctr, Inst Clin Neurophysiol, Ljubljana, Slovenia; [Eiken, Ola] Royal Inst Technol, Swedish Aerosp Physiol Ctr, Dept Environm Physiol, Stockholm, Sweden; [Pattyn, Nathalie] Expt &amp; Appl Psychol Dept, Brussels, Belgium; [Meeusen, Romain] James Cook Univ, Sch Publ Hlth Trop Med &amp; Hlth Sci, Townsville, Qld 4811, Australia</t>
  </si>
  <si>
    <t>Vrije Universiteit Brussel; Slovenian Academy of Sciences &amp; Arts (SASA); Jozef Stefan Institute; Foro Italico University of Rome; Cambridge University Hospitals NHS Foundation Trust; Addenbrooke's Hospital; University of Cambridge; Royal Institute of Technology; James Cook University</t>
  </si>
  <si>
    <t>Tellez, HF (corresponding author), Vrije Univ Brussel, Human Physiol &amp; Sports Med Dept, Bldg L,Pl Laan,2, B-1050 Brussels, Belgium.</t>
  </si>
  <si>
    <t>hefernan@vub.ac.be</t>
  </si>
  <si>
    <t>Neyt, Xavier/I-7259-2019; Mairesse, Olivier/AAM-6427-2020; Mekjavic, Igor/AAM-6962-2021</t>
  </si>
  <si>
    <t>Neyt, Xavier/0000-0002-8992-3877; Mekjavic, Igor/0000-0001-5930-2159; Pattyn, Nathalie/0000-0002-2690-5479; Morrison, Shawnda/0000-0003-3445-330X; Mairesse, Olivier/0000-0001-8428-1185</t>
  </si>
  <si>
    <t>Slovene National Research Agency [ARRS: L3-4328, ARRS: L3-3654, ARRS P3-0338]; Michael Smith Foundation for Health Research Fellowship [ST-PDF-03269 (11-1) CLIN]; PRODEX program of the European Space Agency (ESA) [AIIESA17]</t>
  </si>
  <si>
    <t>Slovene National Research Agency(Slovenian Research Agency - Slovenia); Michael Smith Foundation for Health Research Fellowship(Michael Smith Foundation for Health Research); PRODEX program of the European Space Agency (ESA)</t>
  </si>
  <si>
    <t>This was not an industry supported study. Support for the Short-Term Phase Planica study was provided, in part, by the Slovene National Research Agency (ARRS: L3-4328 &amp; L3-3654, Prof. Mekjavic; ARRS P3-0338, Dr. Dolenc-Groselj). Dr. Morrison was partially supported by a Michael Smith Foundation for Health Research Fellowship (ST-PDF-03269 (11-1) CLIN). Support for the Long-Term Phase Concordia study was provided, in part, by the PRODEX program of the European Space Agency (ESA) AIIESA17, managed through the Belgian Science Policy Office (BELSPO). The authors have indicated no financial conflicts of interest.</t>
  </si>
  <si>
    <t>1550-9109</t>
  </si>
  <si>
    <t>Sleep</t>
  </si>
  <si>
    <t>10.5665/sleep.5626</t>
  </si>
  <si>
    <t>Clinical Neurology; Neurosciences</t>
  </si>
  <si>
    <t>Neurosciences &amp; Neurology</t>
  </si>
  <si>
    <t>DI0LC</t>
  </si>
  <si>
    <t>WOS:000373186900009</t>
  </si>
  <si>
    <t>Dilley, BJ; Schoombie, S; Schoombie, J; Ryan, PG</t>
  </si>
  <si>
    <t>Dilley, Ben J.; Schoombie, Stefan; Schoombie, Janine; Ryan, Peter G.</t>
  </si>
  <si>
    <t>'Scalping' of albatross fledglings by introduced mice spreads rapidly at Marion Island</t>
  </si>
  <si>
    <t>ANTARCTIC SCIENCE</t>
  </si>
  <si>
    <t>Diomedea; eradication; mammal behaviour; mortality; Mus musculus; Phoebetria; Thalassarche</t>
  </si>
  <si>
    <t>HOUSE MICE; BREEDING BIOLOGY; PETREL CHICKS; GOUGH ISLAND; MUS-MUSCULUS; FERAL CATS; PREDATION; IMPACT; SUCCESS; BIRDS</t>
  </si>
  <si>
    <t>House mice (Mus musculus L.) were introduced to sub-Antarctic Marion Island more than two centuries ago, and have been the only introduced mammal on the island since 1991 when feral cats were eradicated. The first mouse-injured wandering albatross (Diomedea exulans L.) chick was found in 2003 and since then attacks have continued at a low level affecting &lt; 1% of the population. In 2009, the first 'scalpings' were detected; sooty albatross (Phoebetria fusca Hilsenberg) fledglings were found with raw wounds on the nape. In 2015, mice attacked large chicks of all three albatross species that fledge in autumn: grey-headed (Thalassarche chrysostoma Forster) (at least 102 wounded chicks; 4.6% of fledglings), sooty (n = 45, 4.3%) and light-mantled albatross (P. palpebrata Forster) (n = 1, 4%). Filming at night confirmed that mice were responsible for wounds. Attacks started independently in small pockets all around the island's 70 km coastline, separated by distances hundreds of times greater than mouse home ranges. The widespread nature of mouse attacks in 2015 on large, well-feathered chicks is alarming and highlights not only Marion Island as a priority island for mouse eradication but also that mice alone may significantly affect threatened seabird species.</t>
  </si>
  <si>
    <t>[Dilley, Ben J.; Schoombie, Stefan; Schoombie, Janine; Ryan, Peter G.] Univ Cape Town, DST NRF Ctr Excellence, Percy Fitz Patrick Inst African Ornithol, ZA-7701 Rondebosch, South Africa</t>
  </si>
  <si>
    <t>National Research Foundation - South Africa; University of Cape Town</t>
  </si>
  <si>
    <t>Dilley, BJ (corresponding author), Univ Cape Town, DST NRF Ctr Excellence, Percy Fitz Patrick Inst African Ornithol, ZA-7701 Rondebosch, South Africa.</t>
  </si>
  <si>
    <t>dilleyben@gmail.com</t>
  </si>
  <si>
    <t>Schoombie, Janine/0000-0001-5085-9516</t>
  </si>
  <si>
    <t>South African Department of Environmental Affairs through South African National Antarctic Programme (SANAP); University of Cape Town; National Research Foundation</t>
  </si>
  <si>
    <t>We thank all over-wintering field workers for their albatross observations since 2003, and especially Delia Davies, Alexis Osborne, Vonica Perold and Kim Stevens for the deployment of cameras. Azwianewi Makhado, Rob Crawford and Bruce Dyer kindly provided the nest cameras. Logistical and financial support was provided by the South African Department of Environmental Affairs, through the South African National Antarctic Programme (SANAP), the National Research Foundation and the University of Cape Town. We thank John Cooper and John Parkes for their comments. We thank Jean-Baptiste Thiebot and one anonymous reviewer for their useful comments which improved drafts.</t>
  </si>
  <si>
    <t>0954-1020</t>
  </si>
  <si>
    <t>1365-2079</t>
  </si>
  <si>
    <t>ANTARCT SCI</t>
  </si>
  <si>
    <t>Antarct. Sci.</t>
  </si>
  <si>
    <t>10.1017/S0954102015000486</t>
  </si>
  <si>
    <t>Environmental Sciences; Geography, Physical; Geosciences, Multidisciplinary</t>
  </si>
  <si>
    <t>Environmental Sciences &amp; Ecology; Physical Geography; Geology</t>
  </si>
  <si>
    <t>DH1CE</t>
  </si>
  <si>
    <t>WOS:000372521200002</t>
  </si>
  <si>
    <t>Mcintyre, T; Donaldson, A; Bester, MN</t>
  </si>
  <si>
    <t>Mcintyre, Trevor; Donaldson, Ashleigh; Bester, Marthan N.</t>
  </si>
  <si>
    <t>Spatial and temporal patterns of changes in condition of southern elephant seals</t>
  </si>
  <si>
    <t>body condition; buoyancy; drift rate; foraging success; Mirounga leonina; satellite-relay data logger</t>
  </si>
  <si>
    <t>FORAGING SUCCESS; BEHAVIOR; PREDATOR; TEMPERATURE; BUOYANCY; ISLANDS; EDDIES</t>
  </si>
  <si>
    <t>The study of foraging success in marine predators is complicated by a lack of direct observations and relies mostly on proxy measures of foraging success. This study assessed spatial and temporal patterns of changes in body condition of southern elephant seals (Mirounga leonina) from Marion Island, based on changes in drift rates (which are related to gains and losses of blubber). Seals showed substantial individual variation in condition changes throughout migrations, which was not explained by age-, sex-or reproductive stages. Substantial variation was also evident in the spatial patterns of condition changes, although an area south of the Antarctic Polar Front (APF) between 10 degrees E and 35 degrees E was evidently associated with moderate, yet consistent gains in condition. Seals that foraged more distantly from Marion Island displayed more extreme gains and losses in condition, suggesting a possible risk/reward trade-off associated with foraging further afield versus closer to the island. Increased condition was consistently negatively related to sea surface temperature, suggesting that seals were generally improving their condition faster in cooler water masses. These results support previous studies predicting that continued warming of the Southern Ocean will result in changes to the habitat use patterns exhibited by southern elephant seals at sea.</t>
  </si>
  <si>
    <t>[Mcintyre, Trevor; Donaldson, Ashleigh; Bester, Marthan N.] Univ Pretoria, Mammal Res Inst, Dept Zool &amp; Entomol, Private Bag X20, ZA-0028 Hatfield, South Africa</t>
  </si>
  <si>
    <t>Mcintyre, T (corresponding author), Univ Pretoria, Mammal Res Inst, Dept Zool &amp; Entomol, Private Bag X20, ZA-0028 Hatfield, South Africa.</t>
  </si>
  <si>
    <t>tmcintyre@zoology.up.ac.za</t>
  </si>
  <si>
    <t>Donaldson, Ashleigh/HLX-0142-2023; Bester, Marthán N/E-5387-2010; McIntyre, Trevor/E-6846-2010</t>
  </si>
  <si>
    <t>McIntyre, Trevor/0000-0001-8395-7550; Donaldson, Ashleigh/0000-0003-1586-4744</t>
  </si>
  <si>
    <t>Department of Science and Technology through National Research Foundation (South Africa); South African National Antarctic Programme; Alfred-Wegener-Institut Helmholtz-Zentrum fur Polar und Meeresforschung (Germany); Hanse-Wissenschaftskolleg in Delmenhorst, Germany</t>
  </si>
  <si>
    <t>Thank you to all the personnel involved in the deployment of SRDLs on Marion Island. The Department of Science and Technology through the National Research Foundation (South Africa), the South African National Antarctic Programme and the Alfred-Wegener-Institut Helmholtz-Zentrum fur Polar und Meeresforschung (Germany) provided financial and logistical support - we particularly wish to thank Jochen Plotz and Horst Bornemann in this regard. The Hanse-Wissenschaftskolleg in Delmenhorst, Germany, kindly provided a Fellowship to MNB during the final write-up of this paper. Thanks also to two anonymous reviewers for their constructive comments on a previous version of this manuscript. Satellite tag deployment procedures were approved by the Animal Use and Care Committee of the University of Pretoria (AUCC 040827-024 and AUC 040827-023) and performed under Prince Edward Island's Research Permits R8-04 and R4-08. Procedures conformed to Antarctic Treaty legislation and the Scientific Committee on Antarctic Research code of conduct.</t>
  </si>
  <si>
    <t>10.1017/S0954102015000553</t>
  </si>
  <si>
    <t>WOS:000372521200003</t>
  </si>
  <si>
    <t>Niemandt, C; Kovacs, KM; Lydersen, C; Dyer, BM; Isaksen, K; Hofmeyr, GJG; Mehlum, F; De Bruyn, PJN</t>
  </si>
  <si>
    <t>Niemandt, Corne; Kovacs, Kit M.; Lydersen, Christian; Dyer, Bruce M.; Isaksen, Kjell; Hofmeyr, G. J. Greg; Mehlum, Fridtjof; De Bruyn, P. J. Nico</t>
  </si>
  <si>
    <t>Chinstrap and macaroni penguin diet and demography at Nyroysa, Bouvetoya</t>
  </si>
  <si>
    <t>Antarctic fur seals; Antarctic krill; climate change; Eudyptes chrysolophus; population trends; Pygoscelis antarctica; Southern Ocean</t>
  </si>
  <si>
    <t>ANTARCTIC FUR SEALS; SOUTH-SHETLAND ISLANDS; POPULATION-CHANGES; EUDYPTES-CHRYSOLOPHUS; ARCTOCEPHALUS-GAZELLA; PYGOSCELIS-ANTARCTICA; ATLANTIC SECTOR; MYCTOPHID FISH; VARIABILITY; BEHAVIOR</t>
  </si>
  <si>
    <t>Knowledge regarding interactions between predators and their prey is fundamental for understanding underlying links between climate change and ecosystem responses, including predator demographics, in the Southern Ocean. This study reports data on reproductive performance, total population size and diet composition for macaroni and chinstrap penguins breeding at Nyroysa on Bouvetoya during the summers of 1996-97, 1998-99, 2000-01 and 2007-08. The breeding populations of these two species at Nyroysa decreased significantly over the study period, with an 80% decline for chinstraps and a 50% decline for macaroni penguins, despite relatively high levels of chick production. During this period macaroni penguins at this site ate a diverse diet, dominated by myctophid fish and two krill species, whereas chinstrap penguins were Antarctic krill specialists. The population changes are probably primarily due to the expanding Antarctic fur seal population, and also to landslides that are the result of increased melting on the island which have destroyed penguin breeding sites. Additional impacts from global warming of the ocean might also be playing a role and could exacerbate the decline in these penguin populations if krill and other prey are negatively impacted in the future in this region. The local chinstrap penguin population would probably be most heavily affected given its narrow feeding niche and small current population size.</t>
  </si>
  <si>
    <t>[Niemandt, Corne; Hofmeyr, G. J. Greg; De Bruyn, P. J. Nico] Univ Pretoria, Dept Zool &amp; Entomol, Mammal Res Inst, Private Bag X20, ZA-0028 Pretoria, South Africa; [Kovacs, Kit M.; Lydersen, Christian; Isaksen, Kjell; Mehlum, Fridtjof] Norwegian Polar Res Inst, Fram Ctr, N-9296 Tromso, Norway; [Dyer, Bruce M.] Dept Environm Affairs, Oceans &amp; Coasts, Private Bag X2, ZA-8012 Cape Town, South Africa; [Isaksen, Kjell] Vossegata 16 B, N-0475 Oslo, Norway; [Hofmeyr, G. J. Greg] Port Elizabeth Museum Bayworld, ZA-6013 Port Elizabeth, South Africa; [Mehlum, Fridtjof] Univ Oslo, Nat Hist Museum, N-0318 Oslo, Norway</t>
  </si>
  <si>
    <t>University of Pretoria; Norwegian Polar Institute; Department of Environment, Forestry &amp; Fisheries; University of Oslo</t>
  </si>
  <si>
    <t>Kovacs, KM (corresponding author), Norwegian Polar Res Inst, Fram Ctr, N-9296 Tromso, Norway.</t>
  </si>
  <si>
    <t>Kit.Kovacs@npolar.no</t>
  </si>
  <si>
    <t>Hofmeyr, G. J. Greg/AAV-3286-2020; de Bruyn, P. J. Nico/E-4176-2010</t>
  </si>
  <si>
    <t>Hofmeyr, G. J. Greg/0000-0003-0283-6058; de Bruyn, P. J. Nico/0000-0002-9114-9569</t>
  </si>
  <si>
    <t>Norwegian Polar Institute; Norwegian Antarctic Research Expeditions (NARE); Norwegian Agency for Development Cooperation (NORAD)</t>
  </si>
  <si>
    <t>Norwegian Polar Institute; Norwegian Antarctic Research Expeditions (NARE); Norwegian Agency for Development Cooperation (NORAD)(Norwegian Agency for Development Cooperation - NORAD)</t>
  </si>
  <si>
    <t>This study was funded by the Norwegian Polar Institute, the Norwegian Antarctic Research Expeditions (NARE), and The Norwegian Agency for Development Cooperation (NORAD). Logistic support was provided by the South African National Antarctic Program (SANAP). This project involved scientific co-operation between the Norwegian Polar Institute, the FitzPatrick Institute of African Ornithology (University of Cape Town) and the Mammal Research Institute of the University of Pretoria. We thank A. Arriola, V. Bakken, M.N. Bester, M. Biuw, J. Cooper, I. Gjertz, B.I.B. Harck, D. Keith, B. Krafft, P. Kritzinger, and P. Ryan for their support in planning or conducting the fieldwork. We also thank the captain/s and crew of the SA Agulhas (and the South African Department of Environmental Affairs, DEA), and RV Polar Queen for logistical support and transport to and from the island. We also thank Drs Norman Ratcliffe and Emilce Rombola who provided comments that helped us improve the manuscript.</t>
  </si>
  <si>
    <t>10.1017/S0954102015000504</t>
  </si>
  <si>
    <t>WOS:000372521200004</t>
  </si>
  <si>
    <t>Medová, H; Koblízek, M; Elster, J; Nedbalová, L</t>
  </si>
  <si>
    <t>Medova, Hana; Koblizek, Michal; Elster, Josef; Nedbalova, Linda</t>
  </si>
  <si>
    <t>Short Note Abundance of aerobic anoxygenic bacteria in freshwater lakes on James Ross Island, Antarctic Peninsula</t>
  </si>
  <si>
    <t>PHOTOTROPHS</t>
  </si>
  <si>
    <t>[Medova, Hana; Koblizek, Michal] CAS, Inst Microbiol, Ctr Algatech, Trebon 37981, Czech Republic; [Elster, Josef] AS CR, Inst Bot, Dukelska 135, Trebon 37982, Czech Republic; [Elster, Josef; Nedbalova, Linda] Univ South Bohemia, Fac Sci, Ctr Polar Ecol, Zlate Stoce 3, Ceske Budejovice 37005, Czech Republic; [Nedbalova, Linda] Charles Univ Prague, Fac Sci, Dept Ecol, Vinicna 7, CR-12844 Prague 2, Czech Republic</t>
  </si>
  <si>
    <t>Czech Academy of Sciences; Institute of Microbiology of the Czech Academy of Sciences; Czech Academy of Sciences; Institute of Botany of the Czech Academy of Sciences; University of South Bohemia Ceske Budejovice; Charles University Prague</t>
  </si>
  <si>
    <t>Medová, H (corresponding author), CAS, Inst Microbiol, Ctr Algatech, Trebon 37981, Czech Republic.</t>
  </si>
  <si>
    <t>hanka-medova@email.cz</t>
  </si>
  <si>
    <t>Elster, Josef/B-1031-2008; Medova, Hanulka/AAW-5285-2020; Koblizek, Michal/H-2851-2014; Nedbalová, Linda/AFF-8321-2022; Nedbalová, Linda/AAF-1001-2022</t>
  </si>
  <si>
    <t>Nedbalová, Linda/0000-0003-1800-714X; Nedbalová, Linda/0000-0003-1800-714X; Koblizek, Michal/0000-0001-6938-2340; Elster, Josef/0000-0002-4535-5636</t>
  </si>
  <si>
    <t>project CzechPolar [LM2010009]; GACR project [15-00703S]; project Algatech Plus [CZ.1.05/2.1.00/03.0110]</t>
  </si>
  <si>
    <t>project CzechPolar; GACR project(Grant Agency of the Czech Republic); project Algatech Plus</t>
  </si>
  <si>
    <t>The sampling was supported by the project CzechPolar LM2010009. The authors are grateful to the J.G. Mendel Czech Antarctic Station and its crew. MK is supported by the GACR project 15-00703S and project Algatech Plus CZ.1.05/2.1.00/03.0110. Many thanks to Jan Smilauer for providing the statistical software for the canonical analysis. We also thank the reviewers for their comments.</t>
  </si>
  <si>
    <t>10.1017/S0954102015000590</t>
  </si>
  <si>
    <t>WOS:000372521200005</t>
  </si>
  <si>
    <t>Bailey, BT; Morgan, PJ; Lackie, MA</t>
  </si>
  <si>
    <t>Bailey, Brad T.; Morgan, Peter J.; Lackie, Mark A.</t>
  </si>
  <si>
    <t>An assessment of the gravity signature of the Windmill Islands, East Antarctica</t>
  </si>
  <si>
    <t>Ardery Charnockite; density; Ford Granite; geology; ice ramp; Mitchell Peninsula</t>
  </si>
  <si>
    <t>EVOLUTION</t>
  </si>
  <si>
    <t>A gravity survey was conducted on the Windmill Islands, East Antarctica, during the 2004-05 summer season. The aim of the study was to investigate the subsurface geology of the Windmill Islands area. Ninety-seven gravity stations were established. Additionally, 49 observations from a survey in 1993-94 were re-reduced and merged with the 2004-05 data. A three-dimensional subsurface model was constructed from the merged gravity dataset to determine the subsurface geology of the Windmill Islands. The main country rock in the Windmill Islands is a Garnet-bearing Granite Gneiss. A relatively dense intrusive charnockite unit, the Ardery Charnockite, generates the dominant gravity high of the study area and has been modelled to extend to depths of 7-13 km. It has moderate to steep contacts against the surrounding Garnet-bearing Granite Gneiss. The Ardery Charnockite surrounds a less dense granite pluton, the Ford Granite, which is modelled to a depth of 6-12 km and creates a localized gravity low. This granitic pluton extends at depth towards the east. The modelling process has also shown that Mitchell Peninsula is linked to the adjacent Law Dome ice cap by an 'ice ramp' of approximately 100 m thickness.</t>
  </si>
  <si>
    <t>[Bailey, Brad T.; Lackie, Mark A.] Macquarie Univ, Dept Earth &amp; Planetary Sci, N Ryde, NSW 2109, Australia; [Morgan, Peter J.] Univ Canberra, Sch Informat Sci &amp; Engn, Canberra, ACT 2601, Australia; [Bailey, Brad T.] Oil Search Ltd, 1 Bligh St, Sydney, NSW 2000, Australia</t>
  </si>
  <si>
    <t>Macquarie University; University of Canberra</t>
  </si>
  <si>
    <t>Lackie, MA (corresponding author), Macquarie Univ, Dept Earth &amp; Planetary Sci, N Ryde, NSW 2109, Australia.</t>
  </si>
  <si>
    <t>mark.lackie@mq.edu.au</t>
  </si>
  <si>
    <t>Lackie, Mark/0000-0003-2722-9449</t>
  </si>
  <si>
    <t>Australian Antarctic Division under ASAC [2580]; Macquarie University RAACE scholarship; Macquarie University Post-graduate Research Fund (PGRF) grant; University of Canberra Research Fund</t>
  </si>
  <si>
    <t>Australian Antarctic Division under ASAC; Macquarie University RAACE scholarship; Macquarie University Post-graduate Research Fund (PGRF) grant; University of Canberra Research Fund</t>
  </si>
  <si>
    <t>Firstly, we would like to thank the PhD reviewers whose careful and constructive reviews have greatly improved our manuscript. We would also like to thank the two anonymous reviewers of this paper for their helpful comments. This project drew upon a wide range of resources. We are grateful to all personnel at Casey Station for the 2004-05 summer season, especially Field Training Officer Martin Benevente and the inflatable rescue boat crews. Thanks to Suzanne Haydon and Lindsay Thomas who made available data collected during 1993-94 under ASAC Grant 724. Thanks to Geoscience Australia who made available a Lacoste and Romberg gravity meter (G101) as well as providing excellent library and general technical support. Primary funding and infrastructure was provided by the Australian Antarctic Division under ASAC Grant 2580. Bailey was supported by a Macquarie University RAACE scholarship and a Macquarie University Post-graduate Research Fund (PGRF) grant. Morgan was supported by the University of Canberra Research Fund. This is contribution 1028 from the Australian Research Council National Key Centre for Geochemical Evolution and Metallogeny of Continents (http://www.gemoc.mq.edu.au).</t>
  </si>
  <si>
    <t>10.1017/S0954102015000565</t>
  </si>
  <si>
    <t>WOS:000372521200007</t>
  </si>
  <si>
    <t>Benallal, MA; Moussa, H; Touratier, F; Goyet, C; Poisson, A</t>
  </si>
  <si>
    <t>Benallal, M. A.; Moussa, H.; Touratier, F.; Goyet, C.; Poisson, A.</t>
  </si>
  <si>
    <t>Ocean salinity from satellite-derived temperature in the Antarctic Ocean</t>
  </si>
  <si>
    <t>mapping; Southern Ocean; surface salinity; temperature fields</t>
  </si>
  <si>
    <t>SOUTHERN-OCEAN</t>
  </si>
  <si>
    <t>The aim of the MINERVE project (Mesures a l'INterface Eau-aiR de la Variabilite des Echanges de CO2) is to observe and understand the seasonal and interannual variability of the partial pressure of CO2 (pCO(2)) in surface waters using hydrological and biogeochemical data in the Southern Ocean south of Australia. Logistics routes of the RV Astrolabe provide access to scarcely studied areas, thus allowing us to understand the different processes acting in this area of the Antarctic Ocean. The surface area covered by these cruises, however, is tiny compared with the total surface area of the Antarctic Ocean. Correlations between in situ surface temperature and salinity data were applied to satellite images of sea surface temperature to map ocean surface salinity over a much wider area than under the cruise tracks. Comparisons with salinity data from satellites which provide similar to 100 km resolution and 0.1 accuracy indicate that we are able to map salinity at 4 km resolution and almost the same accuracy of +/- 0.1.</t>
  </si>
  <si>
    <t>[Benallal, M. A.; Moussa, H.; Touratier, F.; Goyet, C.; Poisson, A.] Univ Perpignan, IMAGES ESP ACE DEV, Via Domitia,52 Ave Paul Alduy, F-66860 Perpignan 9, France; [Benallal, M. A.; Moussa, H.; Touratier, F.; Goyet, C.] Maison Teledetect, UG UA UR UM IRD, ESPACE DEV, 500 Rue Jean Francois Breton, F-34093 Montpellier 5, France; [Poisson, A.] Univ Paris 06, Lab Oceanog &amp; Climat Expt &amp; Approches Numer LOCEA, Paris, France</t>
  </si>
  <si>
    <t>Universite Perpignan Via Domitia; Sorbonne Universite</t>
  </si>
  <si>
    <t>Benallal, MA (corresponding author), Univ Perpignan, IMAGES ESP ACE DEV, Via Domitia,52 Ave Paul Alduy, F-66860 Perpignan 9, France.;Benallal, MA (corresponding author), Maison Teledetect, UG UA UR UM IRD, ESPACE DEV, 500 Rue Jean Francois Breton, F-34093 Montpellier 5, France.</t>
  </si>
  <si>
    <t>mohamed.benallal@univ-perp.fr</t>
  </si>
  <si>
    <t>BENALLAL, Mohamed Anis/AAG-1283-2021</t>
  </si>
  <si>
    <t>BENALLAL, Mohamed Anis/0000-0002-0852-5501; MOUSSA, Hadjer/0000-0003-0555-7679</t>
  </si>
  <si>
    <t>IPEV (Institutpolaire francais Paul Emile Victor); NASA; MESRS (Ministere de l'Enseignement Superieuret de la Recherche Scientifique) from Algeria</t>
  </si>
  <si>
    <t>IPEV (Institutpolaire francais Paul Emile Victor); NASA(National Aeronautics &amp; Space Administration (NASA)); MESRS (Ministere de l'Enseignement Superieuret de la Recherche Scientifique) from Algeria</t>
  </si>
  <si>
    <t>I would like to express my very great appreciation to all the persons who built and continue to provide accurate databases for the MINERVE project, and the IPEV (Institutpolaire francais Paul Emile Victor) which provides the logistics framework, human resources, and technical and financial resources to the development of French research in the Polar Regions. I would like to thank NASA for providing satellite temperature images. I am particularly grateful for the MESRS (Ministere de l'Enseignement Superieuret de la Recherche Scientifique) from Algeria which funded my PhD and gave me the opportunity to undertake research at the IMAGES laboratory. We are also grateful to the reviewers for their comments on the manuscript.</t>
  </si>
  <si>
    <t>10.1017/S0954102015000516</t>
  </si>
  <si>
    <t>WOS:000372521200008</t>
  </si>
  <si>
    <t>González, L; Robles, C; San Martín, MC</t>
  </si>
  <si>
    <t>Gonzalez, Laura; Robles, Claudia; Cortez San Martin, Marcelo</t>
  </si>
  <si>
    <t>Management issues regarding caligidosis treatment on salmon farms in Chile affected by infection salmon anaemia virus (ISAV), Piscirickettsia salmonis and Neoparamoeba perurans</t>
  </si>
  <si>
    <t>OCEAN &amp; COASTAL MANAGEMENT</t>
  </si>
  <si>
    <t>Caligus rogercresseyi; ISAV; Piscirickettsiosis; AGD; Co-infections; Lice bath-treatments; Integrated management</t>
  </si>
  <si>
    <t>AMEBIC-GILL-DISEASE; ATLANTIC SALMON; COHO SALMON; CALIGUS-ROGERCRESSEYI; ONCORHYNCHUS-KISUTCH; SEA LOUSE; SALAR; COPEPODA; FISH; HISTOPATHOLOGY</t>
  </si>
  <si>
    <t>Chile is one of the world's most prolific producers of farmed salmon, but has suffered great economic losses due to fish diseases. In this study, the interactions of treatments for the caligidosis agent Caligus rogercresseyi and major diseases in salmon aquaculture caused by Piscirickettsia salmonis, Infectious Salmon Anaemia Virus and Neoparamoeba perurans were determined. This information is essential to develop an integrated management strategy in Chile. Immunosuppression due to fish stress, increased by frequent chemical baths to treat C. rogercresseyi, was considered to be the main source of chronic caligidosis and high prevalence of other diseases. P. salmonis and pathogenic ISAV were detected using PCR analysis at all farms sampled, but N. perurans at one farm in April only. In 2011, individuals of Oncorhynchus mykiss with gill pathology not caused by N. perurans and receiving chemical baths at Farm 1 were affected by 100% prevalence of sea lice. Similar prevalence was observed on Salmo salar at Farm 2, which did not receive bath treatments. Both farms were under similar oceanographic influence. A prevalence of 80% of a pathogenic strain of ISAV, but without clinical symptoms, was detected at Farm 2, combined with low sea lice presence and almost complete absence of ovigerous females (OF) even though no treatment had been applied. S. salar sampled at Farm 3 in 2013 were also chronically infested with sea lice despite routine chemical treatment baths. P. salmonis was correlated with the increase in OF and chalimii. It was concluded that chemical baths to treat sea lice triggered fish mortality concomitantly with AGD due to prior gill damage. Fish stress conditions elicited by fish-gill disease, fish maturation and P. salmonis were related to an increase of ovigerous sea lice females. The decrease in recurrent and routine chemical baths allowed a reduction of sea lice reproduction and, most likely, of ISAV outbreaks. (C) 2016 Elsevier Ltd. All rights reserved.</t>
  </si>
  <si>
    <t>[Gonzalez, Laura] Univ Tasmania, Inst Marine &amp; Antarctic Studies, Locked Bag 1370, Launceston, Tas 7250, Australia; [Robles, Claudia; Cortez San Martin, Marcelo] Univ Santiago, Lab Virol, Santiago, Chile</t>
  </si>
  <si>
    <t>University of Tasmania; Universidad de Santiago de Chile</t>
  </si>
  <si>
    <t>González, L (corresponding author), Univ Tasmania, Inst Marine &amp; Antarctic Studies, Locked Bag 1370, Launceston, Tas 7250, Australia.;San Martín, MC (corresponding author), Univ Santiago, Lab Virol, Santiago, Chile.</t>
  </si>
  <si>
    <t>l.laura.gonzalez@gmail.com; marcelo.cortez@usach.cl</t>
  </si>
  <si>
    <t>Robles-Planells, Claudia/0000-0003-3339-8871; Gonzalez-Poblete, Laura/0000-0001-9964-2721</t>
  </si>
  <si>
    <t>Becas Chile scholarship [72090099]; Australian Society for Parasitology; Fondecyt [11110212]; FIA PYT [2012-0022]; DGT; DICYT from Universidad de Santiago de Chile</t>
  </si>
  <si>
    <t>Becas Chile scholarship; Australian Society for Parasitology; Fondecyt(Comision Nacional de Investigacion Cientifica y Tecnologica (CONICYT)CONICYT FONDECYT); FIA PYT; DGT; DICYT from Universidad de Santiago de Chile</t>
  </si>
  <si>
    <t>We are grateful to the Chilean Salmon Grower Association SalmonChile, Humberto Berth and Marco Rozas for facilitating the collection of samples, and for providing data from the farms for this study. The research was supported by a Becas Chile scholarship (Grant 72090099) to LG at the University of Tasmania, by the Australian Society for Parasitology (JD Smyth Postgraduate Travel Award in 2011) for LG research travel to Chile, by Fondecyt 11110212, FIA PYT 2012-0022, DGT and DICYT from Universidad de Santiago de Chile to MCSM, and by the Centro de Biotecnologia Acuicola, Universidad de Santiago de Chile, for providing a laboratory and materials. I also acknowledge the guidance in the statistical analysis of PhD(c) Alex Mellado from Universidad Catolica de Santiago, Chile, of Dr. Luis Cottet and Biochemist Nicolas Sandoval in ISAV molecular detection, and the technical assistance of Maria Jose Gonzalez and Maria Teresa Castillo (Universidad de Santiago, Chile).</t>
  </si>
  <si>
    <t>0964-5691</t>
  </si>
  <si>
    <t>1873-524X</t>
  </si>
  <si>
    <t>OCEAN COAST MANAGE</t>
  </si>
  <si>
    <t>Ocean Coastal Manage.</t>
  </si>
  <si>
    <t>10.1016/j.ocecoaman.2016.02.002</t>
  </si>
  <si>
    <t>Oceanography; Water Resources</t>
  </si>
  <si>
    <t>DG9CQ</t>
  </si>
  <si>
    <t>WOS:000372380800007</t>
  </si>
  <si>
    <t>Philpott, C</t>
  </si>
  <si>
    <t>Philpott, Carolyn</t>
  </si>
  <si>
    <t>Sonic Explorations of the Southernmost Continent: Four composers' responses to Antarctica and climate change in the twenty-first century</t>
  </si>
  <si>
    <t>ORGANISED SOUND</t>
  </si>
  <si>
    <t>SCIENCE; ICE; HISTORY</t>
  </si>
  <si>
    <t>Composers have been drawn to the world's southernmost continent, Antarctica, for creative inspiration since the so-called Heroic Age of Antarctic Exploration' in the late nineteenth and early twentieth centuries. However, it has only been since the final few years of the twentieth century that professional composers have had opportunities to travel to the far south as part of arts residency programmes to experience its environment - and its unique soundscapes - first-hand. Most composers who have visited Antarctica to date have utilised sound recording technologies to document their journeys sonically and have subsequently created compositions that feature their soundscape recordings. Typically, such compositions include biological sounds, such as vocalisations of penguins and seals (both on the ice and underwater); non-biological or geophysical' ambient sounds that emanate from the natural landscape, such as those created by wind, blizzards, and ice cracking and calving; and/or anthropogenic (human) sounds recorded within the Antarctic environment. This article examines a series of recent compositions by four established composers who have visited Antarctica and used their experiences and field recordings to inform their creative work: Douglas Quin, Jay Needham, Lawrence English and Philip Samartzis. The primary aim of this research is to investigate what these composers' Antarctica-related works reveal about their individual encounters with and perceptions of the frozen continent, as well as to consider the role of such compositions in conveying messages related to climate change to listeners around the globe - the vast majority of whom are unlikely to ever see or hear the place in person.</t>
  </si>
  <si>
    <t>[Philpott, Carolyn] Univ Tasmania, Tasmanian Coll Arts, Conservatorium Mus, Private Bag 63, Hobart, Tas 7001, Australia</t>
  </si>
  <si>
    <t>Philpott, C (corresponding author), Univ Tasmania, Tasmanian Coll Arts, Conservatorium Mus, Private Bag 63, Hobart, Tas 7001, Australia.</t>
  </si>
  <si>
    <t>Carolyn.Philpott@utas.edu.au</t>
  </si>
  <si>
    <t>Philpott, Carolyn/0000-0002-5778-5748</t>
  </si>
  <si>
    <t>EDINBURGH BLDG, SHAFTESBURY RD, CB2 8RU CAMBRIDGE, ENGLAND</t>
  </si>
  <si>
    <t>1355-7718</t>
  </si>
  <si>
    <t>1469-8153</t>
  </si>
  <si>
    <t>ORGAN SOUND</t>
  </si>
  <si>
    <t>Organ. Sound</t>
  </si>
  <si>
    <t>10.1017/S1355771815000400</t>
  </si>
  <si>
    <t>Music</t>
  </si>
  <si>
    <t>DH1BR</t>
  </si>
  <si>
    <t>WOS:000372519900009</t>
  </si>
  <si>
    <t>Veevers, JJ; Belousova, EA; Saeed, A</t>
  </si>
  <si>
    <t>Veevers, J. J.; Belousova, E. A.; Saeed, A.</t>
  </si>
  <si>
    <t>Zircons traced from the 700-500 Ma Transgondwanan Supermountains and the Gamburtsev Subglacial Mountains to the Ordovician Lachlan Orogen, Cretaceous Ceduna Delta, and modern Channel Country, central-southern Australia</t>
  </si>
  <si>
    <t>SEDIMENTARY GEOLOGY</t>
  </si>
  <si>
    <t>U-Pb detrital zircon age; Hf-isotopes; SE Australia; Provenance; Gamburtsev Subglacial Mountains; East African Antarctic Orogen</t>
  </si>
  <si>
    <t>U-PB ZIRCON; EARLY PALEOZOIC SANDSTONES; PRINCE-CHARLES MOUNTAINS; HF-ISOTOPE HETEROGENEITY; CAMBRIAN KANMANTOO GROUP; EAST-AFRICAN OROGEN; HOST-ROCK AFFINITY; MARIE BYRD LAND; T-DM AGES; DETRITAL ZIRCONS</t>
  </si>
  <si>
    <t>We test the hypothesis that the Transgondwanan Supermountains at the collision of East and West Gondwanaland were the provenance of a vast turbiditic fan that stretched alongside the East Gondwanaland margin to eastern Australia which, in turn, became the provenance of sediment shed into interior Australia to the Cretaceous Ceduna Delta in central-southern Australia and the modern Channel Country of central Australia. We employ an integrated analysis (U-Pb, Lu-Hf isotopes and trace elements) of detrital zircons in the Ceduna Delta and Channel Country. The main properties of the detrital zircons are U-Pb ages of 700-500 Ma (model ages T-DM(C) 2.5-1.0 Ga; epsilon Hf + 10 to 20) and 1300-1000 Ma ages (T-DM(C) 2.7-1.3 Ga; epsilon Hf +4 to 17), in hosts of mafic granitoids with alkaline affinity. Zircons with these properties can be traced back through the drainage/paleo-slope to the intermediate provenances of the Ordovician turbidites and S-type granitoids of the Lachlan Orogen, then up-paleoslope to the primary or secondary provenance of the ancestral Gamburtsev Subglacial Mountains, and finally to the primary provenance of the Transgondwanan Supermountains atop the 700-500 Ma East African-Antarctic Orogen. Another primary provenance, the 140-95 Ma Whitsunday Volcanic Province/New Caledonia arc in northeastern Australia, also shed sediment across Australia to the Ceduna Delta. We suggest that the primary sediment from the 700-500 Ma East African-Antarctic Orogen and the ancestral Gamburtsev Subglacial Mountains was shed into a deep-sea super-fan to (1) Ordovician turbidites in southeast Australia, recycled by melting of the turbidites to (2) 450 Ma S-type granites in the Lachlan Orogen, and (3) finally deposited, together with volcanogenic sediment from northeast Australia, in the Ceduna Delta. Zircons in the Channel Country and the Ceduna Delta have essentially the same properties, and indicate that the northeastern Australian provenance was largely unchanged over the past 100 Ma. (C) 2016 Elsevier B.V. All rights reserved.</t>
  </si>
  <si>
    <t>[Veevers, J. J.; Belousova, E. A.; Saeed, A.] Macquarie Univ, ARC Ctr Excellence Core Crust Fluid Syst CCFS, Sydney, NSW 2109, Australia; [Veevers, J. J.; Belousova, E. A.; Saeed, A.] Macquarie Univ, GEMOC, Dept Earth &amp; Planetary Sci, Sydney, NSW 2109, Australia</t>
  </si>
  <si>
    <t>Macquarie University; Macquarie University</t>
  </si>
  <si>
    <t>Veevers, JJ (corresponding author), Macquarie Univ, ARC Ctr Excellence Core Crust Fluid Syst CCFS, Sydney, NSW 2109, Australia.;Veevers, JJ (corresponding author), Macquarie Univ, GEMOC, Dept Earth &amp; Planetary Sci, Sydney, NSW 2109, Australia.</t>
  </si>
  <si>
    <t>john.veevers@mq.edu.au</t>
  </si>
  <si>
    <t>Belousova, Elena/JOJ-9926-2023</t>
  </si>
  <si>
    <t>Belousova, Elena/0000-0001-9369-4993; Belousova, Elena/0000-0003-2315-3520</t>
  </si>
  <si>
    <t>ARC [FT110100685]; Macquarie University; DEST Systemic Infrastructure Grants; ARC LIEF; NCRIS; Australian Research Council [FT110100685] Funding Source: Australian Research Council</t>
  </si>
  <si>
    <t>ARC(Australian Research Council); Macquarie University; DEST Systemic Infrastructure Grants(Australian GovernmentDepartment of Industry, Innovation and Science); ARC LIEF(Australian Research Council); NCRIS(Australian GovernmentDepartment of Industry, Innovation and Science); Australian Research Council(Australian Research Council)</t>
  </si>
  <si>
    <t>This study was supported by ARC FT110100685 and grants from Macquarie University. The analytical data were obtained by the use of instrumentation funded by DEST Systemic Infrastructure Grants, ARC LIEF, NCRIS, industry partners, and Macquarie University. This is contribution 623 from the ARC Centre of Excellence for Core to Crust Fluid Systems (http://www.ccfs.mq.edu.au) and contribution 1008 in the GEMOC Key Centre (http://www.gemoc.mq.edu.au).</t>
  </si>
  <si>
    <t>0037-0738</t>
  </si>
  <si>
    <t>1879-0968</t>
  </si>
  <si>
    <t>SEDIMENT GEOL</t>
  </si>
  <si>
    <t>Sediment. Geol.</t>
  </si>
  <si>
    <t>10.1016/j.sedgeo.2016.01.014</t>
  </si>
  <si>
    <t>DH4NO</t>
  </si>
  <si>
    <t>WOS:000372762900007</t>
  </si>
  <si>
    <t>Rodríguez, A; Chiaradia, A; Wasiak, P; Renwick, L; Dann, P</t>
  </si>
  <si>
    <t>Rodriguez, Airam; Chiaradia, Andre; Wasiak, Paula; Renwick, Leanne; Dann, Peter</t>
  </si>
  <si>
    <t>Waddling on the Dark Side: Ambient Light Affects Attendance Behavior of Little Penguins</t>
  </si>
  <si>
    <t>JOURNAL OF BIOLOGICAL RHYTHMS</t>
  </si>
  <si>
    <t>artificial light; attendance pattern; breeding; Eudyptula minor; light pollution; little penguin; moon; sun</t>
  </si>
  <si>
    <t>EUDYPTULA-MINOR; PREDATION RISK; MOONLIGHT AVOIDANCE; FORAGING BEHAVIOR; CHICK GROWTH; PLASTICITY; PATTERNS; VICTORIA; PETRELS; ARRIVAL</t>
  </si>
  <si>
    <t>Visible light on Earth largely comes from the sun, including light reflected from the moon. Predation risk is strongly determined by light conditions, and some animals are nocturnal to reduce predation. Artificial lights and its consequent light pollution may disrupt this natural behavior. Here, we used 13 years of attendance data to study the effects of sun, moon, and artificial light on the attendance pattern of a nocturnal seabird, the little penguin Eudyptula minor at Phillip Island, Australia. The little penguin is the smallest and the only penguin species whose activity on land is strictly nocturnal. Automated monitoring systems recorded individually marked penguins every time they arrived (after sunset) at or departed (before sunrise) from 2 colonies under different lighting conditions: natural night skylight and artificial lights (around 3 lux) used to enhance penguin viewing for ecotourism around sunset. Sunlight had a strong effect on attendance as penguins arrived on average around 81 min after sunset and departed around 92 min before sunrise. The effect of moonlight was also strong, varying according to moon phase. Fewer penguins came ashore during full moon nights. Moon phase effect was stronger on departure than arrival times. Thus, during nights between full moon and last quarter, arrival times (after sunset) were delayed, even though moonlight levels were low, while departure times (before sunrise) were earlier, coinciding with high moonlight levels. Cyclic patterns of moon effect were slightly out of phase but significantly between 2 colonies, which could be due to site-specific differences or presence/absence of artificial lights. Moonlight could be overridden by artificial light at our artificially lit colony, but the similar amplitude of attendance patterns between colonies suggests that artificial light did not mask the moonlight effect. Further research is indeed necessary to understand how seabirds respond to the increasing artificial night light levels.</t>
  </si>
  <si>
    <t>[Rodriguez, Airam; Chiaradia, Andre; Wasiak, Paula; Renwick, Leanne; Dann, Peter] Phillip Isl Nat Pk, Res Dept, Summerlands, Vic, Australia; [Rodriguez, Airam] CSIC, Estn Biol Donana, Dept Evolutionary Ecol, Avda Americo Vespucio S-N, Seville 41092, Spain</t>
  </si>
  <si>
    <t>Consejo Superior de Investigaciones Cientificas (CSIC); CSIC - Estacion Biologica de Donana (EBD)</t>
  </si>
  <si>
    <t>Rodríguez, A (corresponding author), CSIC, Estn Biol Donana, Dept Evolutionary Ecol, Avda Americo Vespucio S-N, Seville 41092, Spain.</t>
  </si>
  <si>
    <t>airamrguez@ebd.csic.es</t>
  </si>
  <si>
    <t>Chiaradia, Andre/AFK-6634-2022; Rodríguez, Airam/D-5110-2011; Chiaradia, Andre/AAG-4928-2022</t>
  </si>
  <si>
    <t>Chiaradia, Andre/0000-0002-6178-4211; Rodríguez, Airam/0000-0001-7882-135X; Chiaradia, Andre/0000-0002-6178-4211</t>
  </si>
  <si>
    <t>BHP-Billiton; AAT Kings; Penguin Foundation; Australian Academy of Science; Marie Curie International Outgoing Fellowship within European Community [330655 FP7-PEOPLE-2012-IOF]</t>
  </si>
  <si>
    <t>BHP-Billiton; AAT Kings; Penguin Foundation; Australian Academy of Science; Marie Curie International Outgoing Fellowship within European Community(Marie Curie ActionsEuropean Union (EU))</t>
  </si>
  <si>
    <t>We are grateful to Phillip Island Nature Parks: the rangers for their assistance in observational data collection and the research department for their continued support, particularly the late Mike Cullen, for his pioneering thinking on penguin attendance patterns at Phillip Island. We thank Ruth Martinez for her help in handling the database and the Australian Antarctic Division for kindly donating the automated penguin monitoring system (APMS), particularly Knowles Kerry and Kym Newbery. The APMS data collection and maintenance over the years were only possible thanks to many field assistants and electronic engineers (in chronological order since 1994): Brad Philips, Judy Clarke, Sarah Robinson-Laverick, Julija Yorke, Tom Daniel, Peter Knerborne, Marcus Salton, Julie McInnes, Rohan Long, Sandi Laaksonen, Hugh Davies, Darren Steirt, Matt Simpson, Claire Saraux, Laure Pelletier, Kean Maizels, and Danielle Hedger. Two anonymous reviewers and the editor William J. Schwartz provided constructive comments on early drafts. This work received grants and donations from BHP-Billiton, AAT Kings, Penguin Foundation, and Australian Academy of Science. A. R. was supported by a Marie Curie International Outgoing Fellowship within the 7th European Community Framework Programme (330655 FP7-PEOPLE-2012-IOF).</t>
  </si>
  <si>
    <t>0748-7304</t>
  </si>
  <si>
    <t>1552-4531</t>
  </si>
  <si>
    <t>J BIOL RHYTHM</t>
  </si>
  <si>
    <t>J. Biol. Rhythms</t>
  </si>
  <si>
    <t>10.1177/0748730415626010</t>
  </si>
  <si>
    <t>Biology; Physiology</t>
  </si>
  <si>
    <t>Life Sciences &amp; Biomedicine - Other Topics; Physiology</t>
  </si>
  <si>
    <t>DG7PG</t>
  </si>
  <si>
    <t>WOS:000372275600007</t>
  </si>
  <si>
    <t>McDowell, RE; Amsler, CD; Amsler, MO; Li, Q; Lancaster, JR</t>
  </si>
  <si>
    <t>McDowell, Ruth E.; Amsler, Charles D.; Amsler, Margaret O.; Li, Qian; Lancaster, Jack R., Jr.</t>
  </si>
  <si>
    <t>Control of grazing by light availability via light-dependent, wound-induced metabolites: The role of reactive oxygen species</t>
  </si>
  <si>
    <t>Algae; Electron paramagnetic resonance (EPR); Free radical; Grazing; Irradiance; Light; Oxidative burst; Plant-herbivore interaction; Reactive oxygen species (ROS); Wound</t>
  </si>
  <si>
    <t>BORER OSTRINIA-NUBILALIS; HYDROGEN-PEROXIDE; SUBTIDAL MACROALGAE; CHEMICAL DEFENSES; OXIDATIVE BURST; SUPEROXIDE; CHLOROPLASTS; PALATABILITY; INDUCTION; RESPONSES</t>
  </si>
  <si>
    <t>Light may influence grazing through its effect on grazers or by influencing the physiology and biochemistry of primary producers. It has recently been established that reactive oxygen species (ROS) produced by a wounded macroalga depend on light via photosynthetic electron transport. Since ROS can act as both chemical messengers and toxins, it is hypothesized that the light-dependence of wound-induced ROS can have ecological consequences for plant-herbivore interactions. Through spin trapping and electron paramagnetic resonance, this study shows that wounded Ascoseira mirabilis produced ROS that were correlated with A. mirabilis wounding in light but not dark conditions. In feeding assays where sympatric amphipods consumed palatable macroalgae in the presence of wounded A. mirabilis, amphipod consumption was correlated with A. mirabilis wounding in light but not dark conditions. The nonlinear effect of ROS on grazing suggests that in ecology, as in physiology, low levels of ROS may act as messengers while high levels are toxic. (C) 2016 Elsevier B.V. All rights reserved.</t>
  </si>
  <si>
    <t>[McDowell, Ruth E.; Amsler, Charles D.; Amsler, Margaret O.] Univ Alabama Birmingham, Dept Biol, Birmingham, AL 35294 USA; [McDowell, Ruth E.; Amsler, Charles D.; Li, Qian; Lancaster, Jack R., Jr.] Univ Alabama Birmingham, Ctr Free Radical Biol, Birmingham, AL 35294 USA; [Li, Qian; Lancaster, Jack R., Jr.] Univ Alabama Birmingham, Dept Anesthesiol, Birmingham, AL 35294 USA; [Lancaster, Jack R., Jr.] Univ Pittsburgh, Sch Med, Dept Pharmacol &amp; Chem Biol, Pittsburgh, PA 15213 USA; [Lancaster, Jack R., Jr.] Univ Pittsburgh, Sch Med, Dept Surg, Pittsburgh, PA 15213 USA; [Lancaster, Jack R., Jr.] Univ Pittsburgh, Sch Med, Dept Med, Pittsburgh, PA 15213 USA</t>
  </si>
  <si>
    <t>University of Alabama System; University of Alabama Birmingham; University of Alabama System; University of Alabama Birmingham; University of Alabama System; University of Alabama Birmingham; Pennsylvania Commonwealth System of Higher Education (PCSHE); University of Pittsburgh; Pennsylvania Commonwealth System of Higher Education (PCSHE); University of Pittsburgh; Pennsylvania Commonwealth System of Higher Education (PCSHE); University of Pittsburgh</t>
  </si>
  <si>
    <t>McDowell, RE (corresponding author), Univ Alabama Birmingham, Dept Biol, Birmingham, AL 35294 USA.</t>
  </si>
  <si>
    <t>mcdowellruth@gmail.com; amsler@uab.edu; mamsler@uab.edu; qianli@uab.edu; doctorno@uab.edu</t>
  </si>
  <si>
    <t>McDowell, Ruth/KHX-0075-2024</t>
  </si>
  <si>
    <t>Amsler, Charles/0000-0002-4843-3759</t>
  </si>
  <si>
    <t>National Science Foundation awards from the Antarctic Organisms and Ecosystems Program [ANT-0838773, ANT-1041022]</t>
  </si>
  <si>
    <t>National Science Foundation awards from the Antarctic Organisms and Ecosystems Program(National Science Foundation (NSF)NSF - Directorate for Geosciences (GEO))</t>
  </si>
  <si>
    <t>We are grateful to Marc Travers for his insightful comments on the data presented here, Robert Angus for his advice on statistical analyses, and Jim McClintock for his work obtaining the grants used to fund this research. This work was funded by National Science Foundation awards ANT-0838773 and ANT-1041022 from the Antarctic Organisms and Ecosystems Program (CDA).[SS]</t>
  </si>
  <si>
    <t>10.1016/j.jembe.2016.01.011</t>
  </si>
  <si>
    <t>DG3DV</t>
  </si>
  <si>
    <t>WOS:000371950600011</t>
  </si>
  <si>
    <t>Amoroso, G; Adams, MB; Ventura, T; Carter, CG; Cobcroft, JM</t>
  </si>
  <si>
    <t>Amoroso, G.; Adams, M. B.; Ventura, T.; Carter, C. G.; Cobcroft, J. M.</t>
  </si>
  <si>
    <t>Skeletal anomaly assessment in diploid and triploid juvenile Atlantic salmon (Salmo salar L.) and the effect of temperature in freshwater</t>
  </si>
  <si>
    <t>JOURNAL OF FISH DISEASES</t>
  </si>
  <si>
    <t>aquaculture; Atlantic salmon; lower jaw deformity; opercular shortening; triploid; vertebral deformities</t>
  </si>
  <si>
    <t>PARR-SMOLT TRANSFORMATION; EUROPEAN FISH LARVAE; GILTHEAD SEA BREAM; VERTEBRAL DEFORMITIES; SWIMMING PERFORMANCE; EXHAUSTIVE EXERCISE; JAW MALFORMATION; FOOD-CONSUMPTION; NEW-BRUNSWICK; POST-SMOLTS</t>
  </si>
  <si>
    <t>Triploid Atlantic salmon tend to develop a higher prevalence of skeletal anomalies. This tendency may be exacerbated by an inadequate rearing temperature. Early juvenile all-female diploid and triploid Atlantic salmon were screened for skeletal anomalies in consecutive experiments to include two size ranges: the first tested the effect of ploidy (0.2-8g) and the second the effect of ploidy, temperature (14 degrees C and 18 degrees C) and their interaction (8-60g). The first experiment showed that ploidy had no effect on skeletal anomaly prevalence. A high prevalence of opercular shortening was observed (average prevalence in both ploidies 85.8%) and short lower jaws were common (highest prevalence observed 11.3%). In the second experiment, ploidy, but not temperature, affected the prevalence of short lower jaw (diploids&gt; triploids) and lower jaw deformity (triploids&gt; diploids, highest prevalence observed 11.1% triploids and 2.7% diploids) with a trend indicating a possible developmental link between the two jaw anomalies in triploids. A radiological assessment (n=240 individuals) showed that at both temperatures triploids had a significantly (P&lt;0.05) lower number of vertebrae and higher prevalence of deformed individuals. These findings (second experiment) suggest ploidy was more influential than temperature in this study.</t>
  </si>
  <si>
    <t>[Amoroso, G.; Adams, M. B.] Univ Tasmania, Fisheries &amp; Aquaculture Ctr, Inst Marine &amp; Antarctic Studies, Launceston, Tas 7250, Australia; [Ventura, T.; Cobcroft, J. M.] Univ Sunshine Coast, Maroochydore, Qld, Australia; [Carter, C. G.; Cobcroft, J. M.] Univ Tasmania, Fisheries &amp; Aquaculture Ctr, Inst Marine &amp; Antarctic Studies, Hobart, Tas, Australia</t>
  </si>
  <si>
    <t>University of Tasmania; University of the Sunshine Coast; University of Tasmania</t>
  </si>
  <si>
    <t>Amoroso, G (corresponding author), Univ Tasmania, Fisheries &amp; Aquaculture Ctr, Inst Marine &amp; Antarctic Studies, Launceston, Tas 7250, Australia.</t>
  </si>
  <si>
    <t>gianluca.amoroso@utas.edu.au</t>
  </si>
  <si>
    <t>Carter, Chris G./A-3438-2008; Adams, Mark/J-7557-2014</t>
  </si>
  <si>
    <t>Carter, Chris G./0000-0001-5210-1282; Amoroso, Gianluca/0000-0003-2985-4205; Adams, Mark/0000-0002-5737-5474; Ventura, Tomer/0000-0002-0777-2367</t>
  </si>
  <si>
    <t>Commonwealth Government's Collaborative Research Network (CRN) Program; Institute for Marine and Antarctic Studies (IMAS); University of Tasmania; IMAS 'Tasmania Graduate Research Scholarship'; University of the Sunshine Coast CRN Research Fellowship</t>
  </si>
  <si>
    <t>This research was supported by the Commonwealth Government's Collaborative Research Network (CRN) Program funding and the Institute for Marine and Antarctic Studies (IMAS). The authors thank Petuna for provision of fertilized eggs and Shaun Slevec and Ryan Wilkinson for their support. Ylenia Pennacchi and Deborah Leonard are thanked for technical assistance during experiments and samplings. Peter de Boer from Mowbray Veterinary Clinic is thanked for providing radiological equipment and assisting with the analysis. GA was supported by a University of Tasmania and IMAS 'Tasmania Graduate Research Scholarship' and JC was supported by a University of the Sunshine Coast CRN Research Fellowship.</t>
  </si>
  <si>
    <t>0140-7775</t>
  </si>
  <si>
    <t>1365-2761</t>
  </si>
  <si>
    <t>J FISH DIS</t>
  </si>
  <si>
    <t>J. Fish Dis.</t>
  </si>
  <si>
    <t>10.1111/jfd.12438</t>
  </si>
  <si>
    <t>Fisheries; Marine &amp; Freshwater Biology; Veterinary Sciences</t>
  </si>
  <si>
    <t>DG8KZ</t>
  </si>
  <si>
    <t>WOS:000372334000006</t>
  </si>
  <si>
    <t>Xi, X; Feng, XM; Shi, NR; Ma, XX; Lin, H; Han, YQ</t>
  </si>
  <si>
    <t>Xi, Xuan; Feng, Xiaomei; Shi, Nianrong; Ma, Xixiu; Lin, Hong; Han, Yuqian</t>
  </si>
  <si>
    <t>Immobilized phospholipase A1-catalyzed acidolysis of phosphatidylcholine from Antarctic krill (Euphausia superba) for docosahexaenoic acid enrichment under supercritical conditions</t>
  </si>
  <si>
    <t>JOURNAL OF MOLECULAR CATALYSIS B-ENZYMATIC</t>
  </si>
  <si>
    <t>Supercritical carbon dioxide; Antarctic krill; Phosphatidylcholine; Docosahexaenoic acid; Phospholipase A1</t>
  </si>
  <si>
    <t>POLYUNSATURATED FATTY-ACIDS; CATALYZED REACTIONS; RHESUS-MONKEYS; CARBON-DIOXIDE; FISH-OIL; ESTERIFICATION; PLASMA; BRAIN; ERYTHROCYTES; DEFICIENCY</t>
  </si>
  <si>
    <t>This paper describes the use of immobilized phospholipase A1 (PLAT) for the production of phosphatidylcholine (PC) rich in docosahexaenoic acid (DHA) using PC from Antarctic krill and fish fatty acids (FA) as the substrates, and supercritical carbon dioxide (SCCO2) as the solvent medium. Detailed studies of immobilization were performed, and PLAT was immobilized by physical adsorption onto DA -201. The best conditions for adsorption were as follows: protein loading= 85 mg PLAT /g support at a pH of 5 with 10 h of contact. For synthesis of PC with high levels of DHA, the effects of several parameters, including pressure, reaction time, temperature, enzyme loading and substrate molar ratio, were investigated to determine optimal conditions. The optimal substrate molar ratio of the FA to PC was 10. Under 12 MPa and 50 degrees C SCCO2, 59.0 mol% DHA was incorporated into PC after only 7 h at an immobilized enzyme loading rate of 15 wt% of the total substrates. The PC yield was 27.5 mol% under the optimal conditions. (C) 2016 Elsevier B.V. All rights reserved.</t>
  </si>
  <si>
    <t>[Xi, Xuan; Feng, Xiaomei; Shi, Nianrong; Ma, Xixiu; Lin, Hong; Han, Yuqian] Ocean Univ China, Coll Food Sci &amp; Engn, POB 266003, Qingdao, Peoples R China</t>
  </si>
  <si>
    <t>Ocean University of China</t>
  </si>
  <si>
    <t>Han, YQ (corresponding author), Ocean Univ China, Coll Food Sci &amp; Engn, POB 266003, Qingdao, Peoples R China.</t>
  </si>
  <si>
    <t>hanyuqian@ouc.edu.cn</t>
  </si>
  <si>
    <t>National Natural Science Funds [31071541]; Program for Changjiang Scholars and Innovative Research Team in University (PCSIRT) [IRT1188]</t>
  </si>
  <si>
    <t>National Natural Science Funds(National Natural Science Foundation of China (NSFC)); Program for Changjiang Scholars and Innovative Research Team in University (PCSIRT)(Program for Changjiang Scholars &amp; Innovative Research Team in University (PCSIRT))</t>
  </si>
  <si>
    <t>This work was financially supported by the National Natural Science Funds (Project Number 31071541) and the Program for Changjiang Scholars and Innovative Research Team in University (PCSIRT, IRT1188).</t>
  </si>
  <si>
    <t>1381-1177</t>
  </si>
  <si>
    <t>1873-3158</t>
  </si>
  <si>
    <t>J MOL CATAL B-ENZYM</t>
  </si>
  <si>
    <t>J. Mol. Catal. B-Enzym.</t>
  </si>
  <si>
    <t>10.1016/j.molcatb.2016.01.011</t>
  </si>
  <si>
    <t>Biochemistry &amp; Molecular Biology; Chemistry, Physical</t>
  </si>
  <si>
    <t>DG2RI</t>
  </si>
  <si>
    <t>WOS:000371915000007</t>
  </si>
  <si>
    <t>Zhang, T; Wang, NF; Zhang, YQ; Liu, HY; Yu, LY</t>
  </si>
  <si>
    <t>Zhang, Tao; Wang, Neng-Fei; Zhang, Yu-Qin; Liu, Hong-Yu; Yu, Li-Yan</t>
  </si>
  <si>
    <t>Diversity and Distribution of Aquatic Fungal Communities in the Ny-lesund Region, Svalbard (High Arctic)</t>
  </si>
  <si>
    <t>Fungal communities; High arctic; 454 pyrosequencing; Aquatic environments</t>
  </si>
  <si>
    <t>ROOT-ASSOCIATED FUNGI; LAKE; PHYTOPLANKTON; HYPHOMYCETE; PHYLOGENY; YEASTS; PONDS; GEN.; NOV.</t>
  </si>
  <si>
    <t>We assessed the diversity and distribution of fungi in 13 water samples collected from four aquatic environments (stream, pond, melting ice water, and estuary) in the Ny-lesund Region, Svalbard (High Arctic) using 454 pyrosequencing with fungi-specific primers targeting the internal transcribed spacer (ITS) region of the ribosomal rRNA gene. Aquatic fungal communities in this region showed high diversity, with a total of 43,061 reads belonging to 641 operational taxonomic units (OTUs) being found. Of these OTUs, 200 belonged to Ascomycota, 196 to Chytridiomycota, 120 to Basidiomycota, 13 to Glomeromycota, and 10 to early diverging fungal lineages (traditional Zygomycota), whereas 102 belonged to unknown fungi. The major orders were Helotiales, Eurotiales, and Pleosporales in Ascomycota; Chytridiales and Rhizophydiales in Chytridiomycota; and Leucosporidiales and Sporidiobolales in Basidiomycota. The common fungal genera Penicillium, Rhodotorula, Epicoccum, Glaciozyma, Holtermanniella, Betamyces, and Phoma were identified. Interestingly, the four aquatic environments in this region harbored different aquatic fungal communities. Salinity, conductivity, and temperature were important factors in determining the aquatic fungal diversity and community composition. The results suggest the presence of diverse fungal communities and a considerable number of potentially novel fungal species in Arctic aquatic environments, which can provide reliable data for studying the ecological and evolutionary responses of fungi to climate change in the Arctic ecosystem.</t>
  </si>
  <si>
    <t>[Zhang, Tao; Zhang, Yu-Qin; Liu, Hong-Yu; Yu, Li-Yan] Chinese Acad Med Sci, Inst Med Biotechnol, China Pharmaceut Culture Collect, Beijing 100050, Peoples R China; [Zhang, Tao; Zhang, Yu-Qin; Liu, Hong-Yu; Yu, Li-Yan] Peking Union Med Coll, Beijing 100050, Peoples R China; [Wang, Neng-Fei] State Ocean Adm, Inst Oceanog 1, Key Lab Marine Bioact Subst, Qingdao 266061, Peoples R China</t>
  </si>
  <si>
    <t>Chinese Academy of Medical Sciences - Peking Union Medical College; Institute of Medicinal Biotechnology - CAMS; Chinese Academy of Medical Sciences - Peking Union Medical College; Peking Union Medical College; First Institute of Oceanography, Ministry of Natural Resources</t>
  </si>
  <si>
    <t>Yu, LY (corresponding author), Chinese Acad Med Sci, Inst Med Biotechnol, China Pharmaceut Culture Collect, Beijing 100050, Peoples R China.;Yu, LY (corresponding author), Peking Union Med Coll, Beijing 100050, Peoples R China.</t>
  </si>
  <si>
    <t>yly@cpcc.ac.cn</t>
  </si>
  <si>
    <t>huang, libo/JMB-4345-2023; Xi, Yang/KEH-5204-2024; ying, liu/KEI-0478-2024; Zhang, Yu-Qin/AEH-7339-2022; yu, liyan/GYD-2950-2022</t>
  </si>
  <si>
    <t>Zhang, Yu-Qin/0000-0002-1739-6705; yu, liyan/0000-0002-8861-9806</t>
  </si>
  <si>
    <t>National Infrastructure of Microbial Resources [NIMR-2015-3]; National Natural Science Foundation of China (NSFC) [31170041, 31300115]; Polar Strategic Research Foundation of China [20120302]; Projects of the Chinese Arctic and Antarctic Administration, State Oceanic Administration [2013YR06006, 2013YR05005]; Xiehe scholarship</t>
  </si>
  <si>
    <t>National Infrastructure of Microbial Resources; National Natural Science Foundation of China (NSFC)(National Natural Science Foundation of China (NSFC)); Polar Strategic Research Foundation of China; Projects of the Chinese Arctic and Antarctic Administration, State Oceanic Administration; Xiehe scholarship</t>
  </si>
  <si>
    <t>This research was supported by the National Infrastructure of Microbial Resources (No. NIMR-2015-3), the National Natural Science Foundation of China (NSFC) (Nos. 31170041 and 31300115), the Polar Strategic Research Foundation of China (No. 20120302), and Projects of the Chinese Arctic and Antarctic Administration, State Oceanic Administration (Nos. 2013YR06006 and 2013YR05005). Li-Yan Yu is supported by Xiehe scholarship.</t>
  </si>
  <si>
    <t>10.1007/s00248-015-0689-1</t>
  </si>
  <si>
    <t>DG7LO</t>
  </si>
  <si>
    <t>WOS:000372266000004</t>
  </si>
  <si>
    <t>Schoombie, S; Crawford, RJM; Makhado, AB; Dyer, BM; Ryan, PG</t>
  </si>
  <si>
    <t>Schoombie, S.; Crawford, R. J. M.; Makhado, A. B.; Dyer, B. M.; Ryan, P. G.</t>
  </si>
  <si>
    <t>Recent population trends of sooty and light-mantled albatrosses breeding on Marion Island</t>
  </si>
  <si>
    <t>AFRICAN JOURNAL OF MARINE SCIENCE</t>
  </si>
  <si>
    <t>count technique; phenology; Phoebetria; population size; Prince Edward Islands</t>
  </si>
  <si>
    <t>PRINCE EDWARD ISLANDS; SEABIRD MORTALITY; LONGLINE FISHERY; GIANT PETRELS; OCEAN; VARIABILITY; CLIMATE; MODELS</t>
  </si>
  <si>
    <t>Sub-Antarctic Marion Island is one of the few islands where both species of Phoebetria albatrosses breed sympatrically. The last published assessment of their population trends, which reported counts up to 2008, concluded that the numbers of breeding pairs of sooty albatross P. fusca (Endangered) were decreasing, whereas numbers of light-mantled albatross P. palpebrata (Near Threatened) were increasing. Extending the counts to 2014 reversed these trends, with numbers of sooty albatrosses increasing from 2006 to 2014, and numbers of light-mantled albatrosses decreasing from 2007 to 2014. Confidence in island-wide counts is low due to the cryptic nature of the albatrosses on their largely inaccessible cliff-side nest sites, as well as counts for sooty albatrosses taking place late in the incubation period when 10-20% of nests have already failed. Given the greater conservation concern for the sooty albatross, we recommend that dedicated annual counts be conducted during the early incubation period, and be repeated shortly after the chicks hatch (late December), mid-way through the nestling period (late February) and prior to fledging (late April), to give a better idea of breeding success. Count zones also should be revised to facilitate more accurate counts, ensuring more reliable estimates of sooty albatross population trends at Marion Island.</t>
  </si>
  <si>
    <t>[Schoombie, S.; Makhado, A. B.; Ryan, P. G.] Univ Cape Town, DST NRF Ctr Excellence, Percy Fitzpatrick Inst African Ornithol, ZA-7925 Cape Town, South Africa; [Crawford, R. J. M.; Makhado, A. B.; Dyer, B. M.] Dept Environm Affairs, Branch Oceans &amp; Coasts, Cape Town, South Africa; [Crawford, R. J. M.] Univ Cape Town, Anim Demog Unit, ZA-7925 Cape Town, South Africa</t>
  </si>
  <si>
    <t>National Research Foundation - South Africa; University of Cape Town; Department of Environment, Forestry &amp; Fisheries; University of Cape Town</t>
  </si>
  <si>
    <t>Schoombie, S (corresponding author), Univ Cape Town, DST NRF Ctr Excellence, Percy Fitzpatrick Inst African Ornithol, ZA-7925 Cape Town, South Africa.</t>
  </si>
  <si>
    <t>schoombie@gmail.com</t>
  </si>
  <si>
    <t>National Research Foundation (NRF) through the South African National Antarctic Programme; Department of Environmental Affairs; NRF's incentive programme</t>
  </si>
  <si>
    <t>We thank the numerous field assistants who counted albatrosses in often trying conditions, and especially David Green for conducting the 2014 incubator count so thoroughly. The National Research Foundation (NRF) through the South African National Antarctic Programme and the Department of Environmental Affairs provided financial and logistical support. RJMC is grateful for support through NRF's incentive programme. Thanks to Ben Dilley and Delia Davies for producing the island map.</t>
  </si>
  <si>
    <t>NATL INQUIRY SERVICES CENTRE PTY LTD</t>
  </si>
  <si>
    <t>GRAHAMSTOWN</t>
  </si>
  <si>
    <t>19 WORCESTER STREET, PO BOX 377, GRAHAMSTOWN 6140, SOUTH AFRICA</t>
  </si>
  <si>
    <t>1814-232X</t>
  </si>
  <si>
    <t>1814-2338</t>
  </si>
  <si>
    <t>AFR J MAR SCI</t>
  </si>
  <si>
    <t>Afr. J. Mar. Sci.</t>
  </si>
  <si>
    <t>10.2989/1814232X.2016.1162750</t>
  </si>
  <si>
    <t>DL0LB</t>
  </si>
  <si>
    <t>WOS:000375323000012</t>
  </si>
  <si>
    <t>Lisovski, S; Fröhlich, A; von Tersch, M; Klaassen, M; Peter, HU; Ritz, MS</t>
  </si>
  <si>
    <t>Lisovski, Simeon; Froehlich, Anne; von Tersch, Matthew; Klaassen, Marcel; Peter, Hans-Ulrich; Ritz, Markus S.</t>
  </si>
  <si>
    <t>Sex-Specific Arrival Times on the Breeding Grounds: Hybridizing Migratory Skuas Provide Empirical Support for the Role of Sex Ratios</t>
  </si>
  <si>
    <t>AMERICAN NATURALIST</t>
  </si>
  <si>
    <t>migration; arrival dates; Catharacta; population sex ratio; sex role reversal; spring migration</t>
  </si>
  <si>
    <t>SOUTH POLAR SKUAS; CATHARACTA-MACCORMICKI; BROWN SKUAS; SELECTION; BEHAVIOR; AREAS</t>
  </si>
  <si>
    <t>In migratory animals, protandry (earlier arrival of males on the breeding grounds) prevails over protogyny (females preceding males). In theory, sex differences in timing of arrival should be driven by the operational sex ratio, shifting toward protogyny in female-biased populations. However, empirical support for this hypothesis is, to date, lacking. To test this hypothesis, we analyzed arrival data from three populations of the long-distance migratory south polar skua (Catharacta maccormicki). These populations differed in their operational sex ratio caused by the unidirectional hybridization of male south polar skuas with female brown skuas (Catharacta antarctica lonnbergi). We found that arrival times were protandrous in allopatry, shifting toward protogyny in female-biased populations when breeding in sympatry. This unique observation is consistent with theoretical predictions that sex-specific arrival times should be influenced by sex ratio and that protogyny should be observed in populations with female-biased operational sex ratio.</t>
  </si>
  <si>
    <t>[Lisovski, Simeon; Klaassen, Marcel] Deakin Univ, Sch Life &amp; Environm Sci, Ctr Integrat Ecol, Geelong, Vic 3220, Australia; [Lisovski, Simeon; Froehlich, Anne; Peter, Hans-Ulrich; Ritz, Markus S.] Univ Jena, Polar &amp; Bird Ecol Grp, Inst Ecol, D-07743 Jena, Germany; [von Tersch, Matthew] British Antarctic Survey, NERC, Cambridge CB3 0ET, England; [von Tersch, Matthew] Univ York, Dept Archaeol, York YO10 5DD, N Yorkshire, England; [Ritz, Markus S.] Senckenberg Museum Nat Hist Gorlitz, D-02826 Gorlitz, Germany</t>
  </si>
  <si>
    <t>Deakin University; Friedrich Schiller University of Jena; UK Research &amp; Innovation (UKRI); Natural Environment Research Council (NERC); NERC British Antarctic Survey; University of York - UK; Senckenberg Gesellschaft fur Naturforschung (SGN)</t>
  </si>
  <si>
    <t>Lisovski, S (corresponding author), Deakin Univ, Sch Life &amp; Environm Sci, Ctr Integrat Ecol, Geelong, Vic 3220, Australia.;Lisovski, S (corresponding author), Univ Jena, Polar &amp; Bird Ecol Grp, Inst Ecol, D-07743 Jena, Germany.</t>
  </si>
  <si>
    <t>simeon.lisovski@gmail.com</t>
  </si>
  <si>
    <t>Lisovski, Simeon/AAD-4201-2019; Klaassen, Marcel/B-4325-2008; Ritz, Markus S./A-5321-2008</t>
  </si>
  <si>
    <t>Klaassen, Marcel/0000-0003-3907-9599; Lisovski, Simeon/0000-0002-6399-0035</t>
  </si>
  <si>
    <t>Deutsche Forschungsgemeinschaft [PE 454/16]; NERC [bas010011] Funding Source: UKRI; Natural Environment Research Council [bas010011] Funding Source: researchfish</t>
  </si>
  <si>
    <t>Deutsche Forschungsgemeinschaft(German Research Foundation (DFG)); NERC(UK Research &amp; Innovation (UKRI)Natural Environment Research Council (NERC)); Natural Environment Research Council(UK Research &amp; Innovation (UKRI)Natural Environment Research Council (NERC))</t>
  </si>
  <si>
    <t>We thank K. A. Hughes and R. A. Phillips for organizing the data sampling at Rothera Point. V. Careau, B. G. Fanson, and K. V. Fanson as well as two anonymous reviewers helped to significantly improve the manuscript. The project was funded by the Deutsche Forschungsgemeinschaft (PE 454/16) and contributes to the British Antarctic Survey's Polar Science for Planet Earth program EO-LTMS (Environment Office-Long-Term Monitoring and Survey).</t>
  </si>
  <si>
    <t>0003-0147</t>
  </si>
  <si>
    <t>1537-5323</t>
  </si>
  <si>
    <t>AM NAT</t>
  </si>
  <si>
    <t>Am. Nat.</t>
  </si>
  <si>
    <t>10.1086/685282</t>
  </si>
  <si>
    <t>Ecology; Evolutionary Biology</t>
  </si>
  <si>
    <t>Environmental Sciences &amp; Ecology; Evolutionary Biology</t>
  </si>
  <si>
    <t>DH9PB</t>
  </si>
  <si>
    <t>WOS:000373127000015</t>
  </si>
  <si>
    <t>Ramírez, I; Paiva, VH; Fagundes, I; Menezes, D; Silva, I; Ceia, FR; Phillips, RA; Ramos, JA; Garthe, S</t>
  </si>
  <si>
    <t>Ramirez, I.; Paiva, V. H.; Fagundes, I.; Menezes, D.; Silva, I.; Ceia, F. R.; Phillips, R. A.; Ramos, J. A.; Garthe, S.</t>
  </si>
  <si>
    <t>Conservation implications of consistent foraging and trophic ecology in a rare petrel species</t>
  </si>
  <si>
    <t>ANIMAL CONSERVATION</t>
  </si>
  <si>
    <t>spatial ecology; behavioural consistency; isotopic niche; endangered seabird; conservation implications; ecological segregation; foraging ecology</t>
  </si>
  <si>
    <t>SHEARWATERS CALONECTRIS-DIOMEDEA; TRANS-EQUATORIAL MIGRATION; INTRA-SPECIFIC COMPETITION; STABLE-ISOTOPE ANALYSES; ROUND DISTRIBUTION; CORYS SHEARWATERS; ACTIVITY PATTERNS; INDIVIDUAL CONSISTENCY; HABITAT PREFERENCES; PELAGIC SEABIRD</t>
  </si>
  <si>
    <t>Individuals within populations can use different resources, leading to ecological segregation and niche variation. This segregation could have direct impacts on the migratory strategy or breeding success, thus affecting the overall population and community dynamics and, ultimately, survival. In this study, we assessed the inter-annual and within individual foraging ecology of an endemic and highly threatened seabird species, the Desertas petrel Pterodroma deserta, during the breeding and non-breeding phases. We combined 54 annual tracks (26 individuals; 2009-2013) obtained with light-level loggers (Global Location Sensing or GLS loggers) with stable isotope analyses (delta N-15 and delta C-13) of blood (plasma and cells) and feathers. Wide-ranging tracking data show that this species is a generalist predator, able to adapt to very different habitats. All birds remained faithful to their selected non-breeding areas over the years leading to very high spatial, temporal and trophic consistency among years (i.e. usually with intra-correlation coefficient values, which is an index of repeatability of &gt;40%). During both the breeding and non-breeding seasons, individual birds showed narrow and segregated isotopic niches, indicating a high level of specialization and limited choice of prey and habitats. The conservation of a seabird with such a dispersive (species-level) yet consistent (individual-level) non-breeding distribution pattern represents a challenge in marine policy terms. On the one hand, such a consistent temporal and spatial pattern will help with defining core areas for conservation, which could be protected through specific management measures or by the establishment of marine protected areas. Yet, their relatively large size (on average 4000 km(2)) and extent over both national and international waters, where different legislative frameworks apply, will require the coordinated action by many nations, international organizations and multilateral environmental agreements.</t>
  </si>
  <si>
    <t>[Ramirez, I.] BirdLife Int Wellbrook Court, Girton Rd, Cambridge CB3 ONA, England; [Ramirez, I.; Paiva, V. H.; Garthe, S.] Univ Kiel, Res &amp; Technol Ctr FTZ, Busum, Germany; [Paiva, V. H.; Ceia, F. R.; Ramos, J. A.] Univ Coimbra, MARE Marine &amp; Environm Sci Ctr, Dept Life Sci, Coimbra, Portugal; [Fagundes, I.] SPEA Portuguese Soc Study Birds, Lisbon, Portugal; [Menezes, D.; Silva, I.] Parque Nat Madeira, Quinta Bom Sucesso, Madeira, Portugal; [Phillips, R. A.] British Antarctic Survey, Nat Environm Res Council, Cambridge CB3 0ET, England</t>
  </si>
  <si>
    <t>BirdLife International; University of Kiel; Universidade de Coimbra; UK Research &amp; Innovation (UKRI); Natural Environment Research Council (NERC); NERC British Antarctic Survey</t>
  </si>
  <si>
    <t>Ramírez, I (corresponding author), BirdLife Int Wellbrook Court, Girton Rd, Cambridge CB3 ONA, England.</t>
  </si>
  <si>
    <t>ivan.ramirez@birdlife.org</t>
  </si>
  <si>
    <t>Paiva, Vitor H./J-1092-2019; Paiva, Vitor Hugo/GRX-9179-2022; Ramos, Jaime A./B-6616-2018; Ceia, Filipe R./A-2196-2012</t>
  </si>
  <si>
    <t>Paiva, Vitor H./0000-0001-6368-9579; Ramos, Jaime A./0000-0002-9533-987X; Ceia, Filipe R./0000-0002-5470-5183; Fagundes, Ana Isabel/0009-0007-0500-8828; Ramirez, Ivan/0000-0001-7944-8710</t>
  </si>
  <si>
    <t>BirdLife International; SPEA (BirdLife Portugal); Portuguese Foundation for Science and Technology (FCT) [SFRH/BPD/63825/2009, SFRH/BPD/85024/2012, SFRH/BPD/95372/2013]; British Ornitologists' Union (BOU); Natural Environment Research Council [bas0100035] Funding Source: researchfish; NERC [bas0100035] Funding Source: UKRI</t>
  </si>
  <si>
    <t>BirdLife International; SPEA (BirdLife Portugal); Portuguese Foundation for Science and Technology (FCT)(Fundacao para a Ciencia e a Tecnologia (FCT)); British Ornitologists' Union (BOU); Natural Environment Research Council(UK Research &amp; Innovation (UKRI)Natural Environment Research Council (NERC)); NERC(UK Research &amp; Innovation (UKRI)Natural Environment Research Council (NERC))</t>
  </si>
  <si>
    <t>I.R. wishes to thank BirdLife International and SPEA (BirdLife Portugal) for their support while carrying this work. We thank the Natural Park of Madeira for the logistic support, permission to visit Bugio Island and the help and companionship of its wardens. Catia Gouveia provided valuable help during field work. The Portuguese Foundation for Science and Technology (FCT) supported with fellowships V.H.P. (SFRH/BPD/63825/2009 &amp; SFRH/BPD/85024/2012) and F.R.C. (SFRH/BPD/95372/2013). The project received a small research grant from the British Ornitologists' Union (BOU) in 2013.</t>
  </si>
  <si>
    <t>1367-9430</t>
  </si>
  <si>
    <t>1469-1795</t>
  </si>
  <si>
    <t>ANIM CONSERV</t>
  </si>
  <si>
    <t>Anim. Conserv.</t>
  </si>
  <si>
    <t>10.1111/acv.12227</t>
  </si>
  <si>
    <t>DJ9WL</t>
  </si>
  <si>
    <t>WOS:000374563900009</t>
  </si>
  <si>
    <t>Walton, DWH</t>
  </si>
  <si>
    <t>Walton, D. W. H.</t>
  </si>
  <si>
    <t>Misleading metrics</t>
  </si>
  <si>
    <t>10.1017/S0954102016000067</t>
  </si>
  <si>
    <t>WOS:000372521200001</t>
  </si>
  <si>
    <t>Wang, HZ; Chen, ZH; Wang, KS; Liu, HL; Tang, Z; Huang, YH</t>
  </si>
  <si>
    <t>Wang, Haozhuang; Chen, Zhihua; Wang, Kunshan; Liu, Helin; Tang, Zheng; Huang, Yuanhui</t>
  </si>
  <si>
    <t>Characteristics of heavy minerals and grain size of surface sediments on the continental shelf of Prydz Bay: implications for sediment provenance</t>
  </si>
  <si>
    <t>grain size; heavy minerals; Prydz Bay; sediment provenance; surface sediment</t>
  </si>
  <si>
    <t>EAST ANTARCTICA; CRUSTAL EVOLUTION; ODP SITE-1166; DRILL CORE; ICE-SHEET; DYNAMICS; MOUNTAINS; GONDWANA; PLIOCENE; REGION</t>
  </si>
  <si>
    <t>Data on grain size and heavy mineral composition for surface sediments on the Prydz Bay continental shelf was analysed to identify sediment features and provenance. The grain size composition of surface sediments indicate spatial variations in the glaciomarine environment and the key factors influencing sedimentation, which on the shelf include topography/water depth, currents and icebergs. The study area was divided into two sections by Q-type factor analysis: section I included Prydz Channel, Amery Basin and Svenner Channel, and section II included Four Ladies Bank, FramBank and the area in front of the Amery Ice Shelf. Sedimentation in section I is mainly controlled by currents and topography/water depth. However, in section II, icebergs/floating ice masses, the Amery Ice Shelf and currents have prominent effects on sedimentation. The heavy mineral composition indicates that surface sediments on the eastern side of the bay, including Four Ladies Bank, are primarily derived from Princess Elizabeth Land. Sediments in the area in front of the Amery Ice Shelf, Svenner Channel, Amery Basin and Prydz Channel have a mixed source from the eastern regions around the bay, including the Prince Charles Mountains and Princess Elizabeth Land. The contribution from Mac. Robertson Land to sediment at Fram Bank is limited.</t>
  </si>
  <si>
    <t>[Wang, Haozhuang; Chen, Zhihua; Wang, Kunshan; Liu, Helin; Tang, Zheng; Huang, Yuanhui] State Ocean Adm, Inst Oceanog 1, Qingdao 266061, Peoples R China; [Wang, Haozhuang; Chen, Zhihua; Wang, Kunshan; Liu, Helin; Tang, Zheng; Huang, Yuanhui] State Ocean Adm, Key Lab Marine Sedimentol &amp; Environm Geol, Qingdao 266061, Peoples R China</t>
  </si>
  <si>
    <t>First Institute of Oceanography, Ministry of Natural Resources</t>
  </si>
  <si>
    <t>Chen, ZH (corresponding author), State Ocean Adm, Inst Oceanog 1, Qingdao 266061, Peoples R China.;Chen, ZH (corresponding author), State Ocean Adm, Key Lab Marine Sedimentol &amp; Environm Geol, Qingdao 266061, Peoples R China.</t>
  </si>
  <si>
    <t>chenzia@fio.org.cn</t>
  </si>
  <si>
    <t>Wang, WHaozhuang/AAL-6213-2020</t>
  </si>
  <si>
    <t>Chinese Polar Environment Comprehensive Investigation &amp; Assessment Programs [CHINARE2015-01-02, CHINARE2015-04-01]; National Natural Science Foundation of China [40176136]</t>
  </si>
  <si>
    <t>Chinese Polar Environment Comprehensive Investigation &amp; Assessment Programs; National Natural Science Foundation of China(National Natural Science Foundation of China (NSFC))</t>
  </si>
  <si>
    <t>This work was supported by the Chinese Polar Environment Comprehensive Investigation &amp; Assessment Programs (Grant nos. CHINARE2015-01-02, CHINARE2015-04-01), and the National Natural Science Foundation of China (Grant no. 40176136). We want to extend thanks to a number of crew who devoted their time and effort for marine geological sampling in the 24th and 29th Chinese National Antarctic Research Expeditions, and thanks to the Chinese Repository of Polar Sediments for providing samples. Thanks also go to Prof Xianwei Meng for in-depth comments and suggestions. We would also like to thank the reviewers for their comments on the manuscript.</t>
  </si>
  <si>
    <t>10.1017/S0954102015000498</t>
  </si>
  <si>
    <t>WOS:000372521200006</t>
  </si>
  <si>
    <t>Falk, U; Gieseke, H; Kotzur, F; Braun, M</t>
  </si>
  <si>
    <t>Falk, U.; Gieseke, H.; Kotzur, F.; Braun, M.</t>
  </si>
  <si>
    <t>Monitoring snow and ice surfaces on King George Island, Antarctic Peninsula, with high-resolution TerraSAR-X time series</t>
  </si>
  <si>
    <t>glacier extent; glacier facies; ice dynamics; SAR; snow cover extent</t>
  </si>
  <si>
    <t>CLIMATE-CHANGE; SAR COHERENCE; GLACIER; CAP; BALANCE</t>
  </si>
  <si>
    <t>Changes of glaciers and snow cover in polar regions affect a wide range of physical and ecosystem processes on land and in the adjacent marine environment. In this study, we investigated the potential of 11-day repeat high-resolution satellite image time series from the TerraSAR-X mission to derive glaciological and hydrological parameters on King George Island, Antarctica, between 25 October 2010 and 19 April 2011. The spatial pattern and temporal evolution of snow cover extent on ice-free areas can be monitored using multi-temporal coherence images. Synthetic aperture radar (SAR) coherence is used to map glacier extent of land-terminating glaciers with an average accuracy of 25 m. Multi-temporal SAR colour composites identify the position of the late summer snow line at similar to 220 m a.s.l. Glacier surface velocities are obtained from intensity feature-tracking. Surface velocities near the calving front of Fourcade Glacier were up to 1.8 +/- 0.01 m d(-1). Using an intercept theorem based on fundamental geometric principles together with differential GPS field measurements, the ice discharge of Fourcade Glacier was estimated at 20 700 +/- 5500 m(3) d(-1) (corresponding to similar to 19 +/- 5 kt d(-1)). The rapidly changing surface conditions on King George Island and the lack of high-resolution digital elevation models for the region remain restrictions for the applicability of SAR data and the precision of derived products. Supplemental data are available at http://dx.doi.org/10.1594/PANGAEA.853954.</t>
  </si>
  <si>
    <t>[Falk, U.; Gieseke, H.; Kotzur, F.] Univ Bonn, Ctr Remote Sensing Land Surfaces, Walter Flex Str 3, D-53113 Bonn, Germany; [Braun, M.] Univ Erlangen Nurnberg, Inst Geog, Kochstr 4-4, D-91054 Erlangen, Germany; [Braun, M.] Univ Alaska Fairbanks, Inst Geophys, 903 Koyukuk Dr, Fairbanks, AK 99775 USA</t>
  </si>
  <si>
    <t>University of Bonn; University of Erlangen Nuremberg; University of Alaska System; University of Alaska Fairbanks</t>
  </si>
  <si>
    <t>Falk, U (corresponding author), Univ Bonn, Ctr Remote Sensing Land Surfaces, Walter Flex Str 3, D-53113 Bonn, Germany.</t>
  </si>
  <si>
    <t>ulrike.falk@gmail.com</t>
  </si>
  <si>
    <t>Braun, Matthias/A-4968-2009; Braun, Matthias H/S-4693-2016</t>
  </si>
  <si>
    <t>Braun, Matthias/0000-0001-5169-1567;</t>
  </si>
  <si>
    <t>ESF ERANET Europolar IMCOAST project (BMBF) [AZ 03F0617B]; EU FP7-People-IRSES IMCONet project [318718]; German Research Foundation priority Programme 'Antarktisforschung' [BR 2105/9-1]; US national Science Foundation [ANT-1043649]; University of Bonn; University of Erlangen-Nuremberg</t>
  </si>
  <si>
    <t>ESF ERANET Europolar IMCOAST project (BMBF)(Federal Ministry of Education &amp; Research (BMBF)); EU FP7-People-IRSES IMCONet project; German Research Foundation priority Programme 'Antarktisforschung'; US national Science Foundation(National Science Foundation (NSF)); University of Bonn; University of Erlangen-Nuremberg</t>
  </si>
  <si>
    <t>This study was financed by the ESF ERANET Europolar IMCOAST project (BMBF award AZ 03F0617B), the EU FP7-People-2012-IRSES IMCONet project (Grant Agreement Number 318718), the German Research Foundation priority Programme 'Antarktisforschung' (contract # BR 2105/9-1), the US national Science Foundation (contract # ANT-1043649), and the Universities of Bonn and Erlangen-Nuremberg. Satellite data for this study was kindly provided under DLR TerraSAR-X AO LAN 0013 and ESA IPY AO 4032. Meteorological data for this study was made available by the Russian Federation NADC, Arctic and Antarctic Research Institute (Bellingshausen Station) and the Servicio Meteorologico Nacional Argentina (Jubany/Carlini records). We would like to thank Hernan Sala, Adrian Silva-Busso, Daniel Vigueira and Oscar Gonzales for their excellent support at Jubany/Carlini Station. The Alfred-Wegener-Institut fur Polar- und Meeresforschung and Instituto Antartico Argentina kindly provided logistic support. We are also grateful to the reviewers for their comments on the manuscript.</t>
  </si>
  <si>
    <t>10.1017/S0954102015000577</t>
  </si>
  <si>
    <t>WOS:000372521200009</t>
  </si>
  <si>
    <t>Hamilton, S; Baker, GB</t>
  </si>
  <si>
    <t>Hamilton, Sheryl; Baker, G. Barry</t>
  </si>
  <si>
    <t>Current bycatch levels in Auckland Islands trawl fisheries unlikely to be driving New Zealand sea lion (Phocarctos hookeri) population decline: reply to Meyer et al. (2015)</t>
  </si>
  <si>
    <t>AQUATIC CONSERVATION-MARINE AND FRESHWATER ECOSYSTEMS</t>
  </si>
  <si>
    <t>ZEALAND SEA LIONS; MORTALITY</t>
  </si>
  <si>
    <t>[Hamilton, Sheryl; Baker, G. Barry] Latitude 42 Environm Consultants Pty Ltd, 114 Watsons Rd, Kettering, Tas 7155, Australia; [Baker, G. Barry] Univ Tasmania, Inst Marine &amp; Antarctic Studies, Hobart, Tas, Australia</t>
  </si>
  <si>
    <t>Baker, GB (corresponding author), Latitude 42 Environm Consultants Pty Ltd, 114 Watsons Rd, Kettering, Tas 7155, Australia.</t>
  </si>
  <si>
    <t>barry.baker@latitude42.com.au</t>
  </si>
  <si>
    <t>Baker, G. Barry/0000-0003-4766-8182</t>
  </si>
  <si>
    <t>1052-7613</t>
  </si>
  <si>
    <t>1099-0755</t>
  </si>
  <si>
    <t>AQUAT CONSERV</t>
  </si>
  <si>
    <t>Aquat. Conserv.-Mar. Freshw. Ecosyst.</t>
  </si>
  <si>
    <t>10.1002/aqc.2634</t>
  </si>
  <si>
    <t>Environmental Sciences; Marine &amp; Freshwater Biology; Water Resources</t>
  </si>
  <si>
    <t>Environmental Sciences &amp; Ecology; Marine &amp; Freshwater Biology; Water Resources</t>
  </si>
  <si>
    <t>DJ1IT</t>
  </si>
  <si>
    <t>WOS:000373957200002</t>
  </si>
  <si>
    <t>Schoorlemmer, H; Belov, K; Romero-Wolf, A; García-Fernández, D; Bugaev, V; Wissel, SA; Allison, P; Alvarez-Muñiz, J; Barwick, SW; Beatty, JJ; Besson, DZ; Binns, WR; Carvalho, WR; Chen, C; Chen, P; Clem, JM; Connolly, A; Dowkontt, PF; DuVernois, MA; Field, RC; Goldstein, D; Gorham, PW; Hast, C; Huegen, T; Heber, CL; Hoover, S; Israel, MH; Javaid, A; Kowalski, J; Lam, J; Learned, JG; Link, JT; Lusczek, E; Matsuno, S; Mercurio, BC; Miki, C; Miocinovic, P; Mulrey, K; Nam, J; Naudet, CJ; Ng, J; Nichol, RJ; Palladino, K; Rauch, BF; Roberts, J; Reil, K; Rotter, B; Rosen, M; Ruckman, L; Saltzberg, D; Seckel, D; Urdaneta, D; Varner, GS; Vieregg, AG; Walz, D; Wu, F; Zas, E</t>
  </si>
  <si>
    <t>Schoorlemmer, H.; Belov, K.; Romero-Wolf, A.; Garcia-Fernandez, D.; Bugaev, V.; Wissel, S. A.; Allison, P.; Alvarez-Muniz, J.; Barwick, S. W.; Beatty, J. J.; Besson, D. Z.; Binns, W. R.; Carvalho, W. R., Jr.; Chen, C.; Chen, P.; Clem, J. M.; Connolly, A.; Dowkontt, P. F.; DuVernois, M. A.; Field, R. C.; Goldstein, D.; Gorham, P. W.; Hast, C.; Huegen, T.; Heber, C. L.; Hoover, S.; Israel, M. H.; Javaid, A.; Kowalski, J.; Lam, J.; Learned, J. G.; Link, J. T.; Lusczek, E.; Matsuno, S.; Mercurio, B. C.; Miki, C.; Miocinovic, P.; Mulrey, K.; Nam, J.; Naudet, C. J.; Ng, J.; Nichol, R. J.; Palladino, K.; Rauch, B. F.; Roberts, J.; Reil, K.; Rotter, B.; Rosen, M.; Ruckman, L.; Saltzberg, D.; Seckel, D.; Urdaneta, D.; Varner, G. S.; Vieregg, A. G.; Walz, D.; Wu, F.; Zas, E.</t>
  </si>
  <si>
    <t>Energy and flux measurements of ultra-high energy cosmic rays observed during the first ANITA flight</t>
  </si>
  <si>
    <t>ASTROPARTICLE PHYSICS</t>
  </si>
  <si>
    <t>Cosmic rays; Air shower; Radio detection</t>
  </si>
  <si>
    <t>AIR-SHOWERS; RADIO-EMISSION; ATMOSPHERIC SHOWERS; LOPES MEASUREMENTS; REAS 3.11; SIMULATIONS; PULSES; SURFACE; ARRAY</t>
  </si>
  <si>
    <t>The first flight of the Antarctic Impulsive Transient Antenna (ANITA) experiment recorded 16 radio signals that were emitted by cosmic-ray induced air showers. The dominant contribution to the radiation comes from the deflection of positrons and electrons in the geomagnetic field, which is beamed in the direction of motion of the air shower. For 14 of these events, this radiation is reflected from the ice and subsequently detected by the ANITA experiment at a flight altitude of similar to 36 km. In this paper, we estimate the energy of the 14 individual events and find that the mean energy of the cosmic-ray sample is 2.9 x 10(18) eV, which is significantly lower than the previous estimate. By simulating the ANITA flight, we calculate its exposure for ultra-high energy cosmic rays. We estimate for the first time the cosmic-ray flux derived only from radio observations and find agreement with measurements performed at other observatories. In addition, we find that the ANITA data set is consistent with Monte Carlo simulations for the total number of observed events and with, the properties of those events. (C) 2016 Elsevier B.V. All rights reserved.</t>
  </si>
  <si>
    <t>[Schoorlemmer, H.; DuVernois, M. A.; Gorham, P. W.; Heber, C. L.; Kowalski, J.; Learned, J. G.; Lusczek, E.; Matsuno, S.; Miki, C.; Miocinovic, P.; Nam, J.; Roberts, J.; Rotter, B.; Rosen, M.; Ruckman, L.; Varner, G. S.] Univ Hawaii Manoa, Dept Phys &amp; Astron, Honolulu, HI 96822 USA; [Schoorlemmer, H.] Max Planck Inst Kernphys, Saupfercheckweg 1, D-69117 Heidelberg, Germany; [Belov, K.; Wissel, S. A.; Hoover, S.; Lam, J.; Saltzberg, D.; Urdaneta, D.] Univ Calif Los Angeles, Dept Phys &amp; Astron, Los Angeles, CA 90095 USA; [Belov, K.; Romero-Wolf, A.; Naudet, C. J.] CALTECH, Jet Prop Lab, 4800 Oak Grove Dr, Pasadena, CA 91109 USA; [Garcia-Fernandez, D.; Alvarez-Muniz, J.; Carvalho, W. R., Jr.; Zas, E.] Univ Santiago de Compostela, Dept Fis Particulas, Santiago De Compostela 15782, Spain; [Garcia-Fernandez, D.; Alvarez-Muniz, J.; Carvalho, W. R., Jr.; Zas, E.] Univ Santiago de Compostela, Inst Galego Fis Altas Enerxias, Santiago De Compostela 15782, Spain; [Bugaev, V.; Binns, W. R.; Dowkontt, P. F.; Israel, M. H.; Link, J. T.; Rauch, B. F.] Washington Univ, Dept Phys, St Louis, MO 63130 USA; [Bugaev, V.; Binns, W. R.; Dowkontt, P. F.; Israel, M. H.; Link, J. T.; Rauch, B. F.] Washington Univ, McDonnell Ctr Space Sci, St Louis, MO 63130 USA; [Wissel, S. A.] Calif Polytech State Univ San Luis Obispo, Dept Phys, San Luis Obispo, CA 93407 USA; [Allison, P.; Beatty, J. J.; Connolly, A.; Mercurio, B. C.; Palladino, K.] Ohio State Univ, Dept Phys, 174 W 18th Ave, Columbus, OH 43210 USA; [Barwick, S. W.; Goldstein, D.; Wu, F.] Univ Calif Irvine, Dept Phys, Irvine, CA 92697 USA; [Besson, D. Z.] Univ Kansas, Dept Phys &amp; Astron, Lawrence, KS 66045 USA; [Besson, D. Z.] Natl Res Nucl Univ, Moscow Engn Phys Inst, Moscow 115409, Russia; [Chen, C.; Chen, P.] Natl Taiwan Univ, Grad Inst Astrophys, Dept Phys, Taipei 10617, Taiwan; [Chen, C.; Chen, P.] Natl Taiwan Univ, Leung Ctr Cosmol &amp; Particle Astrophys, Taipei 10617, Taiwan; [Clem, J. M.; Javaid, A.; Mulrey, K.; Seckel, D.] Univ Delaware, Dept Phys, Newark, DE 19716 USA; [Huegen, T.] Karlsruhe Inst Technol, Inst Kernphys, D-76344 Karlsruhe, Germany; [Nichol, R. J.] UCL, Dept Phys &amp; Astron, London WC1 EBT, England; [Chen, P.; Field, R. C.; Hast, C.; Ng, J.; Reil, K.; Walz, D.] SLAC Natl Accelerator Lab, Menlo Pk, CA 94025 USA; [Walz, D.] Univ Minnesota, Sch Phys &amp; Astron, Minneapolis, MN 55455 USA; [Vieregg, A. G.] Univ Chicago, Kavli Inst Cosmol Phys, Dept Phys, Enrico Fermi Inst, Chicago, IL 60637 USA</t>
  </si>
  <si>
    <t>University of Hawaii System; University of Hawaii Manoa; Max Planck Society; University of California System; University of California Los Angeles; National Aeronautics &amp; Space Administration (NASA); NASA Jet Propulsion Laboratory (JPL); California Institute of Technology; Universidade de Santiago de Compostela; Universidade de Santiago de Compostela; Washington University (WUSTL); Washington University (WUSTL); California State University System; California Polytechnic State University San Luis Obispo; University System of Ohio; Ohio State University; University of California System; University of California Irvine; University of Kansas; National Research Nuclear University MEPhI (Moscow Engineering Physics Institute); National Taiwan University; National Taiwan University; University of Delaware; Helmholtz Association; Karlsruhe Institute of Technology; University of London; University College London; Stanford University; United States Department of Energy (DOE); SLAC National Accelerator Laboratory; University of Minnesota System; University of Minnesota Twin Cities; University of Chicago</t>
  </si>
  <si>
    <t>Schoorlemmer, H (corresponding author), Max Planck Inst Kernphys, Saupfercheckweg 1, D-69117 Heidelberg, Germany.</t>
  </si>
  <si>
    <t>harmscho@mpi-hd.mpg.de</t>
  </si>
  <si>
    <t>Schoorlemmer, Harm/AAA-5604-2020; Belov, Konstantin V/D-2520-2013; Beatty, James/D-9310-2011; Chen, Pisin/IAO-8769-2023; Alvarez-Muniz, Jaime/H-1857-2015; Nichol, Ryan/C-1645-2008; Zas, Enrique/I-5556-2015</t>
  </si>
  <si>
    <t>Schoorlemmer, Harm/0000-0002-8999-9249; Belov, Konstantin V/0000-0002-8861-110X; Beatty, James/0000-0003-0481-4952; Chen, Pisin/0000-0001-5251-7210; Alvarez-Muniz, Jaime/0000-0002-2367-0803; Nichol, Ryan/0000-0003-0557-0443; Palladino, Kimberly/0000-0002-5175-5628; Allison, Patrick/0000-0001-8141-2653; Zas, Enrique/0000-0002-4430-8117; Wissel, Stephanie/0000-0003-0569-6978; Lusczek, Elizabeth/0000-0003-4680-965X; Gorham, Peter/0000-0002-0923-9363; Huege, Tim/0000-0002-2783-4772; Mulrey, Katharine/0000-0001-8026-8020; Goldstein, David/0000-0003-3654-8142</t>
  </si>
  <si>
    <t>NASA; U.S. National Science Foundation; U.S. Department of Energy; Columbia Scientific Balloon Facility; Ministerio de Economia [FPA2012-39489]; Consolider-Ingenio CPAN Programme [CSD2007-00042]; Xunta de Galicia [GRC2013-024]; Feder Fundsand Marie Curie-IRSES/EPLANET (European Particle physics Latin American NETwork); 7th Framework Program [PIRSES-2009-GA-246806]; STFC [PP/E006876/1, ST/K001426/1, ST/N000285/1] Funding Source: UKRI; Science and Technology Facilities Council [PP/E006876/1, ST/K001426/1, ST/N000285/1] Funding Source: researchfish</t>
  </si>
  <si>
    <t>NASA(National Aeronautics &amp; Space Administration (NASA)); U.S. National Science Foundation(National Science Foundation (NSF)); U.S. Department of Energy(United States Department of Energy (DOE)); Columbia Scientific Balloon Facility; Ministerio de Economia(Spanish Government); Consolider-Ingenio CPAN Programme; Xunta de Galicia(Xunta de Galicia); Feder Fundsand Marie Curie-IRSES/EPLANET (European Particle physics Latin American NETwork)(Marie Curie Actions); 7th Framework Program(European Union (EU)); STFC(UK Research &amp; Innovation (UKRI)Science &amp; Technology Facilities Council (STFC)); Science and Technology Facilities Council(UK Research &amp; Innovation (UKRI)Science &amp; Technology Facilities Council (STFC))</t>
  </si>
  <si>
    <t>We would like to thank Marianne Ludwig from Karlsruhe Institute of Technology for helpful discussions and in the early days of this work. We are grateful to NASA, the U.S. National Science Foundation, the U.S. Department of Energy, and the Columbia Scientific Balloon Facility for their generous support of these efforts. We would like to extend our thanks to the 2006-2007 on-ice LDB and McMurdo crews for their support. Part of the research was carried out at the Jet Propulsion Laboratory, California Institute of Technology, under a contract with the National Aeronautics and Space Administration. J.A.-M., W.R.C., D.G.-F., and E.Z. thank Ministerio de Economia (FPA2012-39489), Consolider-Ingenio 2010 CPAN Programme (CSD2007-00042), Xunta de Galicia (GRC2013-024), Feder Fundsand Marie Curie-IRSES/EPLANET (European Particle physics Latin American NETwork), and 7th Framework Program (PIRSES-2009-GA-246806).</t>
  </si>
  <si>
    <t>0927-6505</t>
  </si>
  <si>
    <t>1873-2852</t>
  </si>
  <si>
    <t>ASTROPART PHYS</t>
  </si>
  <si>
    <t>Astropart Phys.</t>
  </si>
  <si>
    <t>10.1016/j.astropartphys.2016.01.001</t>
  </si>
  <si>
    <t>DH3GH</t>
  </si>
  <si>
    <t>WOS:000372675000003</t>
  </si>
  <si>
    <t>Liebhold, AM; Yamanaka, T; Roques, A; Augustin, S; Chown, SL; Brockerhoff, EG; Pysek, P</t>
  </si>
  <si>
    <t>Liebhold, Andrew M.; Yamanaka, Takehiko; Roques, Alain; Augustin, Sylvie; Chown, Steven L.; Brockerhoff, Eckehard G.; Pysek, Petr</t>
  </si>
  <si>
    <t>Global compositional variation among native and non-native regional insect assemblages emphasizes the importance of pathways</t>
  </si>
  <si>
    <t>Biological invasion; Establishment; Fauna; Island; Introduction pathway; Insect order; Multivariate analysis</t>
  </si>
  <si>
    <t>BIOLOGICAL INVASIONS; IMPACTS; ESTABLISHMENT; POPULATION; PATTERNS; ECOLOGY; PLANTS; INTERCEPTIONS; CONSERVATION; ECOSYSTEMS</t>
  </si>
  <si>
    <t>Insects are among the world's most ecologically and economically important invasive species. Here we assemble inventories of native and non-native species from 20 world regions and contrast relative numbers among these species assemblages. Multivariate ordination indicates that the distribution of species among insect orders is completely different between native and non-native assemblages. Some orders, such as the Psocoptera, Dictyoptera, Siphonaptera, Thysanoptera, and Hemiptera, are always over-represented in the non-native compared to native assemblages. Other orders, such as the Plecoptera, Trichoptera, Ephemeroptera, Odonata, Mecoptera and Microcoryphila, are consistently under-represented in non-native assemblages. These patterns most likely arise both as a result of variation among taxa in their association with invasion pathways responsible for transporting species among world regions, as well as variation in life-history traits that affect establishment potential. However, our results indicate that species compositions associated with invasiveness are fundamentally different from compositions related to insularity, indicating that colonization of islands selects for a different group of insect taxa than does selection for successful invaders. Native and non-native assemblage compositions were also related, to a lesser extent, to latitude of the region sampled. Together, these results illustrate the dominant role of invasion pathways in shaping the composition of non-native insect assemblages. They also emphasize the difference between natural background colonization of islands and anthropogenic colonization events, and imply that biological invasions are not a simple subset of a long-standing ecological process.</t>
  </si>
  <si>
    <t>[Liebhold, Andrew M.] US Forest Serv, No Res Stn, 180 Canfield St, Morgantown, WV 26505 USA; [Yamanaka, Takehiko] Natl Inst Agroenvironm Sci, Nat Resources Inventory Ctr, Kannon Dai 3-1-3, Tsukuba, Ibaraki 305, Japan; [Roques, Alain; Augustin, Sylvie] INRA, UR0633, Zool Forestiere, CS 40001, F-45075 Orleans, France; [Chown, Steven L.] Monash Univ, Sch Biol Sci, Melbourne, Vic 3800, Australia; [Brockerhoff, Eckehard G.] Scion, POB 29237, Christchurch 8440, New Zealand; [Pysek, Petr] Acad Sci Czech Republ, Inst Bot, CS-25243 Pruhonice, Czech Republic; [Pysek, Petr] Charles Univ Prague, Dept Ecol, Fac Sci, Vinicna 7, CR-12844 Prague 2, Czech Republic; [Pysek, Petr] Univ Stellenbosch, Dept Bot &amp; Zool, Ctr Invas Biol, ZA-7602 Matieland, South Africa</t>
  </si>
  <si>
    <t>United States Department of Agriculture (USDA); United States Forest Service; National Institute for Agro-Environmental Sciences (NIAES) Japan; INRAE; Monash University; Scion; Czech Academy of Sciences; Institute of Botany of the Czech Academy of Sciences; Charles University Prague; Stellenbosch University</t>
  </si>
  <si>
    <t>Liebhold, AM (corresponding author), US Forest Serv, No Res Stn, 180 Canfield St, Morgantown, WV 26505 USA.</t>
  </si>
  <si>
    <t>aliebhold@fs.fed.us; apple@affrc.go.jp; alain.roques@orleans.inra.fr; sylvie.augustin@orleans.inra.fr; steven.chown@monash.edu; Eckehard.Brockerhoff@scionresearch.com; pysek@ibot.cas.cz</t>
  </si>
  <si>
    <t>Pysek, Petr/B-1957-2012; Chown, Steven/ABD-7646-2021; Liebhold, Andrew M./C-1423-2008; Brockerhoff, Eckehard G./C-1528-2009; Chown, Steven/H-3347-2011</t>
  </si>
  <si>
    <t>Liebhold, Andrew M./0000-0001-7427-6534; Brockerhoff, Eckehard G./0000-0002-5962-3208; Yamanaka, Takehiko/0000-0003-2888-1076; Chown, Steven/0000-0001-6069-5105</t>
  </si>
  <si>
    <t>DST-NRF Centre of Excellence for Invasion Biology at Stellenbosch University, South Africa; HortGro; National Research Foundation of South Africa; Stellenbosch University; SubTrop; European COST project Alien Challenge [TD1209]; European COST project Global Warning [TD1401]; Czech Academy of Sciences [RVO 67985939]; Praemium Academiae award from The Czech Academy of Sciences; Australian Antarctic Science Program [4307]; MBIE</t>
  </si>
  <si>
    <t>DST-NRF Centre of Excellence for Invasion Biology at Stellenbosch University, South Africa; HortGro; National Research Foundation of South Africa(National Research Foundation - South Africa); Stellenbosch University; SubTrop; European COST project Alien Challenge; European COST project Global Warning; Czech Academy of Sciences(Czech Academy of Sciences); Praemium Academiae award from The Czech Academy of Sciences; Australian Antarctic Science Program; MBIE(New Zealand Ministry of Business, Innovation and Employment (MBIE))</t>
  </si>
  <si>
    <t>The November 2014 workshop on Drivers, impacts, mechanisms and adaptation in insect invasions was hosted and co-funded by the DST-NRF Centre of Excellence for Invasion Biology at Stellenbosch University, South Africa. Additional financial support was provided by HortGro, the National Research Foundation of South Africa, Stellenbosch University, and SubTrop. The reviewers are thanked for their helpful comments. AR and SA were supported by the European COST projects Alien Challenge (TD1209) and Global Warning (TD1401). PP was supported by long-term research development project RVO 67985939 (The Czech Academy of Sciences) and by a Praemium Academiae award from The Czech Academy of Sciences. SLC was supported by Australian Antarctic Science Program Project 4307. EGB was supported by MBIE core funding to Scion and the Better Border Biosecurity collaboration (www.b3nz.org).</t>
  </si>
  <si>
    <t>10.1007/s10530-016-1079-4</t>
  </si>
  <si>
    <t>DI0ZL</t>
  </si>
  <si>
    <t>WOS:000373225700002</t>
  </si>
  <si>
    <t>Goessling, HF; Jung, T; Klebe, S; Baeseman, J; Bauer, P; Chen, P; Chevallier, M; Dole, R; Gordon, N; Ruti, P; Bradley, A; Bromwich, DH; Casati, B; Chechin, D; Day, JJ; Massonnet, F; Mills, B; Renfrew, I; Smith, G; Tatusko, R</t>
  </si>
  <si>
    <t>Goessling, Helge F.; Jung, Thomas; Klebe, Stefanie; Baeseman, Jenny; Bauer, Peter; Chen, Peter; Chevallier, Matthieu; Dole, Randall; Gordon, Neil; Ruti, Paolo; Bradley, Alice; Bromwich, David H.; Casati, Barbara; Chechin, Dmitry; Day, Jonathan J.; Massonnet, Francois; Mills, Brian; Renfrew, Ian; Smith, Gregory; Tatusko, Renee</t>
  </si>
  <si>
    <t>PAVING THE WAY FOR THE YEAR OF POLAR PREDICTION</t>
  </si>
  <si>
    <t>BULLETIN OF THE AMERICAN METEOROLOGICAL SOCIETY</t>
  </si>
  <si>
    <t>[Goessling, Helge F.; Jung, Thomas; Klebe, Stefanie] Alfred Wegener Inst, Bremerhaven, Germany; [Jung, Thomas] Univ Bremen, D-28359 Bremen, Germany; [Baeseman, Jenny] Sci Comm Antarctic Res, Cambridge, England; [Baeseman, Jenny] Univ Alaska Fairbanks, Int Arctic Res Ctr, Fairbanks, AK USA; [Bauer, Peter] European Ctr Medium Range Weather Forecasts, Shinfield Pk, Reading RG2 9AX, Berks, England; [Chevallier, Matthieu] CNRS UMR 3589, CNRM, Meteo France, Toulouse, France; [Dole, Randall] NOAA, Earth Syst Res Lab, Boulder, CO USA; [Ruti, Paolo] World Meteorol Org, Geneva, Switzerland; [Bradley, Alice] Univ Colorado, Boulder, CO 80309 USA; [Bromwich, David H.] Ohio State Univ, Byrd Polar &amp; Climate Res Ctr, Columbus, OH 43210 USA; [Casati, Barbara; Mills, Brian; Smith, Gregory] Environm &amp; Climate Change Canada, Meteorol Res Div, Dorval, PQ, Canada; [Chechin, Dmitry] Russian Acad Sci, AM Obukhov Inst Atmospher Phys, Moscow, Russia; [Day, Jonathan J.] Univ Reading, Dept Meteorol, NCAS Climate, Reading, Berks, England; [Massonnet, Francois] Catholic Univ Louvain, Georges Lematre Ctr Earth &amp; Climate Res, Earth &amp; Life Inst, Louvain La Neuve, Belgium; [Massonnet, Francois] Catalan Inst Climate Sci, Climate Forecasting Unit, Barcelona, Spain; [Renfrew, Ian] Univ E Anglia, Sch Environm Sci, Norwich NR4 7TJ, Norfolk, England; [Tatusko, Renee] Natl Weather Serv, NOAA, Anchorage, AK USA</t>
  </si>
  <si>
    <t>Helmholtz Association; Alfred Wegener Institute, Helmholtz Centre for Polar &amp; Marine Research; University of Bremen; University of Cambridge; University of Alaska System; University of Alaska Fairbanks; European Centre for Medium-Range Weather Forecasts (ECMWF); National Oceanic Atmospheric Admin (NOAA) - USA; University of Colorado System; University of Colorado Boulder; University System of Ohio; Ohio State University; Environment &amp; Climate Change Canada; Russian Academy of Sciences; Obukhov Institute of Atmospheric Physics of Russian Academy of Sciences; University of Reading; UK Research &amp; Innovation (UKRI); Natural Environment Research Council (NERC); NERC National Centre for Atmospheric Science; Universite Catholique Louvain; Institut Catala de Ciencies del Clima (IC3); University of East Anglia; National Oceanic Atmospheric Admin (NOAA) - USA</t>
  </si>
  <si>
    <t>Goessling, HF (corresponding author), Helmholtz Ctr Polar &amp; Marine Res, Alfred Wegener Inst, Bussestr 24, D-27570 Bremerhaven, Germany.</t>
  </si>
  <si>
    <t>helge.goessling@awi.de</t>
  </si>
  <si>
    <t>Jung, Thomas/J-5239-2012; Bauer, Peter/AAN-7317-2020; Day, Jonathan/B-9757-2013; Gordon, Neil D/E-3996-2016; Goessling, Helge/AAE-1597-2020; Chechin, Dmitry/J-9923-2016; Renfrew, Ian A/E-4057-2010; Massonnet, Francois/J-5315-2014</t>
  </si>
  <si>
    <t>Jung, Thomas/0000-0002-2651-1293; Bauer, Peter/0000-0002-3205-6055; Goessling, Helge/0000-0001-9018-1383; Chechin, Dmitry/0000-0003-0021-9945; Bradley, Alice/0000-0002-6953-5260; Massonnet, Francois/0000-0002-4697-5781; Renfrew, Ian/0000-0001-9379-8215; Chevallier, Matthieu/0000-0003-2033-166X</t>
  </si>
  <si>
    <t>0003-0007</t>
  </si>
  <si>
    <t>1520-0477</t>
  </si>
  <si>
    <t>B AM METEOROL SOC</t>
  </si>
  <si>
    <t>Bull. Amer. Meteorol. Soc.</t>
  </si>
  <si>
    <t>ES85</t>
  </si>
  <si>
    <t>ES88</t>
  </si>
  <si>
    <t>10.1175/BAMS-D-15-00270.1</t>
  </si>
  <si>
    <t>DL9HE</t>
  </si>
  <si>
    <t>WOS:000375951600001</t>
  </si>
  <si>
    <t>Spence, MA; Blackwell, PG; Blanchard, JL</t>
  </si>
  <si>
    <t>Spence, Michael A.; Blackwell, Paul G.; Blanchard, Julia L.</t>
  </si>
  <si>
    <t>Parameter uncertainty of a dynamic multispecies size spectrum models</t>
  </si>
  <si>
    <t>APPROXIMATE BAYESIAN COMPUTATION; STRUCTURED MODEL; POPULATION; PREDATION</t>
  </si>
  <si>
    <t>Dynamic size spectrum models have been recognized as an effective way of describing how size-based interactions can give rise to the size structure of aquatic communities. They are intermediate-complexity ecological models that are solutions to partial differential equations driven by the size-dependent processes of predation, growth, mortality, and reproduction in a community of interacting species and sizes. To be useful for quantitative fisheries management these models need to be developed further in a formal statistical framework. Previous work has used time-averaged data to calibrate the model using optimization methods with the disadvantage of losing detailed time-series information. Using a published multispecies size spectrum model parameterized for the North Sea comprising 12 interacting fish species and a background resource, we fit the model to time-series data using a Bayesian framework for the first time. We capture the 1967-2010 period using annual estimates of fishing mortality rates as input to the model and time series of fisheries landings data to fit the model to output. We estimate 38 key parameters representing the carrying capacity of each species and background resource, as well as initial inputs of the dynamical system and errors on the model output. We then forecast the model forward to evaluate how uncertainty propagates through to population-and community-level indicators under alternative management strategies.</t>
  </si>
  <si>
    <t>[Spence, Michael A.; Blackwell, Paul G.] Univ Sheffield, Sch Math &amp; Stat, Sheffield, S Yorkshire, England; [Spence, Michael A.] Univ Sheffield, Dept Anim &amp; Plant Sci, Sheffield S10 2TN, S Yorkshire, England; [Blanchard, Julia L.] Univ Tasmania, Inst Marine &amp; Antarctic Studies, 20 Castray Esplanade, Battery Point, Tas 7004, Australia</t>
  </si>
  <si>
    <t>University of Sheffield; University of Sheffield; University of Tasmania</t>
  </si>
  <si>
    <t>Spence, MA (corresponding author), Univ Sheffield, Sch Math &amp; Stat, Sheffield, S Yorkshire, England.;Spence, MA (corresponding author), Univ Sheffield, Dept Anim &amp; Plant Sci, Sheffield S10 2TN, S Yorkshire, England.</t>
  </si>
  <si>
    <t>m.a.spence@sheffield.ac.uk</t>
  </si>
  <si>
    <t>Blanchard, Julia L/E-4919-2010; Blackwell, Paul/F-2885-2017</t>
  </si>
  <si>
    <t>Engineering and Physical Sciences Research Council [EP/I000917/1]; Natural Environment Research Council and Department for Environment, Food and Rural Affairs [NE/L003279/1]; NERC [NE/L00321X/1, NE/L003279/1] Funding Source: UKRI; Natural Environment Research Council [NE/L003279/1, NE/L00321X/1] Funding Source: researchfish</t>
  </si>
  <si>
    <t>Engineering and Physical Sciences Research Council(UK Research &amp; Innovation (UKRI)Engineering &amp; Physical Sciences Research Council (EPSRC)); Natural Environment Research Council and Department for Environment, Food and Rural Affairs; NERC(UK Research &amp; Innovation (UKRI)Natural Environment Research Council (NERC)); Natural Environment Research Council(UK Research &amp; Innovation (UKRI)Natural Environment Research Council (NERC))</t>
  </si>
  <si>
    <t>This work was supported by the Engineering and Physical Sciences Research Council (grant EP/I000917/1, National Centre for Statistical Ecology) and by the Natural Environment Research Council and Department for Environment, Food and Rural Affairs (grant number NE/L003279/1, Marine Ecosystems Research Programme). We would also like to thank Toni Ingolf Gossinann, Christopher Griffiths, Abigail Marshall Beth Mindel, Philipp Neubauer, and an anonymous reviewer for their useful comments on earlier versions of the manuscript.</t>
  </si>
  <si>
    <t>10.1139/cjfas-2015-0022</t>
  </si>
  <si>
    <t>WOS:000375424700012</t>
  </si>
  <si>
    <t>Datta, S; Blanchard, JL</t>
  </si>
  <si>
    <t>Datta, Samik; Blanchard, Julia L.</t>
  </si>
  <si>
    <t>The effects of seasonal processes on size spectrum dynamics</t>
  </si>
  <si>
    <t>STRUCTURED ENERGY-FLOW; COD GADUS-MORHUA; LIFE-HISTORY; MARINE ECOSYSTEMS; EGG-PRODUCTION; BODY-SIZE; GROWTH; BIOMASS; FISH; ABUNDANCE</t>
  </si>
  <si>
    <t>The recent advent of dynamic size spectrum models has allowed the analysis of life processes in marine ecosystems to be carried out without the high complexity arising from interspecies interactions within dense food webs. In this paper, we use mizer, a size spectrum modelling framework, to investigate the consequences of including the seasonal processes of plankton blooms and batch spawning in the model dynamics. A multispecies size spectrum model is constructed using 12 common North Sea fish species, with growth, predation, and mortality explicitly modelled, before simulating both seasonal plankton blooms and batch spawning of fish (using empirical data on the spawning patterns of each species). The effect of seasonality on the community size spectrum is investigated; it is found that with seasonal processes included, the species spectra are more varied over time, while the aggregated community spectrum remains fairly similar. Growth of seasonally spawning mature individuals drops significantly during peak reproduction, although lifetime growth curves follow nonseasonal ones closely. On analysing properties of the community spectrum under different fishing scenarios, seasonality generally causes more varied spectrum slopes and lower yields. Under seasonal conditions, increasing fishing effort also results in greater temporal variability of fisheries yields due to truncation of the community spectrum towards smaller sizes. Further work is needed to evaluate robustness of management strategies in the context of a wider range of seasonal processes and behavioural strategies, as well as longer term environmental variability and change.</t>
  </si>
  <si>
    <t>[Datta, Samik] Univ Warwick, Warwick Math Inst, WIDER Grp, Coventry CV4 7AL, W Midlands, England; [Blanchard, Julia L.] Univ Sheffield, Dept Anim &amp; Plant Sci, Western Bank, Sheffield S10 2TN, S Yorkshire, England; [Blanchard, Julia L.] Univ Tasmania, Inst Marine &amp; Antarctic Studies, GPO Box 252-49, Hobart, Tas 7001, Australia</t>
  </si>
  <si>
    <t>University of Warwick; University of Sheffield; University of Tasmania</t>
  </si>
  <si>
    <t>Datta, S (corresponding author), Univ Warwick, Warwick Math Inst, WIDER Grp, Coventry CV4 7AL, W Midlands, England.</t>
  </si>
  <si>
    <t>s.datta@warwick.ac.uk</t>
  </si>
  <si>
    <t>Datta, Samik/P-2452-2019; Blanchard, Julia L/E-4919-2010</t>
  </si>
  <si>
    <t>Datta, Samik/0000-0003-2198-7900; Blanchard, Julia/0000-0003-0532-4824</t>
  </si>
  <si>
    <t>NERC-CASE; Centre for Environment, Fisheries and Aquaculture Science (Cefas); U.K. Department of Health; Natural Environment Research Council; Department for Environment, Food and Rural Affairs [NE/L003279/1]; NERC [NE/L003279/1] Funding Source: UKRI; Natural Environment Research Council [NE/L003279/1] Funding Source: researchfish</t>
  </si>
  <si>
    <t>NERC-CASE(UK Research &amp; Innovation (UKRI)Natural Environment Research Council (NERC)); Centre for Environment, Fisheries and Aquaculture Science (Cefas); U.K. Department of Health; Natural Environment Research Council(UK Research &amp; Innovation (UKRI)Natural Environment Research Council (NERC)); Department for Environment, Food and Rural Affairs(Department for Environment, Food &amp; Rural Affairs (DEFRA)); NERC(UK Research &amp; Innovation (UKRI)Natural Environment Research Council (NERC)); Natural Environment Research Council(UK Research &amp; Innovation (UKRI)Natural Environment Research Council (NERC))</t>
  </si>
  <si>
    <t>S.D. was supported by a NERC-CASE PhD studentship A mathematical analysis of marine size spectra with additional support from the Centre for Environment, Fisheries and Aquaculture Science (Cefas) and is currently funded by the U.K. Department of Health. J.B. acknowledges support from the Natural Environment Research Council and Department for Environment, Food and Rural Affairs (grant number NE/L003279/1, Marine Ecosystems Research Programme) We thank Richard Law, Gustav Delius, Michael Plank, and Ken Andersen for discussion and comments on earlier versions of this work. We also thank the referees for their useful comments on earlier drafts of the manuscript. In particular, the Special Editors Henrique Giacomini and Brian Shuter gave detailed and insightful feedback, and we are extremely grateful for all their help in the preparation of the manuscript.</t>
  </si>
  <si>
    <t>CANADIAN SCIENCE PUBLISHING</t>
  </si>
  <si>
    <t>10.1139/cjfas-2015-0468</t>
  </si>
  <si>
    <t>WOS:000375424700013</t>
  </si>
  <si>
    <t>Turner, J; Hosking, JS; Marshall, GJ; Phillips, T; Bracegirdle, TJ</t>
  </si>
  <si>
    <t>Turner, John; Hosking, J. Scott; Marshall, Gareth J.; Phillips, Tony; Bracegirdle, Thomas J.</t>
  </si>
  <si>
    <t>Antarctic sea ice increase consistent with intrinsic variability of the Amundsen Sea Low</t>
  </si>
  <si>
    <t>CLIMATE DYNAMICS</t>
  </si>
  <si>
    <t>Sea ice; Southern Ocean; Climate change; Ross Sea; Amundsen Sea Low</t>
  </si>
  <si>
    <t>CLIMATE VARIABILITY; WEST ANTARCTICA; SPLIT JET; TRENDS; EXTENT; OCEAN; RECORD; EVOLUTION; CMIP5; CYCLE</t>
  </si>
  <si>
    <t>We investigate the relationship between atmospheric circulation variability and the recent trends in Antarctic sea ice extent (SIE) using Coupled Model Intercomparison Project Phase 5 (CMIP5) atmospheric data, ECMWF Interim reanalysis fields and passive microwave satellite data processed with the Bootstrap version 2 algorithm. Over 1979-2013 the annual mean total Antarctic SIE increased at a rate of 195 x 10(3) km(2) dec(-1) (1.6 % dec(-1)), p &lt; 0.01. The largest regional positive trend of annual mean SIE of 119 x 10(3) km(2) dec(-1) (4.0 % dec(-1)) has been in the Ross Sea sector. Off West Antarctica there is a high correlation between trends in SIE and trends in the near-surface winds. The Ross Sea SIE seasonal trends are positive throughout the year, but largest in spring. The stronger meridional flow over the Ross Sea has been driven by a deepening of the Amundsen Sea Low (ASL). Pre-industrial control and historical simulations from CMIP5 indicate that the observed deepening of the ASL and stronger southerly flow over the Ross Sea are within the bounds of modeled intrinsic variability. The spring trend would need to continue for another 11 years for it to fall outside the 2 standard deviation range seen in 90 % of the simulations.</t>
  </si>
  <si>
    <t>[Turner, John; Hosking, J. Scott; Marshall, Gareth J.; Phillips, Tony; Bracegirdle, Thomas J.] British Antarctic Survey, NERC, High Cross,Madingley Rd, Cambridge CB3 0ET, England</t>
  </si>
  <si>
    <t>Turner, J (corresponding author), British Antarctic Survey, NERC, High Cross,Madingley Rd, Cambridge CB3 0ET, England.</t>
  </si>
  <si>
    <t>jtu@bas.ac.uk</t>
  </si>
  <si>
    <t>Bracegirdle, Tom/AAD-6060-2020; Hosking, Scott/D-3437-2013</t>
  </si>
  <si>
    <t>Hosking, Scott/0000-0002-3646-3504; Turner, John/0000-0002-6111-5122; Bracegirdle, Thomas/0000-0002-8868-4739</t>
  </si>
  <si>
    <t>UK Natural Environment Research Council [NE/H02333X/1]; NERC [NE/H02333X/1, NE/K012150/1, NE/K00445X/1, bas0100032] Funding Source: UKRI; Natural Environment Research Council [bas0100032, NE/K012150/1, NE/K00445X/1, NE/H02333X/1] Funding Source: researchfish</t>
  </si>
  <si>
    <t>This work was financially supported by the UK Natural Environment Research Council under Grant NE/H02333X/1. We are grateful to PCMDI for making the CMIP5 data available and to ECMWF for the provision of reanalysis fields.</t>
  </si>
  <si>
    <t>0930-7575</t>
  </si>
  <si>
    <t>1432-0894</t>
  </si>
  <si>
    <t>CLIM DYNAM</t>
  </si>
  <si>
    <t>Clim. Dyn.</t>
  </si>
  <si>
    <t>7-8</t>
  </si>
  <si>
    <t>10.1007/s00382-015-2708-9</t>
  </si>
  <si>
    <t>DI4AR</t>
  </si>
  <si>
    <t>WOS:000373442900022</t>
  </si>
  <si>
    <t>Butler, ED; Oliver, KIC; Hirschi, JJM; Mecking, JV</t>
  </si>
  <si>
    <t>Butler, E. D.; Oliver, K. I. C.; Hirschi, J. J. -M.; Mecking, J. V.</t>
  </si>
  <si>
    <t>Reconstructing global overturning from meridional density gradients</t>
  </si>
  <si>
    <t>Meridional overturning circulation; MOC; AMOC; Surface buoyancy forcing; Meridional density gradient; Meridional pressure gradient; Meridional scaling law; Thermohaline circulation</t>
  </si>
  <si>
    <t>OCEAN CIRCULATION; THERMOHALINE CIRCULATION; NORTH-ATLANTIC; CLIMATE; TRANSPORT; BOUNDARY; DYNAMICS; ENERGY; MODEL</t>
  </si>
  <si>
    <t>Despite the complexity of the global ocean system, numerous attempts have been made to scale the strength of the meridional overturning circulation (MOC), principally in the North Atlantic, with large-scale, basin-wide hydrographic properties. In particular, various approaches to scaling the MOC with meridional density gradients have been proposed, but the success of these has only been demonstrated under limited conditions. Here we present a scaling relationship linking overturning to twice vertically-integrated meridional density gradients via the hydrostatic equation and a rotated form of the geostrophic equation. This provides a meridional overturning streamfunction as a function of depth for each basin. Using a series of periodically forced experiments in a global, coarse resolution configuration of the general circulation model NEMO, we explore the timescales over which this scaling is temporally valid. We find that the scaling holds well in the upper Atlantic cell (at 1000 m) for multi-decadal (and longer) timescales, accurately reconstructing the relative magnitude of the response for different frequencies and explaining over 85 % of overturning variance on timescales of 64-2048 years. Despite the highly nonlinear response of the Antarctic cell in the abyssal Atlantic, between 76 and 94 % of the observed variability at 4000 m is reconstructed on timescales of 32 years (and longer). The scaling law is also applied in the Indo-Pacific. This analysis is extended to a higher resolution, stochastically forced simulation for which correlations of between 0.79 and 0.99 are obtained with upper Atlantic MOC variability on timescales &gt; 25 years. These results indicate that meridional density gradients and overturning are linked via meridional pressure gradients, and that both the strength and structure of the MOC can be reconstructed from hydrography on multi-decadal and longer timescales provided that the link is made in this way.</t>
  </si>
  <si>
    <t>[Butler, E. D.; Oliver, K. I. C.; Mecking, J. V.] Univ Southampton, Natl Oceanog Ctr Southampton, Sch Ocean &amp; Earth Sci, Waterfront Campus,European Way, Southampton SO14 3ZH, Hants, England; [Butler, E. D.] Univ Southampton, Sch Elect &amp; Comp Sci, Inst Complex Syst Simulat, Southampton SO17 1BJ, Hants, England; [Hirschi, J. J. -M.] Univ Southampton, Natl Oceanog Ctr Southampton, Waterfront Campus,European Way, Southampton SO14 3ZH, Hants, England</t>
  </si>
  <si>
    <t>NERC National Oceanography Centre; University of Southampton; University of Southampton; NERC National Oceanography Centre; University of Southampton</t>
  </si>
  <si>
    <t>Oliver, KIC (corresponding author), Univ Southampton, Natl Oceanog Ctr Southampton, Sch Ocean &amp; Earth Sci, Waterfront Campus,European Way, Southampton SO14 3ZH, Hants, England.</t>
  </si>
  <si>
    <t>e.d.butler@soton.ac.uk; K.Oliver@noc.soton.ac.uk</t>
  </si>
  <si>
    <t>Hirschi, Joel/IAR-8942-2023</t>
  </si>
  <si>
    <t>NERC [NE/I528626/1]; Graduate School of the National Oceanography Centre, Southampton; Natural Environment Research Council [noc010010] Funding Source: researchfish; NERC [noc010010] Funding Source: UKRI</t>
  </si>
  <si>
    <t>NERC(UK Research &amp; Innovation (UKRI)Natural Environment Research Council (NERC)); Graduate School of the National Oceanography Centre, Southampton; Natural Environment Research Council(UK Research &amp; Innovation (UKRI)Natural Environment Research Council (NERC)); NERC(UK Research &amp; Innovation (UKRI)Natural Environment Research Council (NERC))</t>
  </si>
  <si>
    <t>This work was supported by a NERC doctoral training grant (NE/I528626/1) with funding from the Graduate School of the National Oceanography Centre, Southampton.</t>
  </si>
  <si>
    <t>10.1007/s00382-015-2719-6</t>
  </si>
  <si>
    <t>WOS:000373442900033</t>
  </si>
  <si>
    <t>Mirete, S; Morgante, V; González-Pastor, JE</t>
  </si>
  <si>
    <t>Mirete, Salvador; Morgante, Veronica; Eduardo Gonzalez-Pastor, Jose</t>
  </si>
  <si>
    <t>Functional metagenomics of extreme environments</t>
  </si>
  <si>
    <t>CURRENT OPINION IN BIOTECHNOLOGY</t>
  </si>
  <si>
    <t>ANTARCTIC DESERT SOIL; ACID-MINE DRAINAGE; RESISTANCE GENES; BIOTECHNOLOGICAL APPLICATIONS; NA+/H+ ANTIPORTER; ESCHERICHIA-COLI; ENZYMES; IDENTIFICATION; LIBRARY; DIVERSITY</t>
  </si>
  <si>
    <t>The bioprospecting of enzymes that operate under extreme conditions is of particular interest for many biotechnological and industrial processes. Nevertheless, there is a considerable limitation to retrieve novel enzymes as only a small fraction of microorganisms derived from extreme environments can be cultured under standard laboratory conditions. Functional metagenomics has the advantage of not requiring the cultivation of microorganisms or previous sequence information to known genes, thus representing a valuable approach for mining enzymes with new features. In this review, we summarize studies showing how functional metagenomics was employed to retrieve genes encoding for proteins involved not only in molecular adaptation and resistance to extreme environmental conditions but also in other enzymatic activities of biotechnological interest.</t>
  </si>
  <si>
    <t>[Mirete, Salvador; Morgante, Veronica; Eduardo Gonzalez-Pastor, Jose] Ctr Astrobiol CSIC INTA, Dept Mol Evolut, Lab Mol Adaptat, Madrid, Spain</t>
  </si>
  <si>
    <t>Consejo Superior de Investigaciones Cientificas (CSIC); CSIC - Centro de Astrobiologia (INTA)</t>
  </si>
  <si>
    <t>González-Pastor, JE (corresponding author), Ctr Astrobiol CSIC INTA, Dept Mol Evolut, Lab Mol Adaptat, Madrid, Spain.</t>
  </si>
  <si>
    <t>gonzalezpje@cab.inta-csic.es</t>
  </si>
  <si>
    <t>Mirete, Salvador/E-3137-2012; Morgante, Veronica/HZM-2607-2023; Gonzalez-Pastor, Jose Eduardo/I-2118-2015</t>
  </si>
  <si>
    <t>Morgante, Veronica/0000-0001-9142-2214; Gonzalez-Pastor, Jose Eduardo/0000-0002-7615-7042</t>
  </si>
  <si>
    <t>Spanish Ministry of Science and Innovation [CGL2012-39627-C03-02]</t>
  </si>
  <si>
    <t>Spanish Ministry of Science and Innovation(Spanish Government)</t>
  </si>
  <si>
    <t>This work was funded by the Spanish Ministry of Science and Innovation (CGL2012-39627-C03-02).</t>
  </si>
  <si>
    <t>0958-1669</t>
  </si>
  <si>
    <t>1879-0429</t>
  </si>
  <si>
    <t>CURR OPIN BIOTECH</t>
  </si>
  <si>
    <t>Curr. Opin. Biotechnol.</t>
  </si>
  <si>
    <t>10.1016/j.copbio.2016.01.017</t>
  </si>
  <si>
    <t>Biochemical Research Methods; Biotechnology &amp; Applied Microbiology</t>
  </si>
  <si>
    <t>DK3HO</t>
  </si>
  <si>
    <t>WOS:000374807900022</t>
  </si>
  <si>
    <t>Makhalanyane, TP; Van Goethem, MW; Cowan, DA</t>
  </si>
  <si>
    <t>Makhalanyane, Thulani Peter; Van Goethem, Marc Warwick; Cowan, Don Arthur</t>
  </si>
  <si>
    <t>Microbial diversity and functional capacity in polar soils</t>
  </si>
  <si>
    <t>ECTOMYCORRHIZAL FUNGAL COMMUNITIES; METAGENOMIC ANALYSIS; ARCHAEAL DIVERSITY; SPATIAL DISTANCE; MAT COMMUNITIES; ARCTIC TUNDRA; PEAT SOILS; PERMAFROST; CARBON; TEMPERATURE</t>
  </si>
  <si>
    <t>Global change is disproportionately affecting cold environments (polar and high elevation regions), with potentially negative impacts on microbial diversity and functional processes. In most cold environments the combination of low temperatures, and physical stressors, such as katabatic wind episodes and limited water availability result in biotic systems, which are in trophic terms very simple and primarily driven by microbial communities. Metagenomic approaches have provided key insights on microbial communities in these systems and how they may adapt to stressors and contribute towards mediating crucial biogeochemical cycles. Here we review, the current knowledge regarding edaphic-based microbial diversity and functional processes in Antarctica, and the Artic. Such insights are crucial and help to establish a baseline for understanding the impact of climate change on Polar Regions.</t>
  </si>
  <si>
    <t>[Makhalanyane, Thulani Peter; Van Goethem, Marc Warwick; Cowan, Don Arthur] Univ Pretoria, Ctr Microbial Ecol &amp; Genom, Dept Genet, ZA-0028 Pretoria, South Africa</t>
  </si>
  <si>
    <t>Cowan, DA (corresponding author), Univ Pretoria, Ctr Microbial Ecol &amp; Genom, Dept Genet, ZA-0028 Pretoria, South Africa.</t>
  </si>
  <si>
    <t>don.cowan@up.ac.za</t>
  </si>
  <si>
    <t>Makhalanyane, Thulani P./C-6815-2012; Van Goethem, Marc/IZE-2222-2023; Van Goethem, Marc Warwick/HNC-2411-2023; Van Goethem, Marc/AAV-3022-2020; Cowan, Donald A/E-3991-2012</t>
  </si>
  <si>
    <t>Makhalanyane, Thulani P./0000-0002-8173-1678; Van Goethem, Marc Warwick/0000-0001-8688-3323; Cowan, Donald A/0000-0001-8059-861X</t>
  </si>
  <si>
    <t>South African National Research Foundation; South African National Antarctic Program; Foundational Biodiversity Program; Thuthuka; Innovation PhD Scholarship; University of Pretoria through the Research Development Program; University of Pretoria through the Genomics Research Institute</t>
  </si>
  <si>
    <t>South African National Research Foundation(National Research Foundation - South Africa); South African National Antarctic Program; Foundational Biodiversity Program; Thuthuka; Innovation PhD Scholarship; University of Pretoria through the Research Development Program; University of Pretoria through the Genomics Research Institute</t>
  </si>
  <si>
    <t>We would like to thank the following funding instruments of the South African National Research Foundation for supporting our research: the South African National Antarctic Program (DAC), the Foundational Biodiversity Program (TPM), Thuthuka (TPM), Innovation PhD Scholarship (MWvG). We also thank the University of Pretoria for funding through the Research Development Program (TPM) and the Genomics Research Institute (TPM, DAC).</t>
  </si>
  <si>
    <t>10.1016/j.copbio.2016.01.011</t>
  </si>
  <si>
    <t>WOS:000374807900024</t>
  </si>
  <si>
    <t>Béhagle, N; Cotté, C; Ryan, TE; Gauthier, O; Roudaut, G; Brehmer, P; Josse, E; Cherel, Y</t>
  </si>
  <si>
    <t>Behagle, Nolwenn; Cotte, Cedric; Ryan, Tim E.; Gauthier, Olivier; Roudaut, Gildas; Brehmer, Patrice; Josse, Erwan; Cherel, Yves</t>
  </si>
  <si>
    <t>Acoustic micronektonic distribution is structured by macroscale oceanographic processes across 20-50°S latitudes in the South-Western Indian Ocean</t>
  </si>
  <si>
    <t>Mesopelagic; Acoustics; Mid-water organisms; Water masses; Southern Ocean</t>
  </si>
  <si>
    <t>DIEL VERTICAL MIGRATION; COMMUNITY STRUCTURE; KERGUELEN WATERS; MARINE RESOURCES; SEABIRDS; BIOMASS; FRONTS; FISH; ZOOPLANKTON; SCALE</t>
  </si>
  <si>
    <t>Micronelcton constitutes the largest unexploited marine biomass worldwide. It is one of the most conspicuous and ecologically important components of the still poorly known mesopelagic ecosystem. Acoustic data were collected from both fishing and research vessels along 18 transects for a total of 47 682 linear kilometers to investigate large-scale distribution of micronekton over a long latitudinal gradient (20-50 degrees S) and two contrasted seasons (summer and winter) in the South-Western Indian Ocean. Acoustic backscatter at 38 kHz was used as a proxy of mid-water organisms' abundance (0-800 m depth). Two consistent features were diel vertical migration of backscatters and vertical distribution of micronekton in three distinct layers, namely the surface (SL), intermediate (IL) and deep (DL) layers. Satellite remote sensing data was used to position oceanic fronts, and hence define water masses, from the tropical to low Antarctic zones. A key finding of this study was the significant correlation observed between abundance and distribution of acoustic backscatter and position relative to these front and water masses. Total backscatter peaked in the subtropical zone, with low abundances in the colder Polar Frontal Zone. The high overall abundances in subtropical waters resulted mainly from high backscatters in the IL and DL that contrasted with low SL values, especially during the day (2-11%). The warmer the waters, the higher SL backscatter was, with the highest absolute and relative (38-51% of the total abundance) values observed at night in the Tropical Zone and the lowest abundance in the Antarctic Zone. No significant seasonal pattern was found, but SL backscatters were very low in winter compared to summer in the Polar Frontal Zone. Moreover, the Northern winter shift of the fronts induced a Northern latitudinal shift of the peak in abundance from summer to winter. The present study highlights the value of building large acoustic databases collected from both research and fishing vessels. The method provides unique opportunities to gather basic information on micronekton and is an essential step to describe oceanic zones of relevant biological interest in terms of trophic ecology. (C) 2016 Published by Elsevier Ltd.</t>
  </si>
  <si>
    <t>[Behagle, Nolwenn; Roudaut, Gildas; Josse, Erwan] IFREMER, IRD, UMR LEMAR 6539, CNRS,UBO, BP70, F-29280 Plouzane, France; [Behagle, Nolwenn] CNRS IRD MNHN UPMC, CNRS, UMR LOCEAN 7159, 4 Pl Jussieu, F-75005 Paris, France; [Cotte, Cedric] CNRS IRD MNHN UPMC, MNHN, UMR LOCEAN 7159, 4 Pl Jussieu, F-75005 Paris, France; [Ryan, Tim E.] CSIRO, Wealth Oceans Flagship, Marine &amp; Atmospher Res, GPO Box 1538, Hobart, Tas 7001, Australia; [Gauthier, Olivier] IFREMER, UMR LEMAR 6539, UBO, CNRS,IRD, F-29280 Plouzane, France; [Brehmer, Patrice] IFREMER, IRD, UMR LEMAR 195, Ctr Rech ISRA Hann PRH CRODT,CNRS,UBO, Dakar, Senegal; [Cherel, Yves] Univ Rochelle, CNRS, UMR CEBC 7372, F-79360 Villiers En Bois, France</t>
  </si>
  <si>
    <t>Universite de Bretagne Occidentale; Institut Universitaire Europeen de la Mer (IUEM); Centre National de la Recherche Scientifique (CNRS); CNRS - Institute of Ecology &amp; Environment (INEE); Ifremer; Institut de Recherche pour le Developpement (IRD); Centre National de la Recherche Scientifique (CNRS); Sorbonne Universite; Museum National d'Histoire Naturelle (MNHN); Sorbonne Universite; Museum National d'Histoire Naturelle (MNHN); Centre National de la Recherche Scientifique (CNRS); Commonwealth Scientific &amp; Industrial Research Organisation (CSIRO); Centre National de la Recherche Scientifique (CNRS); CNRS - Institute of Ecology &amp; Environment (INEE); Universite de Bretagne Occidentale; Institut Universitaire Europeen de la Mer (IUEM); Ifremer; Institut de Recherche pour le Developpement (IRD); Centre National de la Recherche Scientifique (CNRS); Ifremer; Institut de Recherche pour le Developpement (IRD); Centre National de la Recherche Scientifique (CNRS)</t>
  </si>
  <si>
    <t>Béhagle, N (corresponding author), IFREMER, IRD, UMR LEMAR 6539, CNRS,UBO, BP70, F-29280 Plouzane, France.</t>
  </si>
  <si>
    <t>nolwenn.behagle@ird.fr</t>
  </si>
  <si>
    <t>Cotte, Cedric/C-3296-2013; Cotté, Cédric/Z-3243-2019; Brehmer, Patrice/K-2285-2016; Gauthier, Olivier/H-1704-2011; Cotté, Cédric/AAX-6120-2021</t>
  </si>
  <si>
    <t>Cotté, Cédric/0000-0002-8307-6435; Brehmer, Patrice/0000-0001-8949-9095; Cotté, Cédric/0000-0002-8307-6435; Gauthier, Olivier/0000-0002-4158-7560</t>
  </si>
  <si>
    <t>Agence Nationale de La Recherche (ANR MyctO-3D-MAP); Institut Polaire Francais Paul Emile Victor; Terres Australes et Antarctiques Francaises</t>
  </si>
  <si>
    <t>Agence Nationale de La Recherche (ANR MyctO-3D-MAP)(Agence Nationale de la Recherche (ANR)); Institut Polaire Francais Paul Emile Victor; Terres Australes et Antarctiques Francaises</t>
  </si>
  <si>
    <t>The authors wish thank two anonymous referees and A. Lebourges-Dhaussy for helpful comments on previous versions of the manuscript. Gratitude is extended to F. D'Ovidio for providing complementary funding. The present work was financially and logistically supported by the Agence Nationale de La Recherche (ANR MyctO-3D-MAP, Programme Blanc SVSE 7 2011, Y. Cherel), the Institut Polaire Francais Paul Emile Victor, and the Terres Australes et Antarctiques Francaises.</t>
  </si>
  <si>
    <t>10.1016/j.dsr.2015.12.007</t>
  </si>
  <si>
    <t>WOS:000373544500002</t>
  </si>
  <si>
    <t>Lascelles, BG; Taylor, PR; Miller, MGR; Dias, MP; Oppel, S; Torres, L; Hedd, A; Le Corre, M; Phillips, RA; Shaffer, SA; Weimerskirch, H; Small, C</t>
  </si>
  <si>
    <t>Lascelles, B. G.; Taylor, P. R.; Miller, M. G. R.; Dias, M. P.; Oppel, S.; Torres, L.; Hedd, A.; Le Corre, M.; Phillips, R. A.; Shaffer, S. A.; Weimerskirch, H.; Small, C.</t>
  </si>
  <si>
    <t>Applying global criteria to tracking data to define important areas for marine conservation</t>
  </si>
  <si>
    <t>DIVERSITY AND DISTRIBUTIONS</t>
  </si>
  <si>
    <t>Important Bird and Biodiversity Areas; kernel analysis; marine protected areas; seabirds; site-based conservation; tracking data</t>
  </si>
  <si>
    <t>HOME-RANGE; POSITIONING SYSTEM; SAMPLE-SIZE; SEABIRDS; MOVEMENTS; OCEAN; GPS; TECHNOLOGY; MANAGEMENT; PREDATOR</t>
  </si>
  <si>
    <t>AimEnhanced management of areas important for marine biodiversity are now obligations under a range of international treaties. Tracking data provide unparalleled information on the distribution of marine taxa, but there are no agreed guidelines that ensure these data are used consistently to identify biodiversity hotspots and inform marine management decisions. Here, we develop methods to standardize the analysis of tracking data to identify sites of conservation importance at global and regional scales. LocationWe applied these methods to the largest available compilation of seabird tracking data, covering 60 species, collected from 55 deployment locations ranging from the poles to the tropics. MethodsKey developments include a test for pseudo-replication to assess the independence of two groups of tracking data, an objective approach to define species-specific smoothing parameters (h values) for kernel density estimation based on area-restricted search behaviour, and an analysis to determine whether sites identified from tracked individuals are also representative for the wider population. ResultsThis analysis delineated priority sites for marine conservation for 52 of the 60 species assessed. We compiled 252 data groupings and defined 1052 polygons, between them meeting Important Bird and Biodiversity Area criteria over 1500 times. Other results showed 13% of data groups were inadequate for site definition and 10% showed some level of pseudo-replication. Between 25 and 50 trips were needed within a data group for data to be considered at least partially representative of the respective population. Main conclusionsOur approach provides a consistent framework for using animal tracking data to delineate areas of global conservation importance, allowing greater integration into marine spatial planning and policy. The approaches we describe are exemplified for pelagic seabirds, but are applicable to a range of taxonomic groups. Covering 4.3% of the oceans, the sites identified would benefit from enhanced protection to better safeguard the threatened species populations they contain.</t>
  </si>
  <si>
    <t>[Lascelles, B. G.; Dias, M. P.] BirdLife Int, David Attenborough Bldg,Pembroke St, Cambridge CB2 3QZ, England; [Taylor, P. R.; Oppel, S.; Small, C.] RSPB Ctr Conservat Sci, Sandy, Beds, England; [Miller, M. G. R.] James Cook Univ, Cairns, Qld, Australia; [Torres, L.] Oregon State Univ, Marine Mammal Inst, Dept Wildlife &amp; Fisheries, Newport, OR USA; [Hedd, A.] Mem Univ, St John, NF, Canada; [Le Corre, M.] Univ Reunion, St Denis, Reunion, France; [Phillips, R. A.] British Antarctic Survey, Cambridge CB3 0ET, England; [Shaffer, S. A.] San Jose State Univ, Dept Biol Sci, San Jose, CA 95192 USA; [Weimerskirch, H.] Ctr Etud Biol Chize, Villiers En Bois, France</t>
  </si>
  <si>
    <t>BirdLife International; Royal Society for Protection of Birds; James Cook University; Oregon State University; Memorial University Newfoundland; University of La Reunion; UK Research &amp; Innovation (UKRI); Natural Environment Research Council (NERC); NERC British Antarctic Survey; California State University System; San Jose State University</t>
  </si>
  <si>
    <t>Lascelles, BG (corresponding author), BirdLife Int, David Attenborough Bldg,Pembroke St, Cambridge CB2 3QZ, England.</t>
  </si>
  <si>
    <t>ben.lascelles@birdlife.org</t>
  </si>
  <si>
    <t>Weimerskirch, Henri/K-7306-2019; Oppel, Steffen/H-2771-2019; Dias, Maria P./D-1331-2012; Weimerskirch, Henri/F-5562-2013; Shaffer, Scott/D-5015-2009</t>
  </si>
  <si>
    <t>Weimerskirch, Henri/0000-0002-0457-586X; Oppel, Steffen/0000-0002-8220-3789; Dias, Maria P./0000-0002-7281-4391; Shaffer, Scott/0000-0002-7751-5059; Hedd, April/0000-0003-2222-2627; Miller, Mark/0000-0003-3690-5576</t>
  </si>
  <si>
    <t>AV Jensen Foundation; Lenfest Ocean Program; NERC [bas0100035] Funding Source: UKRI; Natural Environment Research Council [bas0100035] Funding Source: researchfish</t>
  </si>
  <si>
    <t>AV Jensen Foundation; Lenfest Ocean Program; NERC(UK Research &amp; Innovation (UKRI)Natural Environment Research Council (NERC)); Natural Environment Research Council(UK Research &amp; Innovation (UKRI)Natural Environment Research Council (NERC))</t>
  </si>
  <si>
    <t>This work was possible due to funding from the AV Jensen Foundation and the Lenfest Ocean Program. Particular thanks to all contributors of data to Tracking Ocean Wanderers: the global seabird tracking database without which this analysis would not have been possible. To see the full list of contributors and datasets visit www.seabirdtracking.org/mapper/about.php. Thanks to Jose-Manuel Arcos, Mark Balman, John Croxall, Lincoln Fishpool, Autumn-Lynne Harrison, Vitor Paiva, David Pinaud, Ivan Ramirez, Norman Ratcliffe and Phil Trathan for their assistance in various phases of the analysis development. Thanks also to those who attended workshops at CNRS Chize, France in 2009, and Coimbra University, Portugal in 2011 which helped further advance the methodology.</t>
  </si>
  <si>
    <t>1366-9516</t>
  </si>
  <si>
    <t>1472-4642</t>
  </si>
  <si>
    <t>DIVERS DISTRIB</t>
  </si>
  <si>
    <t>Divers. Distrib.</t>
  </si>
  <si>
    <t>10.1111/ddi.12411</t>
  </si>
  <si>
    <t>DH6EE</t>
  </si>
  <si>
    <t>Bronze, Green Submitted, Green Accepted</t>
  </si>
  <si>
    <t>WOS:000372883000005</t>
  </si>
  <si>
    <t>Stap, LB; de Boer, B; Ziegler, M; Bintanja, R; Lourens, LJ; van de Wal, RSW</t>
  </si>
  <si>
    <t>Stap, Lennert B.; de Boer, Bas; Ziegler, Martin; Bintanja, Richard; Lourens, Lucas J.; van de Wal, Roderik S. W.</t>
  </si>
  <si>
    <t>CO2 over the past 5 million years: Continuous simulation and new δ11B-based proxy data</t>
  </si>
  <si>
    <t>carbon dioxide; global climate; global ice volume; sea level; Plio-Pleistocene; proxy data</t>
  </si>
  <si>
    <t>ANTARCTIC ICE-SHEET; LAST GLACIAL MAXIMUM; SEA-LEVEL; CLIMATE; VARIABILITY; VOLUME; MODEL</t>
  </si>
  <si>
    <t>During the past five million yrs, benthic delta O-18 records indicate a large range of climates, from warmer than today during the Pliocene Warm Period to considerably colder during glacials. Antarctic ice cores have revealed Pleistocene glacial-interglacial CO2 variability of 60-100 ppm, while sea level fluctuations of typically 125 m are documented by proxy data. However, in the pre-ice core period, CO2 and sea level proxy data are scarce and there is disagreement between different proxies and different records of the same proxy. This hampers comprehensive understanding of the long-term relations between CO2, sea level and climate. Here, we drive a coupled climate-ice sheet model over the past five million years, inversely forced by a stacked benthic delta O-18 record. We obtain continuous simulations of benthic delta O-18, sea level and CO2 that are mutually consistent. Our model shows CO2 concentrations of 300 to 470 ppm during the Early Pliocene. Furthermore, we simulate strong CO2 variability during the Pliocene and Early Pleistocene. These features are broadly supported by existing and new delta B-11-based proxy CO2 data, but less by alkenone-based records. The simulated concentrations and variations therein are larger than expected from global mean temperature changes. Our findings thus suggest a smaller Earth System Sensitivity than previously thought. This is explained by a more restricted role of land ice variability in the Pliocene. The largest uncertainty in our simulation arises from the mass balance formulation of East Antarctica, which governs the variability in sea level, but only modestly affects the modeled CO2 concentrations. (C) 2016 Elsevier B.V. All rights reserved.</t>
  </si>
  <si>
    <t>[Stap, Lennert B.; de Boer, Bas; van de Wal, Roderik S. W.] Univ Utrecht, Inst Marine &amp; Atmospher Res Utrecht IMAU, Princetonplein 5, NL-3584 CC Utrecht, Netherlands; [de Boer, Bas] Univ Leeds, Fac Environm, Sch Earth &amp; Environm, Leeds LS2 9JT, W Yorkshire, England; [Ziegler, Martin; Lourens, Lucas J.] Univ Utrecht, Fac Geosci, Dept Earth Sci, Budapestlaan 4, NL-3584 CD Utrecht, Netherlands; [Ziegler, Martin] Swiss Fed Inst Technol, Inst Geol, Sonneggstr 5, CH-8092 Zurich, Switzerland; [Bintanja, Richard] Royal Netherlands Meteorol Inst KNMI, Wilhelminalaan 10, NL-3732 GK De Bilt, Netherlands</t>
  </si>
  <si>
    <t>Utrecht University; University of Leeds; Utrecht University; Swiss Federal Institutes of Technology Domain; ETH Zurich; Royal Netherlands Meteorological Institute</t>
  </si>
  <si>
    <t>Stap, LB (corresponding author), Univ Utrecht, Inst Marine &amp; Atmospher Res Utrecht IMAU, Princetonplein 5, NL-3584 CC Utrecht, Netherlands.</t>
  </si>
  <si>
    <t>L.B.Stap@uu.nl</t>
  </si>
  <si>
    <t>Ziegler, Martin/N-9699-2013; van de wal, roderik/D-1705-2011</t>
  </si>
  <si>
    <t>van de wal, roderik/0000-0003-2543-3892; Stap, Lennert/0000-0002-2108-3533; de Boer, Bas/0000-0002-3696-6654; Ziegler, Martin/0000-0003-3198-6434; Bintanja, Richard/0000-0002-0465-5923</t>
  </si>
  <si>
    <t>Netherlands Organisation for Scientific Research (NWO-ALW); NWO Rubicon grant [019.2009.2.310.057]; Netherlands Earth System Science Centre (NWO)</t>
  </si>
  <si>
    <t>Netherlands Organisation for Scientific Research (NWO-ALW)(Netherlands Organization for Scientific Research (NWO)); NWO Rubicon grant; Netherlands Earth System Science Centre (NWO)</t>
  </si>
  <si>
    <t>Financial support for L.B.S. was provided by the Netherlands Organisation for Scientific Research (NWO-ALW). M.Z. was financially supported by NWO Rubicon grant 019.2009.2.310.057. B.d.B. was financially supported by the Netherlands Earth System Science Centre (NWO). We thank Kenneth G. Miller for sharing his sea level data and Barbel Honisch for making the TIMS facility at LDEO for Boron Isotope measurements available and for the support during the analysis. We would further like to thank Markus Raitzsch, Orit Hyams and Nina Ruprecht for technical and analytical support of the boron data analysis. The Ocean Drilling Program (ODP) is thanked for supplying samples. Finally, we would like to thank three anonymous referees and the editor for providing useful suggestions, which helped to improve the quality of the paper.</t>
  </si>
  <si>
    <t>10.1016/j.epsl.2016.01.022</t>
  </si>
  <si>
    <t>DG1QX</t>
  </si>
  <si>
    <t>Green Accepted, Green Published</t>
  </si>
  <si>
    <t>WOS:000371843700001</t>
  </si>
  <si>
    <t>Vacchi, M; Marriner, N; Morhange, C; Spada, G; Fontana, A; Rovere, A</t>
  </si>
  <si>
    <t>Vacchi, Matteo; Marriner, Nick; Morhange, Christophe; Spada, Giorgio; Fontana, Alessandro; Rovere, Alessio</t>
  </si>
  <si>
    <t>Multiproxy assessment of Holocene relative sea-level changes in the western Mediterranean: Sea-level variability and improvements in the definition of the isostatic signal</t>
  </si>
  <si>
    <t>EARTH-SCIENCE REVIEWS</t>
  </si>
  <si>
    <t>Mediterranean Sea; Holocene; Sea-level database; Isostatic adjustment; Sea-level proxy</t>
  </si>
  <si>
    <t>LAST GLACIAL MAXIMUM; COASTAL LAGOON; PALEOENVIRONMENTAL RECONSTRUCTION; TYRRHENIAN COAST; RHONE DELTA; QUATERNARY FORAMINIFERA; SOUTHERN CALABRIA; ATLANTIC COAST; UPLIFT RATES; IONIAN COAST</t>
  </si>
  <si>
    <t>A review of 917 relative sea-level (RSL) data-points has resulted in the first quality-controlled database constraining the Holocene sea-level histories of the western Mediterranean Sea (Spain, France, Italy, Slovenia, Croatia, Malta and Tunisia). We reviewed and standardized the geological RSL data-points using a new multiproxy methodology based on: (1) modern taxa assemblages in Mediterranean lagoons and marshes; (2) beachrock characteristics (cement fabric and chemistry, sedimentary structures); and (3) the modern distribution of Mediterranean fixed biological indicators. These RSL data-points were coupled with the large number of archaeological RSL indicators available for the western Mediterranean. We assessed the spatial variability of RSL histories for 22 regions and compared these with the ICE-5G (VM2) GIA model. In the western Mediterranean, RSL rose continuously for the whole Holocene with a sudden slowdown at similar to 7.5 ka BP and a further deceleration during the last similar to 4.0 ka BP, after which time observed RSL changes are mainly related to variability in isostatic adjustment. The sole exception is southem Tunisia, where data show evidence of a mid-Holocene high-stand compatible with the isostatic impacts of the melting history of the remote Antarctic ice sheet. Our results indicate that late-Holocene sea-level rise was significantly slower than the current one. First estimates of GIA contribution indicate that, at least in the northwestern sector, it accounts at least for the 25-30% of the ongoing sea-level rise recorded by Mediterranean tidal gauges. Such contribution is less constrained at lower latitudes due to the lower quality of the late Holocene index points. Future applications of spatio-temporal statistical techniques are required to better quantify the gradient of the isostatic contribution and to provide improved context for the assessment of 20th century acceleration of Mediterranean sea-level rise. (C) 2016 Elsevier B.V. All rights reserved.</t>
  </si>
  <si>
    <t>[Vacchi, Matteo; Morhange, Christophe] Aix Marseille Univ, CEREGE CNRS IRD UMR 34, Europole Arbois BP 80, F-13545 Aix En Provence 4, France; [Marriner, Nick] Univ Franche Comte, UFR ST, Chronoenvironm UMR 6249, CNRS, 16 Route Gray, F-25030 Besancon, France; [Spada, Giorgio] Univ Urbino, Dipartimento Sci Pure &amp; Applicate DiSPeA, Via Santa Chiara 27, I-61029 Urbino, Italy; [Fontana, Alessandro] Univ Padua, Dipartimento Geosci, Via Gradenigo 6, Padua, Italy; [Rovere, Alessio] Univ Bremen, ZMT, Marum, D-28359 Bremen, Germany</t>
  </si>
  <si>
    <t>Aix-Marseille Universite; Universite Le Havre Normandie; Universite de Franche-Comte; Centre National de la Recherche Scientifique (CNRS); University of Urbino; University of Padua; Leibniz Zentrum fur Marine Tropenforschung (ZMT); University of Bremen</t>
  </si>
  <si>
    <t>Vacchi, M (corresponding author), Aix Marseille Univ, CEREGE CNRS IRD UMR 34, Europole Arbois BP 80, F-13545 Aix En Provence 4, France.</t>
  </si>
  <si>
    <t>vacchi@cerege.fr</t>
  </si>
  <si>
    <t>IPO, PAGES/JXY-7546-2024; Rovere, Alessio/H-4398-2019; Marriner, Nick/AAA-3004-2019; Fontana, Alessandro/C-1674-2016; Vacchi, Matteo/E-1622-2011</t>
  </si>
  <si>
    <t>Rovere, Alessio/0000-0001-5575-1168; Marriner, Nick/0000-0002-7916-6059; Fontana, Alessandro/0000-0003-1556-2770; Vacchi, Matteo/0000-0002-1569-7862</t>
  </si>
  <si>
    <t>Labex OT-Med [ANR-11-LABX-0061]; A*MIDEX project - Investissements d'Avenir program of the French National Research Agency (ANR) [ANR-11-IDEX-0001-02]; INQUA project [1203]; DiSBeF grant [CUP H31J13000160001]; University of Padova [C91J10000320001]; Institutional Strategy of the University of Bremen, German Excellence Initiative; ZMT Center for Tropical Marine Ecology</t>
  </si>
  <si>
    <t>Labex OT-Med; A*MIDEX project - Investissements d'Avenir program of the French National Research Agency (ANR)(Agence Nationale de la Recherche (ANR)); INQUA project; DiSBeF grant; University of Padova; Institutional Strategy of the University of Bremen, German Excellence Initiative; ZMT Center for Tropical Marine Ecology</t>
  </si>
  <si>
    <t>This work has been carried out thanks to the support of the Labex OT-Med (ANR-11-LABX-0061) and of the A*MIDEX project (no ANR-11-IDEX-0001-02), funded by the Investissements d'Avenir program of the French National Research Agency (ANR). This compilation of the database was motivated by discussions at the workshops of Medflood, INQUA project n. 1203 and PALSEA (PAGES/INQUA/WUN working group). GS has been supported by the DiSBeF grant n. CUP H31J13000160001. AF was supported by University of Padova (project no C91J10000320001). AR's research is funded by the Institutional Strategy of the University of Bremen, German Excellence Initiative, and by ZMT Center for Tropical Marine Ecology.</t>
  </si>
  <si>
    <t>0012-8252</t>
  </si>
  <si>
    <t>1872-6828</t>
  </si>
  <si>
    <t>EARTH-SCI REV</t>
  </si>
  <si>
    <t>Earth-Sci. Rev.</t>
  </si>
  <si>
    <t>10.1016/j.earscirev.2016.02.002</t>
  </si>
  <si>
    <t>DK0TJ</t>
  </si>
  <si>
    <t>WOS:000374624800010</t>
  </si>
  <si>
    <t>Roberts, S; Mahon, A; Halanych, K</t>
  </si>
  <si>
    <t>Roberts, Stephen; Mahon, Andrew; Halanych, Kenneth</t>
  </si>
  <si>
    <t>Biomechanics of Locomotion in Antarctic Sea Spiders (Pycnogonida)</t>
  </si>
  <si>
    <t>FASEB JOURNAL</t>
  </si>
  <si>
    <t>Experimental Biology Meeting</t>
  </si>
  <si>
    <t>APR 02-06, 2016</t>
  </si>
  <si>
    <t>San Diego, CA</t>
  </si>
  <si>
    <t>[Roberts, Stephen] Missouri Univ Sci &amp; Technol, Rolla, MO USA; [Mahon, Andrew] Cent Michigan Univ, Mt Pleasant, MI 48859 USA; [Halanych, Kenneth] Auburn Univ, Auburn, AL 36849 USA</t>
  </si>
  <si>
    <t>University of Missouri System; Missouri University of Science &amp; Technology; Central Michigan University; Auburn University System; Auburn University</t>
  </si>
  <si>
    <t>US National Science Foundation (NSF) [ANT-1043670]; NSF [ANT-1043745]</t>
  </si>
  <si>
    <t>US National Science Foundation (NSF)(National Science Foundation (NSF)); NSF(National Science Foundation (NSF))</t>
  </si>
  <si>
    <t>A.R.M. and S.P.R. were supported by research grant ANT-1043670 by the US National Science Foundation (NSF). K.M.H. was supported by research grant ANT-1043745 by the NSF.</t>
  </si>
  <si>
    <t>FEDERATION AMER SOC EXP BIOL</t>
  </si>
  <si>
    <t>BETHESDA</t>
  </si>
  <si>
    <t>9650 ROCKVILLE PIKE, BETHESDA, MD 20814-3998 USA</t>
  </si>
  <si>
    <t>0892-6638</t>
  </si>
  <si>
    <t>1530-6860</t>
  </si>
  <si>
    <t>FASEB J</t>
  </si>
  <si>
    <t>Faseb J.</t>
  </si>
  <si>
    <t>FB9FJ</t>
  </si>
  <si>
    <t>WOS:000406444705527</t>
  </si>
  <si>
    <t>Woods, HA; Moran, AL; Tobalske, BW; Lane, SJ; Shishido, CL</t>
  </si>
  <si>
    <t>Woods, H. Arthur; Moran, Amy L.; Tobalske, Bret W.; Lane, Steven J.; Shishido, Caitlin L.</t>
  </si>
  <si>
    <t>Temperature-Oxygen Interactions and the Evolution of Giant Antarctic Sea Spiders</t>
  </si>
  <si>
    <t>[Woods, H. Arthur; Tobalske, Bret W.; Lane, Steven J.] Univ Montana, Div Biol Sci, Missoula, MT 59812 USA; [Moran, Amy L.; Shishido, Caitlin L.] Univ Hawaii, Biol, Honolulu, HI 96822 USA</t>
  </si>
  <si>
    <t>University of Montana System; University of Montana; University of Hawaii System</t>
  </si>
  <si>
    <t>National Science Foundation [1341476]</t>
  </si>
  <si>
    <t>National Science Foundation grant 1341476</t>
  </si>
  <si>
    <t>WOS:000406444705514</t>
  </si>
  <si>
    <t>Aliyu, H; De Maayer, P; Cowan, D</t>
  </si>
  <si>
    <t>Aliyu, Habibu; De Maayer, Pieter; Cowan, Don</t>
  </si>
  <si>
    <t>The genome of the Antarctic polyextremophile Nesterenkonia sp AN1 reveals adaptive strategies for survival under multiple stress conditions</t>
  </si>
  <si>
    <t>genomics; transcriptomics; polyextremophile; psychrotolerant; Antarctic soil; Nesterenkonia</t>
  </si>
  <si>
    <t>COLD SHOCK RESPONSE; SP-NOV.; ESCHERICHIA-COLI; PSYCHROPHILIC BACTERIUM; EMENDED DESCRIPTION; ISOCITRATE LYASE; ADAPTATION; GENE; ARTHROBACTER; MICROORGANISMS</t>
  </si>
  <si>
    <t>Nesterenkonia sp. AN1 is a polyextremophile isolated from Antarctic desert soil. Genomic analyses and genome comparisons with three mesophilic Nesterenkonia strains indicated that the unique genome fraction of Nesterenkonia sp. AN1 contains adaptive features implicated in the response to cold stress including modulation of membrane fluidity as well as response to cold-associated osmotic and oxidative stress. The core genome also encodes a number of putative cold stress response proteins. RNA-Seq-based transcriptome analyses of Nesterenkonia sp. AN1 grown at 5 degrees C and 21 degrees C showed that there was significant induction of transcripts that code for antioxidants at 5 degrees C, demonstrated by the upregulation of sodA, bcp and bpoA2. There was also overexpression of universal stress protein genes related to uspA, along with genes encoding other characterized cold stress features. Genes encoding the two key enzymes of the glyoxylate cycle, isocitrate lyase (ICL) and malate synthase (AceB) were induced at 5 degrees C, suggesting possible adaptation strategies for energy metabolism in cold habitats. These genomic features may contribute to the survival of Nesterenkonia sp. AN1 in arid Antarctic soils.</t>
  </si>
  <si>
    <t>[Aliyu, Habibu; De Maayer, Pieter; Cowan, Don] Univ Pretoria, Ctr Microbial Ecol &amp; Genom, ZA-0028 Pretoria, South Africa; [Aliyu, Habibu; Cowan, Don] Univ Pretoria, Dept Genet, ZA-0028 Pretoria, South Africa; [De Maayer, Pieter] Univ Pretoria, Dept Microbiol, ZA-0028 Pretoria, South Africa</t>
  </si>
  <si>
    <t>University of Pretoria; University of Pretoria; University of Pretoria</t>
  </si>
  <si>
    <t>Cowan, D (corresponding author), Univ Pretoria, Ctr Microbial Ecol &amp; Genom, ZA-0028 Pretoria, South Africa.</t>
  </si>
  <si>
    <t>De Maayer, Pieter/AAC-2732-2020; Cowan, Donald A/E-3991-2012; Aliyu, Habibu/AFU-6931-2022; Aliyu, Habibu/AAV-7027-2020</t>
  </si>
  <si>
    <t>Cowan, Donald A/0000-0001-8059-861X; Aliyu, Habibu/0000-0002-9870-8167; De Maayer, Pieter/0000-0001-8550-642X</t>
  </si>
  <si>
    <t>National Research Foundation-South African National Antarctic Research Programme (NRF-SANAP) [80256]; Genomics Research Institute (GRI) University of Pretoria; NRF</t>
  </si>
  <si>
    <t>National Research Foundation-South African National Antarctic Research Programme (NRF-SANAP); Genomics Research Institute (GRI) University of Pretoria; NRF</t>
  </si>
  <si>
    <t>The authors gratefully acknowledge financial support from the National Research Foundation-South African National Antarctic Research Programme (NRF-SANAP) (Award No. 80256) and the Genomics Research Institute (GRI) University of Pretoria. HA acknowledges bursary support from the NRF.</t>
  </si>
  <si>
    <t>fiw032</t>
  </si>
  <si>
    <t>10.1093/femsec/fiw032</t>
  </si>
  <si>
    <t>WOS:000374479400005</t>
  </si>
  <si>
    <t>Rysánek, D; Elster, J; Kovácik, L; Skaloud, P</t>
  </si>
  <si>
    <t>Rysanek, David; Elster, Josef; Kovacik, Lubomir; Skaloud, Pavel</t>
  </si>
  <si>
    <t>Diversity and dispersal capacities of a terrestrial algal genus Klebsormidium (Streptophyta) in polar regions</t>
  </si>
  <si>
    <t>bipolar distribution; genetic diversity; Klebsormidium; phylogeography; polar regions</t>
  </si>
  <si>
    <t>BIOLOGICAL SOIL CRUSTS; GREEN-ALGA; MOLECULAR EVIDENCE; CHLOROPLAST GENOME; LIVINGSTON ISLAND; LOCAL ADAPTATION; VICTORIA LAND; CIERVA POINT; SALINE LAKES; UV-RADIATION</t>
  </si>
  <si>
    <t>The distribution of microbial eukaryotes (protists) has been frequently discussed during the last two decades. The ubiquity hypothesis assumes the lack of latitudinal gradients in protist diversity due to their unlimited global dispersal. In this study, we examined the diversity and distribution of the very common, globally distributed green algal genus Klebsormidium across climatic zones, focusing on the polar regions. We tested whether (i) there is comparable diversity among the polar and temperate regions, and (ii) whether a spatial genetic differentiation occurs at the global scale. We collected a total of 58 Arctic, Antarctic and temperate strains, and genetically characterized them by sequencing the rbcL gene and two highly variable chloroplast markers. Our analyses revealed the presence of two different distribution patterns which are supposed to characterize both macroorganisms and protists. On the one hand, we demonstrated unlimited dispersal and intensive gene flow within one of the inferred lineages (superclade B). On the other hand, the majority of Klebsormidium clades showed rather a limited distribution. In addition, we detected a significant decrease of species richness towards the poles i. e. the macroecological pattern typical for macroorganisms. Species within a single protist genus may thus exhibit highly contrasting distribution patterns, based on their dispersal capabilities, which are usually shaped by both intrinsic and extrinsic factors.</t>
  </si>
  <si>
    <t>[Rysanek, David; Skaloud, Pavel] Charles Univ Prague, Dept Bot, Fac Sci, Prague 12802, Czech Republic; [Elster, Josef] Univ South Bohemia, Ctr Polar Ecol, Fac Sci, Ceske Budejovice, Czech Republic; [Kovacik, Lubomir] Acad Sci Czech Republ, Inst Bot, Phycol Centrum, CS-37901 Trebon, Czech Republic; Comenius Univ, Fac Nat Sci, Bratislava 84104, Slovakia</t>
  </si>
  <si>
    <t>Charles University Prague; University of South Bohemia Ceske Budejovice; Czech Academy of Sciences; Institute of Botany of the Czech Academy of Sciences; Comenius University Bratislava</t>
  </si>
  <si>
    <t>Rysánek, D (corresponding author), Charles Univ Prague, Fac Sci, Dept Bot, Benatska 2, Prague 12801, Czech Republic.</t>
  </si>
  <si>
    <t>rysadavid@seznam.cz</t>
  </si>
  <si>
    <t>Elster, Josef/B-1031-2008; Ryšánek, David/G-8312-2018; Skaloud, Pavel/F-3103-2011</t>
  </si>
  <si>
    <t>Skaloud, Pavel/0000-0003-1201-3290; Elster, Josef/0000-0002-4535-5636</t>
  </si>
  <si>
    <t>Charles University Science Foundation (GAUK) [1544214]; Ministry of Education, Youth and Sports of the Czech Republic [LM2010009, 7AMB14SK135]; [RVO67985939]</t>
  </si>
  <si>
    <t>Charles University Science Foundation (GAUK); Ministry of Education, Youth and Sports of the Czech Republic(Ministry of Education, Youth &amp; Sports - Czech Republic);</t>
  </si>
  <si>
    <t>This study was supported by a grant from the Charles University Science Foundation (GAUK no. 1544214). JE was funded by the Ministry of Education, Youth and Sports of the Czech Republic projects: LM2010009, 7AMB14SK135 and the long-term research development project no. RVO67985939.</t>
  </si>
  <si>
    <t>fiw039</t>
  </si>
  <si>
    <t>10.1093/femsec/fiw039</t>
  </si>
  <si>
    <t>WOS:000374479400009</t>
  </si>
  <si>
    <t>Van Goethem, MW; Makhalanyane, TP; Valverde, A; Cary, SC; Cowan, DA</t>
  </si>
  <si>
    <t>Van Goethem, Marc W.; Makhalanyane, Thulani P.; Valverde, Angel; Cary, Stephen C.; Cowan, Don A.</t>
  </si>
  <si>
    <t>Characterization of bacterial communities in lithobionts and soil niches from Victoria Valley, Antarctica</t>
  </si>
  <si>
    <t>Antarctica; bacteria; Cyanobacteria; endolith; hypolith; soil</t>
  </si>
  <si>
    <t>MCMURDO DRY VALLEYS; HYPOLITHIC MICROBIAL COMMUNITIES; RIBOSOMAL-RNA SEQUENCES; MIERS VALLEY; GEN. NOV.; DIVERSITY; ECOLOGY; CYANOBACTERIA; HOT; ECOSYSTEMS</t>
  </si>
  <si>
    <t>Here we provide the first exploration of microbial diversity from three distinct Victoria Valley edaphic habitats, namely lithobionts (hypoliths, endoliths) and surface soils. Using a combination of terminal restriction fragment length polymorphism (T-RFLP) analysis and 16S rRNA gene amplicon pyrosequencing we assess community structure and diversity patterns, respectively. Our analysis revealed that habitat type (endolithic versus hypolithic versus surface soils) significantly influenced bacterial community composition, even though dominant phyla such as Actinobacteria (41% of total reads) were common to all samples. Consistent with previous surveys in other Dry Valley ecosystems, we found that lithobionts were colonized by a few highly dominant phylotypes (such as Gemmatimonas and Leptolyngbya). Our analyses also show that soil bacteria were more diverse and evenly distributed than initially expected based on previous evidence. In contrast to total bacteria, the distribution of Cyanobacteria was not strongly influenced by habitat type, although soil-and endolith-specific cyanobacterial lineages were found. The detection of cyanobacterial lineages in these habitats appears to be influenced by the dispersal of aquatic inocula from lacustrine communities or benthic mats which are abundant in Victoria Valley. Together, our results provide insights into the phylogenetic variation and community structure across niche habitats in Victoria Valley.</t>
  </si>
  <si>
    <t>[Van Goethem, Marc W.; Makhalanyane, Thulani P.; Valverde, Angel; Cowan, Don A.] Univ Pretoria, Dept Genet, Ctr Microbial Ecol &amp; Genom, Lynwood Rd, ZA-0028 Pretoria, South Africa; [Cary, Stephen C.] Univ Waikato, Dept Biol Sci, Private Bag 3105, Hamilton 3120, New Zealand</t>
  </si>
  <si>
    <t>University of Pretoria; University of Waikato</t>
  </si>
  <si>
    <t>Cowan, DA (corresponding author), Univ Pretoria, Dept Genet, Ctr Microbial Ecol &amp; Genom, Lynwood Rd, ZA-0028 Pretoria, South Africa.</t>
  </si>
  <si>
    <t>Makhalanyane, Thulani P./C-6815-2012; Van Goethem, Marc Warwick/HNC-2411-2023; Van Goethem, Marc/IZE-2222-2023; Van Goethem, Marc/AAV-3022-2020; Cowan, Donald A/E-3991-2012; Valverde, Angel/C-1308-2009</t>
  </si>
  <si>
    <t>Makhalanyane, Thulani P./0000-0002-8173-1678; Van Goethem, Marc Warwick/0000-0001-8688-3323; Cowan, Donald A/0000-0001-8059-861X; Valverde, Angel/0000-0003-0439-9605; Cary, Stephen/0000-0002-2876-2387</t>
  </si>
  <si>
    <t>South African National Antarctic Program [93074]; South African National Research Foundation; Genomics Research Institute</t>
  </si>
  <si>
    <t>South African National Antarctic Program; South African National Research Foundation(National Research Foundation - South Africa); Genomics Research Institute</t>
  </si>
  <si>
    <t>We wish to thank the following funding organizations: The South African National Antarctic Program (Grant ID: 93074) (DAC), the South African National Research Foundation (MWVG, TPM, AV, DAC), the Genomics Research Institute (TPM, AV, DAC). We also wish to thank Antarctica New Zealand for field logistics support.</t>
  </si>
  <si>
    <t>fiw051</t>
  </si>
  <si>
    <t>10.1093/femsec/fiw051</t>
  </si>
  <si>
    <t>Green Published, Bronze, Green Submitted</t>
  </si>
  <si>
    <t>WOS:000374479400016</t>
  </si>
  <si>
    <t>Yousaf, MN; Koppang, EO; Zou, J; Secombes, CJ; Powell, MD</t>
  </si>
  <si>
    <t>Yousaf, Muhammad Naveed; Koppang, Erling Olaf; Zou, Jun; Secombes, Chris J.; Powell, Mark D.</t>
  </si>
  <si>
    <t>Immunolocalization of immune cells and cell cycle proteins in the bulbus arteriosus of Atlantic salmon (Salmo salar L.)</t>
  </si>
  <si>
    <t>FISH &amp; SHELLFISH IMMUNOLOGY</t>
  </si>
  <si>
    <t>Atlantic salmon; Bulbus arteriosus; Caspase; CD3; HIF1 alpha; Immunohistochemistry; MHC II; TNF alpha</t>
  </si>
  <si>
    <t>CARDIAC PATHOLOGICAL-CHANGES; MUSCLE INFLAMMATION HSMI; CONUS ARTERIOSUS; ANTARCTIC TELEOSTS; NUCLEAR ANTIGEN; RAINBOW-TROUT; HEART; FISH; HYPOXIA; REGENERATION</t>
  </si>
  <si>
    <t>The bulbus arteriosus is the most anterior chamber of the teleost heart. The present study aimed to establish the presence, and to provide semi quantitative information on the abundance, of several immune and cell cycle proteins in the bulbus arteriosus of healthy Atlantic salmon (Salmo solar L). Using immunohistochemistry, lymphocyte like cells were identified in the bulbus arteriosus using antibodies to CD3 epsilon and MHC class II beta. Few PCNA positive cells were identified in post smolt fish as compared to moderate levels of staining in fresh water fry. Interestingly no staining was evident in adult fish (1-3 kg), thus there was a loss of cells expressing cell cycle regulatory proteins with ontogeny/progressive life - history stages. Eosinophilic granulocytes (EGCs) were identified in the bulbus arteriosus using TNF alpha and HIFI a antibodies. Anti caspase 3 immune reaction identified a strong endothelial cytoplasmic staining in the bulbus arteriosus. Taken together, the immunolocalization of immune-related molecules (CD3, MHC class II and TNF alpha), cell cycle regulatory proteins (PCNA and HIF1 alpha) and apoptosis markers.(TUNEL, caspase 3) suggest that the bulbus arteriosus may have an immune component within its functional repertoire. (C) 2016 Elsevier Ltd. All rights reserved.</t>
  </si>
  <si>
    <t>[Yousaf, Muhammad Naveed; Powell, Mark D.] Univ Nordland, Fac Biosci &amp; Aquaculture, Bodo, Norway; [Koppang, Erling Olaf] NMBU, Dept Basic Sci &amp; Aquat Med, Sch Vet Med, Oslo, Norway; [Zou, Jun; Secombes, Chris J.] Univ Aberdeen, Scottish Fish Immunol Res Ctr, Aberdeen, Scotland; [Powell, Mark D.] Norwegian Inst Water Res NIVA, Bergen, Norway</t>
  </si>
  <si>
    <t>Nord University; Norwegian University of Life Sciences; University of Aberdeen; Norwegian Institute for Water Research (NIVA)</t>
  </si>
  <si>
    <t>Yousaf, MN (corresponding author), Norwegian Vet Inst, Harstad, Norway.</t>
  </si>
  <si>
    <t>drnavidyusuf@yahoo.com</t>
  </si>
  <si>
    <t>Yousaf, Muhammad Naveed/0000-0001-6379-4213</t>
  </si>
  <si>
    <t>1050-4648</t>
  </si>
  <si>
    <t>1095-9947</t>
  </si>
  <si>
    <t>FISH SHELLFISH IMMUN</t>
  </si>
  <si>
    <t>Fish Shellfish Immunol.</t>
  </si>
  <si>
    <t>10.1016/j.fsi.2016.02.006</t>
  </si>
  <si>
    <t>Fisheries; Immunology; Marine &amp; Freshwater Biology; Veterinary Sciences</t>
  </si>
  <si>
    <t>DK0QQ</t>
  </si>
  <si>
    <t>WOS:000374617700009</t>
  </si>
  <si>
    <t>Parada, C; Frusher, S; Bustamante, RH; Di Lorenzo, E; Bernal, P; Cryer, M; Dunn, A; Garreaud, R; Gutierrez, M; Jennings, S; Montecinos, A; Neira, S; Quiñones, RA; Takahashi, K; Tascheri, R; Yannicelli, B</t>
  </si>
  <si>
    <t>Parada, C.; Frusher, S.; Bustamante, R. H.; Di Lorenzo, E.; Bernal, P.; Cryer, M.; Dunn, A.; Garreaud, R.; Gutierrez, M.; Jennings, S.; Montecinos, A.; Neira, S.; Quinones, R. A.; Takahashi, K.; Tascheri, R.; Yannicelli, B.</t>
  </si>
  <si>
    <t>South Pacific Integrated Ecosystem Studies meeting: toward conservation and sustainable use of marine resources in the South Pacific</t>
  </si>
  <si>
    <t>[Parada, C.; Montecinos, A.] Univ Concepcion, Dept Geofis, Casilla 160 C, Concepcion, Chile; [Parada, C.; Montecinos, A.] Univ Concepcion, IMO, Casilla 160 C, Concepcion, Chile; [Frusher, S.] Univ Tasmania, Inst Marine &amp; Antarctic Studies, Hobart, Tas 7001, Australia; [Frusher, S.; Jennings, S.] Univ Tasmania, Ctr Marine Socioecol, Hobart, Tas 7001, Australia; [Bustamante, R. H.] CSIRO Oceans &amp; Atmosphere Res, Ecosci Precinct, Dutton Pk, Brisbane, Qld 4102, Australia; [Di Lorenzo, E.] Georgia Inst Technol, Sch Earth &amp; Atmospher Sci, Atlanta, GA 30332 USA; [Bernal, P.] Pontificia Univ Catolica Chile, Fac Cs Biol, Dept Ecol, Santiago, Chile; [Cryer, M.] Minist Primary Ind, POB 2526, Wellington, New Zealand; [Dunn, A.] Natl Inst Water &amp; Atmospher Res NIWA, Auckland, New Zealand; [Garreaud, R.] Univ Chile, Ctr Climate &amp; Resilience Res, Dept Geophys, Santiago, Chile; [Gutierrez, M.] Univ Nacl Federico Villareal, Fac Oceanog &amp; Pesqueria, Lima, Peru; [Jennings, S.] Univ Tasmania, Tasmanian Sch Business &amp; Econ, Sandy, Beds 7001, Australia; [Neira, S.; Quinones, R. A.] Univ Concepcion, Interdisciplinary Ctr Aquaculture Res INCAR, Dept Oceanog, POB 160-C, Concepcion, Chile; [Neira, S.] Univ Concepcion, Ctr COPAS Sur Austral, POB 160-C, Concepcion, Chile; [Takahashi, K.] Inst Geofisico Peru, Lima, Peru; [Tascheri, R.] Inst Fomento Pesquero, Dept Evaluac Recursos, Almte Manuel Blanco Encalada 839, Valparaiso, Chile; [Yannicelli, B.] Univ Catolica Norte, Fac Ciencias Mar, Ctr Estudios Avanzados Zonas Aridas, Nucleo Milenio Ecol &amp; Conservac Islas Ocean, Larrondo 1281, Coquimbo, Chile; [Yannicelli, B.] Univ Republica, Ctr Univ Reg Este, Montevideo, Uruguay</t>
  </si>
  <si>
    <t>Universidad de Concepcion; Universidad de Concepcion; University of Tasmania; University of Tasmania; Commonwealth Scientific &amp; Industrial Research Organisation (CSIRO); University System of Georgia; Georgia Institute of Technology; Pontificia Universidad Catolica de Chile; National Institute of Water &amp; Atmospheric Research (NIWA) - New Zealand; Universidad de Chile; Universidad Nacional Federico Villarreal; University of Tasmania; Universidad de Concepcion; Universidad de Concepcion; Instituto de Fomento Pesquero (Valparaiso); Universidad Catolica del Norte; Universidad de la Republica, Uruguay</t>
  </si>
  <si>
    <t>Parada, C (corresponding author), Univ Concepcion, Dept Geofis, Casilla 160 C, Concepcion, Chile.;Parada, C (corresponding author), Univ Concepcion, IMO, Casilla 160 C, Concepcion, Chile.</t>
  </si>
  <si>
    <t>carolina.parada@dgeo.udec.cl</t>
  </si>
  <si>
    <t>Parada Véliz, Carolina/HXK-1997-2023; Di Lorenzo, Emanuele/E-9107-2012; Garreaud, Rene/JFS-4440-2023; Jennings, Sarah M/J-7888-2014; Garreaud, Rene/I-6298-2016; Neira, Sergio/JJE-3519-2023; Takahashi, Ken/G-5321-2010</t>
  </si>
  <si>
    <t>Di Lorenzo, Emanuele/0000-0002-1935-7363; Garreaud, Rene/0000-0002-7875-2443; Parada Veliz, Carolina/0000-0003-1311-5563; Bernal, Patricio/0000-0002-6475-3429; Takahashi, Ken/0000-0003-3670-2939</t>
  </si>
  <si>
    <t>10.1111/fog.12148</t>
  </si>
  <si>
    <t>WOS:000373919200001</t>
  </si>
  <si>
    <t>Aymes, JC; Vignon, M; Beall, E; Guéraud, F; Gaudin, P</t>
  </si>
  <si>
    <t>Aymes, J. C.; Vignon, M.; Beall, E.; Gueraud, F.; Gaudin, P.</t>
  </si>
  <si>
    <t>Age validation of the Kerguelen Islands brown trout, Salmo trutta L., and selection of the otolith optimal zone for investigating chronological data series</t>
  </si>
  <si>
    <t>Age estimation; Marking; Chronological series; Salmonidae; Annuli; Index</t>
  </si>
  <si>
    <t>RAINBOW-TROUT; GROWTH INCREMENTS; EARLY-LIFE; FISH; SCALES; RECOMMENDATIONS; CHEMISTRY; ACCURACY; HISTORY; CLIMATE</t>
  </si>
  <si>
    <t>The selection of an otolith optimal zone where to obtain interpretable chronological data (e.g. chemical transect, increment width) and valid age estimation is fundamental if otoliths are to be used as an effective tool for investigating life history traits or environments experienced by fish. In the remote sub-Antarctic Kerguelen Islands (49 degrees S, 70 degrees E), introduced brown trout populations are invading the archipelago since the 50's and life histories information is of great interest to understand the invasion dynamics. Unfortunately, few studies have used otolith as a tool to estimate brown trout age at these extreme latitudes and little is known about otolith growth and annulus formation in these sub-polar conditions. Furthermore, no formal procedure exists at the population level to select an otolith optimal zone where to concomitantly extract chronological data aiming at investigating life history traits and growth chronologies. In this context, the aims of this study were (1) to validate the otolith age estimation method by the determination of the position of the first annulus and the annual formation of subsequent annuli; (2) to define an optimal zone where chronological data could be coupled to age estimates. A brown trout population located near the Port-au-Francais station was studied and sampled repeatedly using mark-recapture method and Alizarin Red S marking. After to 2 years of recaptures 53 sagittae were analysed. A composite index was created to select an optimal zone where chronological data transects have the maximum probabilities to cross readable annuli. Results showed that brown trout forms annuli at the end of September, starting with the first winter after the December hatching. Annulus formation up to 2 years after marking was validated. The area between 80 degrees and 120 degrees perpendicular to the rostrum/core axis was optimal for the positioning of data transect. The proposed formal approach allows distinguishing the zone that identifies the best compromise between spatial resolution and precise annulus positioning along otolith chronological series. (C) 2015 Elsevier B.V. All rights reserved.</t>
  </si>
  <si>
    <t>[Aymes, J. C.; Vignon, M.; Beall, E.; Gueraud, F.; Gaudin, P.] Pole Hydrobiol INRA, Quartier Ibarron, UMR ECOBIOP INRA UPPA, F-64310 St Pee Sur Nivelle, France</t>
  </si>
  <si>
    <t>Universite de Pau et des Pays de l'Adour; INRAE</t>
  </si>
  <si>
    <t>Aymes, JC (corresponding author), Pole Hydrobiol INRA, Quartier Ibarron, UMR ECOBIOP INRA UPPA, F-64310 St Pee Sur Nivelle, France.</t>
  </si>
  <si>
    <t>jcaymes@st-pee.inra.fr</t>
  </si>
  <si>
    <t>Vignon, Matthias/A-8520-2010; Vignon, Matthias/N-1122-2019</t>
  </si>
  <si>
    <t>Aymes, Jean-Christophe/0000-0002-1181-3010; Vignon, Matthias/0000-0001-9222-8966</t>
  </si>
  <si>
    <t>French Polar Institute (IPEV, Institut Polaire Paul-Emile Victor) [1041 SALMEVOL]</t>
  </si>
  <si>
    <t>French Polar Institute (IPEV, Institut Polaire Paul-Emile Victor)</t>
  </si>
  <si>
    <t>We thank the French Polar Institute (IPEV, Institut Polaire Paul-Emile Victor) for the financial support of the Program 1041 SALMEVOL; we thank Jacques Labonne for his management of the program from 2008 to 2013.We thank Margaret Lang for providing writing assistance that lead to the clarity of the English language. We thank Jacques Rives and Francois Gueraud for otolith and scale analysis. We thank two anonymous reviewers for comments that lead to substantial improvements in the manuscript. We gratefully acknowledge the logistical support provided by the TAAF administration and the Southern French Natural Reserve at Kerguelen. The fieldwork would not have been possible without the help and support of the IPEV logistics team (Romuald Bellec, Yann Lemeur, Nina Marchand) and all the people involved in the SALMEVOL summer campaign (Stephane Betoulle, Eduardo Vicente Dopico-Rodriguez, Emily Farcy, Francois Gueraud, Jose-Luis Horreo-Escandon, Renaud Kaeuffer, Jacques Rives, Thibault Thellier, Julien Tremblay).</t>
  </si>
  <si>
    <t>10.1016/j.fishres.2015.11.025</t>
  </si>
  <si>
    <t>DE0HZ</t>
  </si>
  <si>
    <t>WOS:000370307000003</t>
  </si>
  <si>
    <t>Wang, YC; Chang, YG; Yin, L; Xue, Y; Li, ZJ; Xue, CH</t>
  </si>
  <si>
    <t>Wang, Yanchao; Chang, Yaoguang; Yin, Li'ang; Xue, Yong; Li, Zhaojie; Xue, Changhu</t>
  </si>
  <si>
    <t>A Novel Technological Process of Extracting L-Tyrosine with Low Fluorine Content from Defatted Antarctic Krill (Euphausia superba) By-product by Enzymatic Hydrolysis</t>
  </si>
  <si>
    <t>FOOD AND BIOPROCESS TECHNOLOGY</t>
  </si>
  <si>
    <t>Antarctic krill; Tyrosine; Enzymatic hydrolysis; Protein</t>
  </si>
  <si>
    <t>FT-IR; ACID</t>
  </si>
  <si>
    <t>Antarctic krill (Euphausia superba) offers a high potential for development of innovative food products due to its large reserves and satisfied nutritional values. Defatted krill powder by-product generates from the process of krill oil, which is rich in various types of amino acids. This study aimed at recovering tyrosine from defatted krill by-product through enzymatic hydrolysis. Defatted krill by-product was hydrolyzed with three types of protease under optimum conditions with different incubation time. Free tyrosine dissociated from protein through hydrolysis by trypsin and was detected in the protein hydrolysates. Content of tyrosine increased with the increasing of incubation time till 5 h. Tyrosine extract contained 6.43 mg/kg fluorine and over 95 % of tyrosine, which demonstrated its high purity and safety. Tyrosine extract showed rod-shaped microstructure through scanning electron microscope analysis. Crystalline structure and thermal properties of tyrosine extract agreed well with those of l-tyrosine standard. During this process, both tyrosine of high purity and bioactive peptide products were obtained.</t>
  </si>
  <si>
    <t>[Wang, Yanchao; Chang, Yaoguang; Yin, Li'ang; Xue, Yong; Li, Zhaojie; Xue, Changhu] Ocean Univ China, Coll Food Sci &amp; Engn, Qingdao 266003, Peoples R China</t>
  </si>
  <si>
    <t>Xue, CH (corresponding author), Ocean Univ China, Coll Food Sci &amp; Engn, Qingdao 266003, Peoples R China.</t>
  </si>
  <si>
    <t>xuech@ouc.edu.cn</t>
  </si>
  <si>
    <t>Chang, Yaoguang/E-5875-2014</t>
  </si>
  <si>
    <t>National Natural Science Foundation of China [31330060, U1406402]; National High Technology Research, Development Program of China (863 Program) [2011AA090801]</t>
  </si>
  <si>
    <t>National Natural Science Foundation of China(National Natural Science Foundation of China (NSFC)); National High Technology Research, Development Program of China (863 Program)(National High Technology Research and Development Program of China)</t>
  </si>
  <si>
    <t>This work was supported by the National Natural Science Foundation of China (nos. 31330060 and U1406402) and National High Technology Research, Development Program of China (863 Program) (no. 2011AA090801).</t>
  </si>
  <si>
    <t>1935-5130</t>
  </si>
  <si>
    <t>1935-5149</t>
  </si>
  <si>
    <t>FOOD BIOPROCESS TECH</t>
  </si>
  <si>
    <t>Food Bioprocess Technol.</t>
  </si>
  <si>
    <t>10.1007/s11947-015-1658-x</t>
  </si>
  <si>
    <t>Food Science &amp; Technology</t>
  </si>
  <si>
    <t>DF8NJ</t>
  </si>
  <si>
    <t>WOS:000371614300007</t>
  </si>
  <si>
    <t>Aizen, J; Chandler, JC; Fitzgibbon, QP; Sagi, A; Battaglene, SC; Elizur, A; Ventura, T</t>
  </si>
  <si>
    <t>Aizen, Joseph; Chandler, Jennifer C.; Fitzgibbon, Quinn P.; Sagi, Amir; Battaglene, Stephen C.; Elizur, Abigail; Ventura, Tomer</t>
  </si>
  <si>
    <t>Production of recombinant insulin-like androgenic gland hormones from three decapod species: In vitro testicular phosphorylation and activation of a newly identified tyrosine kinase receptor from the Eastern spiny lobster, Sagmariasus verreauxi</t>
  </si>
  <si>
    <t>GENERAL AND COMPARATIVE ENDOCRINOLOGY</t>
  </si>
  <si>
    <t>Insulin-like androgenic gland hormone; Tyrosine kinase receptor; Phosphorylation; Spiny lobster; Decapod</t>
  </si>
  <si>
    <t>TERRESTRIAL ISOPOD; PICHIA-PASTORIS; GENE; GROWTH; PRECURSOR; PEPTIDE; CLONING; PURIFICATION; MANIPULATION; EXPRESSION</t>
  </si>
  <si>
    <t>In crustaceans the insulin-like androgenic gland hormone (IAG) is responsible for male sexual differentiation. To date, the biochemical pathways through which IAG exerts its effects are poorly understood and could be elucidated through the production of a functional recombinant IAG (rIAG). We have successfully expressed glycosylated, biologically active IAG using the Pichia pastoris yeast expression system. We co-expressed recombinant single-chain precursor molecules consisting of the B and A chains (the mature hormone) tethered by a flexible linker, producing rIAGs of the following commercially important species: Eastern spiny lobster Sagmariasus verreauxi (Sv), redclaw crayfish Cherax quadricarinatus (Cq) and giant freshwater prawn Macrobrachium rosenbergii (Mr). We then tested the biological activity of each, through the ability to increase phosphorylation in the testis; both Sv and Cq rIAGs significantly elevated phosphorylation specific to their species, and in a dose-dependent manner. Mr rIAG was tested on Macrobrachium australiense (Ma), eliciting a similar response. Moreover, using bioinformatics analyses of the de novo assembled spiny lobster transcriptome, we identified a spiny lobster tyrosine kinase insulin receptor (Sv-TKIR). We validated this discovery with a receptor activation assay in COS-7 cells expressing Sv-TKIR, using a reporter SRE-LUC system designed for RTKs, with each of the rIAG proteins acting as the activation ligand. Using recombinant proteins, we aim to develop specific tools to control sexual development through the administration of IAG within the critical sexual differentiation time window. The biologically active rIAGs generated might facilitate commercially feasible solutions for the long sought techniques for sex-change induction and monosex population culture in crustaceans and shed new light on the physiological mode of action of IAG in crustaceans. (c) 2016 Elsevier Inc. All rights reserved.</t>
  </si>
  <si>
    <t>[Aizen, Joseph; Chandler, Jennifer C.; Elizur, Abigail; Ventura, Tomer] Univ Sunshine Coast, GeneCol Res Ctr, Fac Sci Hlth Educ &amp; Engn, 4 Locked Bag, Maroochydore, Qld 4558, Australia; [Fitzgibbon, Quinn P.; Battaglene, Stephen C.] Univ Tasmania, Inst Marine &amp; Antarctic Studies, Fisheries &amp; Aquaculture, Hobart, Tas, Australia; [Sagi, Amir] Ben Gurion Univ Negev, Dept Life Sci, IL-84105 Beer Sheva, Israel; [Sagi, Amir] Ben Gurion Univ Negev, Natl Inst Biotechnol Negev, IL-84105 Beer Sheva, Israel</t>
  </si>
  <si>
    <t>University of the Sunshine Coast; University of Tasmania; Ben Gurion University; Ben Gurion University</t>
  </si>
  <si>
    <t>Ventura, T (corresponding author), Univ Sunshine Coast, GeneCol Res Ctr, Fac Sci Hlth Educ &amp; Engn, 4 Locked Bag, Maroochydore, Qld 4558, Australia.</t>
  </si>
  <si>
    <t>tventura@usc.edu.au</t>
  </si>
  <si>
    <t>Aizen, Joseph/Y-1122-2019; Ventura, T./H-9832-2019; Elizur, Abigail/B-7708-2012; Battaglene, Stephen C/H-9683-2014</t>
  </si>
  <si>
    <t>Aizen, Joseph/0000-0002-2018-7322; Ventura, T./0000-0002-0777-2367; Chandler, Jennifer C./0000-0001-9785-4528; Elizur, Abigail/0000-0002-2960-302X; Sagi, Amir/0000-0002-4229-1059; Fitzgibbon, Quinn/0000-0002-1104-3052</t>
  </si>
  <si>
    <t>Australian Research Council [DE130101089]; Collaborative Research Network seed grant; University seed grant [URG14/02]; European Community [612296-DeNuGReC]; Australian Research Council [DE130101089] Funding Source: Australian Research Council</t>
  </si>
  <si>
    <t>Australian Research Council(Australian Research Council); Collaborative Research Network seed grant; University seed grant; European Community; Australian Research Council(Australian Research Council)</t>
  </si>
  <si>
    <t>This research was supported by the Australian Research Council (http://www.arc.gov.au/) through a Discovery Early Career Research Award granted to Dr Tomer Ventura (DECRA; No. DE130101089), a Collaborative Research Network seed grant awarded to Dr Tomer Ventura and Professor Abigail Elizur and a University seed grant awarded to Dr Joseph Aizen, Dr Tomer Ventura and Professor Abigail Elizur (No. URG14/02). We gratefully acknowledge the Marie Curie International Research Staff Exchange Scheme Fellowship within the 7th European Community Framework Programme (612296-DeNuGReC).</t>
  </si>
  <si>
    <t>0016-6480</t>
  </si>
  <si>
    <t>1095-6840</t>
  </si>
  <si>
    <t>GEN COMP ENDOCR</t>
  </si>
  <si>
    <t>Gen. Comp. Endocrinol.</t>
  </si>
  <si>
    <t>10.1016/j.ygcen.2016.02.013</t>
  </si>
  <si>
    <t>Endocrinology &amp; Metabolism; Zoology</t>
  </si>
  <si>
    <t>DL6FJ</t>
  </si>
  <si>
    <t>WOS:000375734800002</t>
  </si>
  <si>
    <t>Nield, GA; Whitehouse, PL; King, MA; Clarke, PJ</t>
  </si>
  <si>
    <t>Nield, Grace A.; Whitehouse, Pippa L.; King, Matt A.; Clarke, Peter J.</t>
  </si>
  <si>
    <t>Glacial isostatic adjustment in response to changing Late Holocene behaviour of ice streams on the Siple Coast, West Antarctica</t>
  </si>
  <si>
    <t>Satellite geodesy; Transient deformation; Glaciology; Dynamics of lithosphere and mantle; Rheology: mantle; Antarctica</t>
  </si>
  <si>
    <t>POSTGLACIAL SEA-LEVEL; GROUNDING-LINE; MASS-BALANCE; MODEL; VARIABILITY; SHEET; SURFACE; FLOW; STAGNATION; BENEATH</t>
  </si>
  <si>
    <t>The Siple Coast region of Antarctica contains a number of fast-flowing ice streams, which control the dynamics and mass balance of the region. These ice streams are known to undergo stagnation and reactivation cycles, which lead to ice thickness changes that may be sufficient to excite a viscous solid Earth response (glacial isostatic adjustment; GIA). This study aims to quantify Siple Coast ice thickness changes during the last 2000 yr in order to determine the degree to which they might contribute to GIA and associated present-day bedrock uplift rates. This is important because accurate modelling of GIA is necessary to determine the rate of present-day ice-mass change from satellite gravimetry. Recently-published reconstructions of ice-stream variability were used to create a suite of kinematic models for the stagnation-related thickening of Kamb Ice Stream since similar to 1850 AD, and a GIA model was used to predict present-day deformation rates in response to this thickening. A number of longer-term loading scenarios, which include the stagnation and reactivation of ice streams across the Siple Coast over the past 2000 yr, were also constructed, and used to investigate the longer term GIA signal in the region. Uplift rates for each of the ice loading histories, based on a range of earth models, were compared with regional GPS-observed uplift rates and an empirical GIA estimate. We estimate Kamb Ice Stream to have thickened by 70-130 m since stagnation similar to 165 years ago. Modelled present-day vertical motion in response to this load increase peaks at -17 mm yr(-1) (i.e. 17 mm yr(-1) subsidence) for the weakest earth models tested here. Comparison of the solid Earth response to ice load changes throughout the last glacial cycle, including ice stream stagnation and reactivation across the Siple Coast during the last 2000 yr, with an empirical GIA estimate suggests that the upper mantle viscosity of the region is greater than 1 x 10(20) Pa s. When upper mantle viscosity values of 1 x 10(20) Pa s or smaller are combined with our suite of ice-load scenarios we predict uplift rates across Siple Coast that are at least 4 mm yr(-1) smaller than those predicted by the empirical GIA estimate. GPS data are unable to further constrain model parameters due to the distance of the GPS sites from the study area. Our results demonstrate that Late Holocene ice load changes related to the stagnation and reactivation of ice streams on the Siple Coast may play a dominant role in defining the present-day uplift signal. However, both the detailed Earth structure and deglacial history of the region need to be better constrained in order to reduce uncertainties associated with the GIA signal of this region.</t>
  </si>
  <si>
    <t>[Nield, Grace A.; King, Matt A.; Clarke, Peter J.] Newcastle Univ, Sch Civil Engn &amp; Geosci, Newcastle Upon Tyne NE1 7RU, Tyne &amp; Wear, England; [Whitehouse, Pippa L.] Univ Durham, Dept Geog, Durham, England; [King, Matt A.] Univ Tasmania, Sch Land &amp; Food, Hobart, Tas, Australia</t>
  </si>
  <si>
    <t>Newcastle University - UK; Durham University; University of Tasmania</t>
  </si>
  <si>
    <t>Nield, GA (corresponding author), Newcastle Univ, Sch Civil Engn &amp; Geosci, Newcastle Upon Tyne NE1 7RU, Tyne &amp; Wear, England.</t>
  </si>
  <si>
    <t>g.a.nield@outlook.com</t>
  </si>
  <si>
    <t>King, Matt/B-4622-2008; Clarke, Peter John/B-1783-2008; Nield, Grace/I-8366-2012</t>
  </si>
  <si>
    <t>King, Matt/0000-0001-5611-9498; Clarke, Peter John/0000-0003-1276-8300; Whitehouse, Pippa/0000-0002-9092-3444; Nield, Grace/0000-0002-3897-7904</t>
  </si>
  <si>
    <t>NERC; NERC [NE/K009958/1]; Australian Research Council [FT110100207]; Special Research Initiative for Antarctic Gateway Partnership [SR140300001]; NERC [NE/K009958/1] Funding Source: UKRI; Natural Environment Research Council [1105036, NE/K009958/1] Funding Source: researchfish; Australian Research Council [FT110100207] Funding Source: Australian Research Council</t>
  </si>
  <si>
    <t>NERC(UK Research &amp; Innovation (UKRI)Natural Environment Research Council (NERC)); NERC(UK Research &amp; Innovation (UKRI)Natural Environment Research Council (NERC)); Australian Research Council(Australian Research Council); Special Research Initiative for Antarctic Gateway Partnership; NERC(UK Research &amp; Innovation (UKRI)Natural Environment Research Council (NERC)); Natural Environment Research Council(UK Research &amp; Innovation (UKRI)Natural Environment Research Council (NERC)); Australian Research Council(Australian Research Council)</t>
  </si>
  <si>
    <t>GAN was supported by a NERC PhD Studentship, PLW is a recipient of a NERC Independent Research Fellowship (grant number NE/K009958/1) and MAK is supported by Australian Research Council Future Fellowship (project number FT110100207) and Special Research Initiative for Antarctic Gateway Partnership (Project ID SR140300001). We are grateful to Hamish Pritchard for providing the ICESat data shown in Fig. 2 and Brian Gunter for providing model output used to produce Fig. 10. We are also grateful to Donald Argus and two anonymous reviewers for providing constructive reviews of the manuscript.</t>
  </si>
  <si>
    <t>10.1093/gji/ggv532</t>
  </si>
  <si>
    <t>DJ8RI</t>
  </si>
  <si>
    <t>hybrid, Green Published, Green Accepted, Green Submitted</t>
  </si>
  <si>
    <t>WOS:000374479800001</t>
  </si>
  <si>
    <t>Hodgson, DA; Whitehouse, PL; De Cort, G; Berg, S; Verleyen, E; Tavernier, I; Roberts, SJ; Vyverman, W; Sabbe, K; O'Brien, P</t>
  </si>
  <si>
    <t>Hodgson, Dominic A.; Whitehouse, Pippa L.; De Cort, Gijs; Berg, Sonja; Verleyen, Elie; Tavernier, Ines; Roberts, Stephen J.; Vyverman, Wim; Sabbe, Koen; O'Brien, Philip</t>
  </si>
  <si>
    <t>Rapid early Holocene sea-level rise in Prydz Bay, East Antarctica</t>
  </si>
  <si>
    <t>East Antarctic Ice Sheet; Deglaciation; Sea level rise; Prydz Bay; Lambert Glacier</t>
  </si>
  <si>
    <t>LARGE ENSEMBLE ANALYSIS; VESTFOLD HILLS; LARSEMANN HILLS; ICE-SHEET; DIATOM FLORA; DEGLACIATION; MODEL; LAKE; HISTORY; EVOLUTION</t>
  </si>
  <si>
    <t>Prydz Bay is one of the largest embayments on the East Antarctic coast and it is the discharge point for approximately 16% of the East Antarctic Ice Sheet. Geological constraints on the regional ice sheet history include evidence of past relative sea-level change at three sites; the Vestfold Hills, Rauer Islands and Larsemann Hills. In this paper we compile updated regional relative sea-level data from these sites. We compare these with a suite of relative sea-level predictions derived from glacial isostatic adjustment models and discuss the significance of departures between the models and the field evidence. The compiled geological data extend the relative sea-level curve for this region to 11,258 cal yr BP and include new constraints based on abandoned penguin colonies, new isolation basin data in the Vestfold Hills, validation of a submarine relative sea-level constraint in the Rauer Islands and recalibrated radiocarbon ages at all sites dating from 12,728 cal yr BP. The field data show rapid increases in rates of relative sea level rise of 12-48 mm/yr between 10,473 (or 9678) and 9411 cal yr BP in the Vestfold Hills and of 8.8 mm/yr between 8882 and 8563 cal yr BP in the Larsemann Hills. The relative sea-level high stands of &gt;= 8.8 m from 9411 to after 7564 cal yr BP (Vestfold Hills) and &gt;= 8 mat 8563 and 7066 cal yr BP (Larsemann Hills) are over-predicted by some of the glacial isostatic adjustment models considered here, suggesting that assumptions relating to the magnitude and timing of regional ice loss since the Last Glacial Maximum may need revising. In the Vestfold Hills and Rauer Islands the final deglacial sea-level rise was almost exactly cancelled out by local rebound between 9411 and 5967 cal yr BP and this was followed by a near exponential decay in relative sea-level. In the Larsemann Hills the sea-level data suggest that the rate of ice retreat in this region was not uniform throughout the Holocene. Swath bathymetric surveys of the benthic seafloor topography show the presence of multiple offshore basins. These are a priority for further study as those that remained free of grounded ice should provide precise constraints on relative sea-level rise and ice sheet history during the most rapid phases of the last major deglaciation. (C) 2016 The Authors. Published by Elsevier B.V. This is an open access article under the CC BY license.</t>
  </si>
  <si>
    <t>[Hodgson, Dominic A.; Roberts, Stephen J.] British Antarctic Survey, Nat Environm Res Council, Madingley Rd, Cambridge CB3 0ET, England; [Hodgson, Dominic A.; Whitehouse, Pippa L.] Univ Durham, Dept Geog, S Rd, Durham DH1 3LE, England; [De Cort, Gijs; Verleyen, Elie; Tavernier, Ines; Vyverman, Wim; Sabbe, Koen] Univ Ghent, Lab Protistol &amp; Aquat Ecol, Dept Biol, Krijgslaan 281-S8, B-9000 Ghent, Belgium; [De Cort, Gijs] Univ Ghent, Limnol Unit, Dept Biol, KL Ledeganckstr 35, B-9000 Ghent, Belgium; [De Cort, Gijs] Royal Museum Cent Africa, Dept Earth Sci, Leuvensesteenweg 13, B-3080 Tervuren, Belgium; [Berg, Sonja] Univ Cologne, Inst Geol &amp; Mineral, Zuelpicher Str 49a, D-50674 Cologne, Germany; [O'Brien, Philip] Macquarie Univ, Dept Environm Sci, N Ryde, NSW 2109, Australia</t>
  </si>
  <si>
    <t>UK Research &amp; Innovation (UKRI); Natural Environment Research Council (NERC); NERC British Antarctic Survey; Durham University; Ghent University; Ghent University; Royal Museum for Central Africa; University of Cologne; Macquarie University</t>
  </si>
  <si>
    <t>Hodgson, DA (corresponding author), British Antarctic Survey, Nat Environm Res Council, Madingley Rd, Cambridge CB3 0ET, England.</t>
  </si>
  <si>
    <t>daho@bas.ac.uk</t>
  </si>
  <si>
    <t>De Cort, Gijs/J-9565-2019; Berg, Sonja/AAW-3817-2021</t>
  </si>
  <si>
    <t>De Cort, Gijs/0000-0001-7437-4943; O'Brien, Philip/0000-0003-3446-3292; Roberts, Stephen/0000-0003-3407-9127; Whitehouse, Pippa/0000-0002-9092-3444; Berg, Sonja/0000-0002-9629-6007</t>
  </si>
  <si>
    <t>German Research Foundation DFG [ME1169/15-1, WA 2109/2-1]; Natural Environment Research Council UK; Belgian Science Policy BELSPO project HOLANT; German Research Foundation DFG [ME1169/15-1, WA 2109/2-1]; Natural Environment Research Council UK; Belgian Science Policy BELSPO project HOLANT; NERC [bas0100030] Funding Source: UKRI; Natural Environment Research Council [bas0100030] Funding Source: researchfish</t>
  </si>
  <si>
    <t>German Research Foundation DFG(German Research Foundation (DFG)); Natural Environment Research Council UK(UK Research &amp; Innovation (UKRI)Natural Environment Research Council (NERC)); Belgian Science Policy BELSPO project HOLANT; German Research Foundation DFG(German Research Foundation (DFG)); Natural Environment Research Council UK(UK Research &amp; Innovation (UKRI)Natural Environment Research Council (NERC)); Belgian Science Policy BELSPO project HOLANT; NERC(UK Research &amp; Innovation (UKRI)Natural Environment Research Council (NERC)); Natural Environment Research Council(UK Research &amp; Innovation (UKRI)Natural Environment Research Council (NERC))</t>
  </si>
  <si>
    <t>We thank Natalya Gomez, W. Richard Peltier, and Lev Tarasov for providing GIA model results. Data collection in the Rauer Group was funded by the German Research Foundation DFG (grants ME1169/15-1 (Martin Melles) and WA 2109/2-1 (Bernd Wagner) and carried out by the RV Polarstern expedition ANT XXIII/9. Laboratory research was funded by the Natural Environment Research Council UK, and the Belgian Science Policy BELSPO project HOLANT. Ann-Eline Debeer (University of Ghent) helped prepare the diatom samples. Bernd Wagner and Martin Melles led the project that collected sediment cores from the Flag Island depression.</t>
  </si>
  <si>
    <t>10.1016/j.gloplacha.2015.12.020</t>
  </si>
  <si>
    <t>WOS:000374626700011</t>
  </si>
  <si>
    <t>Trammell, JH; Jiang, X; Li, LM; Kao, A; Zhang, GJ; Chang, EKM; Yung, Y</t>
  </si>
  <si>
    <t>Trammell, James H.; Jiang, Xun; Li, Liming; Kao, Angela; Zhang, Guang J.; Chang, Edmund K. M.; Yung, Yuk</t>
  </si>
  <si>
    <t>Temporal and Spatial Variability of Precipitation from Observations and Models*</t>
  </si>
  <si>
    <t>Hydrology; Interannual variability; Physical Meteorology and Climatology; Variability</t>
  </si>
  <si>
    <t>INTERANNUAL VARIABILITY; PART I; CLIMATE SIMULATIONS; EXTRATROPICAL OZONE; CIRCULATION; CONVECTION; PARAMETERIZATION; TRENDS; IMPACT; CYCLE</t>
  </si>
  <si>
    <t>Principal component analysis (PCA) is utilized to explore the temporal and spatial variability of precipitation from GPCP and a CAM5 simulation from 1979 to 2010. In the tropical region, the interannual variability of tropical precipitation is characterized by two dominant modes (El Nino and El Nino Modoki). The first and second modes of tropical GPCP precipitation capture 31.9% and 15.6% of the total variance, respectively. The first mode has positive precipitation anomalies over the western Pacific and negative precipitation anomalies over the central and eastern Pacific. The second mode has positive precipitation anomalies over the central Pacific and negative precipitation anomalies over the western and eastern Pacific. Similar variations are seen in the first two modes of tropical precipitation from a CAM5 simulation, although the magnitudes are slightly weaker than in the observations. Over the Northern Hemisphere (NH) high latitudes, the first mode, capturing 8.3% of the total variance of NH GPCP precipitation, is related to the northern annular mode (NAM). During the positive phase of NAM, there are negative precipitation anomalies over the Arctic and positive precipitation anomalies over the midlatitudes. Over the Southern Hemisphere (SH) high latitudes, the first mode, capturing 13.2% of the total variance of SH GPCP precipitation, is related to the southern annular mode (SAM). During the positive phase of the SAM, there are negative precipitation anomalies over the Antarctic and positive precipitation anomalies over the midlatitudes. The CAM5 precipitation simulation demonstrates similar results to those of the observations. However, they do not capture both the high precipitation anomalies over the northern Pacific Ocean or the position of the positive precipitation anomalies in the SH.</t>
  </si>
  <si>
    <t>[Trammell, James H.; Jiang, Xun; Kao, Angela] Univ Houston, Dept Earth &amp; Atmospher Sci, 4800 Calhoun Rd, Houston, TX 77004 USA; [Li, Liming] Univ Houston, Dept Phys, Houston, TX 77004 USA; [Zhang, Guang J.] Univ Calif San Diego, Scripps Inst Oceanog, Climate Atmospher Sci &amp; Phys Oceanog Div, La Jolla, CA 92093 USA; [Chang, Edmund K. M.] SUNY Stony Brook, Inst Terr &amp; Planetary Atmospheres, Sch Marine &amp; Atmospher Sci, Stony Brook, NY 11794 USA; [Yung, Yuk] CALTECH, Div Geol &amp; Planetary Sci, Pasadena, CA 91125 USA</t>
  </si>
  <si>
    <t>University of Houston System; University of Houston; University of Houston System; University of Houston; University of California System; University of California San Diego; Scripps Institution of Oceanography; State University of New York (SUNY) System; State University of New York (SUNY) Stony Brook; California Institute of Technology</t>
  </si>
  <si>
    <t>Jiang, X (corresponding author), Univ Houston, Dept Earth &amp; Atmospher Sci, 4800 Calhoun Rd, Houston, TX 77004 USA.</t>
  </si>
  <si>
    <t>xjiang7@uh.edu</t>
  </si>
  <si>
    <t>Yung, Yuk/AAM-4850-2021</t>
  </si>
  <si>
    <t>Yung, Yuk/0000-0002-4263-2562; Zhang, Guang/0000-0002-9712-5226; Li, Liming/0000-0002-5257-9849</t>
  </si>
  <si>
    <t>OCO-2 project; NASA [NNX13AK34G NASA]; ROSES NEWS [NNX13AC04G]; NASA ROSES Cassini Data Analysis Program</t>
  </si>
  <si>
    <t>OCO-2 project; NASA(National Aeronautics &amp; Space Administration (NASA)); ROSES NEWS; NASA ROSES Cassini Data Analysis Program</t>
  </si>
  <si>
    <t>We thank two anonymous reviewers and the editor for helpful comments. XJ and YLY are supported by the OCO-2 project, NASA Grant NNX13AK34G NASA, and ROSES-2010 NEWS Grant NNX13AC04G. LL is supported by NASA ROSES Cassini Data Analysis Program.</t>
  </si>
  <si>
    <t>10.1175/JCLI-D-15-0325.1</t>
  </si>
  <si>
    <t>DH5GT</t>
  </si>
  <si>
    <t>WOS:000372815100001</t>
  </si>
  <si>
    <t>Goodwin, BP; Mosley-Thompson, E; Wilson, AB; Porter, SE; Sierra-Hernandez, MR</t>
  </si>
  <si>
    <t>Goodwin, Bradley P.; Mosley-Thompson, Ellen; Wilson, Aaron B.; Porter, Stacy E.; Sierra-Hernandez, M. Roxana</t>
  </si>
  <si>
    <t>Accumulation Variability in the Antarctic Peninsula: The Role of Large-Scale Atmospheric Oscillations and Their Interactions*</t>
  </si>
  <si>
    <t>Annular mode; Pacific decadal oscillation; Paleoclimate; Geographic location/entity; Southern Oscillation; Antarctica; Variability; Circulation/ Dynamics; Climate variability; Physical Meteorology and Climatology</t>
  </si>
  <si>
    <t>SOUTHERN ANNULAR MODE; PACIFIC CONVERGENCE ZONE; RECENT CLIMATE VARIABILITY; EXTRATROPICAL CIRCULATION; NORTH PACIFIC; PART I; ENSO; HEMISPHERE; TEMPERATURE; IMPACT</t>
  </si>
  <si>
    <t>A new ice core drilled in 2010 to bedrock from the Bruce Plateau (BP) on the Antarctic Peninsula (AP) provides a high temporal resolution record of environmental conditions in this region. The extremely high annual accumulation rate at this site facilitates analysis of the relationships between annual net accumulation A(n) on the BP and large-scale atmospheric oscillations. Over the last ~45 years, A(n) on the BP has been positively correlated with both the southern annular mode (SAM) and Southern Oscillation index (SOI). Extending this analysis back to 1900 reveals that these relationships are not temporally stable, and they exhibit major shifts in the late-1940s and the mid-1970s that are contemporaneous with phase changes in the Pacific decadal oscillation (PDO). These varying multidecadal characteristics of the A(n)-oscillation relationships are not apparent when only data from the post-1970s era are employed. Analysis of the longer ice core record reveals that the influence of the SAM on A(n) depends not only on the phase of the SAM and SOI but also on the phase of the PDO. When the SAM's influence on BP A(n) is reduced, such as under negative PDO conditions, BP A(n) is modulated by variability in the tropical and subtropical atmosphere through its impacts on the strength and position of the circumpolar westerlies in the AP region. These results demonstrate the importance of using longer-term ice core-derived proxy records to test conventional views of atmospheric circulation variability in the AP region.</t>
  </si>
  <si>
    <t>[Goodwin, Bradley P.; Mosley-Thompson, Ellen; Wilson, Aaron B.; Porter, Stacy E.; Sierra-Hernandez, M. Roxana] Ohio State Univ, Byrd Polar &amp; Climate Res Ctr, 108 Scott Hall,1090 Carmack Rd, Columbus, OH 43210 USA; [Goodwin, Bradley P.; Mosley-Thompson, Ellen] Ohio State Univ, Dept Geog, Atmospher Sci Program, Columbus, OH 43210 USA</t>
  </si>
  <si>
    <t>University System of Ohio; Ohio State University; University System of Ohio; Ohio State University</t>
  </si>
  <si>
    <t>Mosley-Thompson, E (corresponding author), Ohio State Univ, Byrd Polar &amp; Climate Res Ctr, 108 Scott Hall,1090 Carmack Rd, Columbus, OH 43210 USA.</t>
  </si>
  <si>
    <t>thompson.4@osu.edu</t>
  </si>
  <si>
    <t>Mosley-Thompson, Ellen S/Z-2100-2018</t>
  </si>
  <si>
    <t>Sierra Hernandez, Roxana/0000-0001-8566-8170; Porter, Stacy/0000-0002-9585-1523</t>
  </si>
  <si>
    <t>NSF [ANT-0732655]</t>
  </si>
  <si>
    <t>The authors thank members of the BP field team [Victor Zagorodnov, Vladimir Mikhalenko, Benjamin Vicencio, Roberto Filippi (deceased), and Thai Verzoni], who spent 42 days with Ellen Mosley-Thompson drilling the BP ice cores. We thank Raytheon Polar Services and the British Antarctic Survey who provided essential logistical support of the field activities. Bradley P. Goodwin thanks The Ohio State University's Graduate School and Department of Geography and the National Science Foundation (NSF) for graduate student support. We thank Julie Jones for personally sending us her SAM reconstruction. Interpolated OLR and NCEP-NCAR reanalyses data were provided by NOAA/OAR/ESRL PSD from http://www.esrl.noaa.gov/psd/. The field project, laboratory analyses, and partial support for Bradley P. Goodwin were provided by NSF Award ANT-0732655 to Ellen Mosley-Thompson as part of NSF's IPY LARISSA Project. The ice core data used in this study are archived in the Global Change Master Directory (http://gcmd.nasa.gov/getdif.htm?LARISSA_0732655) and NOAA's National Climate Data Center/Paleoclimatology (http://www.ncdc.noaa.gov/data-access/paleoclimatology-data).</t>
  </si>
  <si>
    <t>10.1175/JCLI-D-15-0354.1</t>
  </si>
  <si>
    <t>DH6WN</t>
  </si>
  <si>
    <t>WOS:000372932900001</t>
  </si>
  <si>
    <t>Newsom, ER; Bitz, CM; Bryan, FO; Abernathey, R; Gent, PR</t>
  </si>
  <si>
    <t>Newsom, Emily R.; Bitz, Cecilia M.; Bryan, Frank O.; Abernathey, Ryan; Gent, Peter R.</t>
  </si>
  <si>
    <t>Southern Ocean Deep Circulation and Heat Uptake in a High-Resolution Climate Model</t>
  </si>
  <si>
    <t>Geographic location/entity; Circulation/ Dynamics; Southern Ocean; Meridional overturning circulation; Ocean dynamics; Abyssal circulation; Eddies; Sea ice</t>
  </si>
  <si>
    <t>MERIDIONAL OVERTURNING CIRCULATION; ANTARCTIC BOTTOM WATER; NORTH-ATLANTIC OCEAN; SEA-LEVEL RISE; MESOSCALE EDDIES; THERMOHALINE CIRCULATION; MASS TRANSFORMATION; CIRCUMPOLAR CURRENT; GLOBAL HEAT; SENSITIVITY</t>
  </si>
  <si>
    <t>The dynamics of the lower cell of the meridional overturning circulation (MOC) in the Southern Ocean are compared in two versions of a global climate model: one with high-resolution (0.1 degrees) ocean and sea ice and the other a lower-resolution (1.0 degrees) counterpart. In the high-resolution version, the lower cell circulation is stronger and extends farther northward into the abyssal ocean. Using the water-mass-transformation framework, it is shown that the differences in the lower cell circulation between resolutions are explained by greater rates of surface water-mass transformation within the higher-resolution Antarctic sea ice pack and by differences in diapycnal-mixing-induced transformation in the abyssal ocean. While both surface and interior transformation processes work in tandem to sustain the lower cell in the control climate, the circulation is far more sensitive to changes in surface transformation in response to atmospheric warming from raising carbon dioxide levels. The substantial reduction in overturning is primarily attributed to reduced surface heat loss. At high resolution, the circulation slows more dramatically, with an anomaly that reaches deeper into the abyssal ocean and alters the distribution of Southern Ocean warming. The resolution dependence of associated heat uptake is particularly pronounced in the abyssal ocean (below 4000 m), where the higher-resolution version of the model warms 4.5 times more than its lower-resolution counterpart.</t>
  </si>
  <si>
    <t>[Newsom, Emily R.] Univ Washington, Dept Earth &amp; Space Sci, Johnson Hall Rm 070,Box 351310,4000 15th Ave NE, Seattle, WA 98195 USA; [Bitz, Cecilia M.] Univ Washington, Dept Atmospher Sci, Seattle, WA 98195 USA; [Bryan, Frank O.; Gent, Peter R.] Natl Ctr Atmospher Res, Climate &amp; Global Dynam Div, POB 3000, Boulder, CO 80307 USA; [Abernathey, Ryan] Columbia Univ, Dept Earth &amp; Environm Sci, New York, NY USA</t>
  </si>
  <si>
    <t>University of Washington; University of Washington Seattle; University of Washington; University of Washington Seattle; National Center Atmospheric Research (NCAR) - USA; Columbia University</t>
  </si>
  <si>
    <t>Newsom, ER (corresponding author), Univ Washington, Dept Earth &amp; Space Sci, Johnson Hall Rm 070,Box 351310,4000 15th Ave NE, Seattle, WA 98195 USA.</t>
  </si>
  <si>
    <t>enewsom@uw.edu</t>
  </si>
  <si>
    <t>Bitz, Cecilia M/S-8423-2016; Gent, Peter/HGB-9457-2022; Bryan, Frank/I-1309-2016</t>
  </si>
  <si>
    <t>Newsom, Emily/0000-0002-3436-3833; Bitz, Cecilia/0000-0002-9477-7499; Bryan, Frank/0000-0003-1672-8330</t>
  </si>
  <si>
    <t>National Science Foundation through the UW IGERT Program on Ocean Change Award [NSF-1068839, PLR-1341497, OCE-1357133]; NCAR; NSF; Directorate For Geosciences; Office of Polar Programs (OPP) [1341497] Funding Source: National Science Foundation; Division Of Ocean Sciences; Directorate For Geosciences [1357133] Funding Source: National Science Foundation</t>
  </si>
  <si>
    <t>National Science Foundation through the UW IGERT Program on Ocean Change Award; NCAR(National Science Foundation (NSF)NSF - Directorate for Geosciences (GEO)); NSF(National Science Foundation (NSF)); Directorate For Geosciences; Office of Polar Programs (OPP)(National Science Foundation (NSF)NSF - Directorate for Geosciences (GEO)); Division Of Ocean Sciences; Directorate For Geosciences(National Science Foundation (NSF)NSF - Directorate for Geosciences (GEO))</t>
  </si>
  <si>
    <t>The authors gratefully acknowledge support from the National Science Foundation through the UW IGERT Program on Ocean Change Award NSF-1068839 (ERN), Grants PLR-1341497 (ERN and CMB) and OCE-1357133 (RA), and their sponsorship of NCAR (FOB and PRG). Computing was performed on Kraken at the National Institute for Computational Science through XSEDE allocations TG-ATM100052 and TG-ATM090041, supported by the NSF. We thank the NSF-funded CCSM PetaApps team for sharing their control integrations and the code to run the model at fine resolution. We thank Kyle Armour, Sarah Purkey, and Gregory Johnson for illuminating discussions. We also thank three anonymous reviewers for their insightful additions.</t>
  </si>
  <si>
    <t>10.1175/JCLI-D-15-0513.1</t>
  </si>
  <si>
    <t>WOS:000372932900002</t>
  </si>
  <si>
    <t>Frederick, BC; Young, DA; Blankenship, DD; Richter, TG; Kempf, SD; Ferraccioli, F; Siegert, MJ</t>
  </si>
  <si>
    <t>Frederick, Bruce C.; Young, Duncan A.; Blankenship, Donald D.; Richter, Thomas G.; Kempf, Scott D.; Ferraccioli, Fausto; Siegert, Martin J.</t>
  </si>
  <si>
    <t>Distribution of subglacial sediments across the Wilkes Subglacial Basin, East Antarctica</t>
  </si>
  <si>
    <t>BENEATH THWAITES GLACIER; ICE STREAM-B; TRANSANTARCTIC MOUNTAINS; MAGNETIC INTERPRETATION; SPECTRAL-ANALYSIS; GRAVITY; WEST; SHEET; TRANSITION; INVENTORY</t>
  </si>
  <si>
    <t>Topography, sediment distribution, and heat flux are all key boundary conditions governing the dynamics of the East Antarctic Ice Sheet (EAIS). EAIS stability is most at risk in Wilkes Land across vast expanses of marine-based catchments including the 1400 km x 600 km expanse of the Wilkes Subglacial Basin (WSB) region. Data from a recent regional aerogeophysical survey (Investigating the Cryospheric Evolution of the Central Antarctic Plate (ICECAP)/IceBridge) are combined with two historical surveys (Wilkes basin/Transantarctic Mountains System Exploration-Ice-house Earth: Stability or DYNamism? (WISE-ISODYN) and Wilkes Land Transect (WLK)) to improve our understanding of the vast subglacial sedimentary basins impacting WSB ice flow and geomorphology across geologic time. Analyzing a combination of gravity, magnetic and ice-penetrating radar data, we present the first detailed subglacial sedimentary basin model for the WSB that defines distinct northern and southern subbasin isopachs with average sedimentary basin thicknesses of 1144m +/- 179m and 1623m +/- 254 m, respectively. Notably, more substantial southern subbasin sedimentary deposition in the WSB interior supports a regional Wilkes Land hypothesis that basin-scale ice flow and associated glacial erosion is dictated by tectonic basement structure and the inherited geomorphology of preglacial fluvial networks. Orbital, temperate/polythermal glacial cycles emanating from adjacent alpine highlands during the early Miocene to late Oligocene likely preserved critical paleoclimatic data in subglacial sedimentary strata. Substantially thinner northern WSB subglacial sedimentary deposits are generally restricted to fault-controlled, channelized basins leading to prominent outlet glacier catchments suggesting a more dynamic EAIS during the Pliocene.</t>
  </si>
  <si>
    <t>[Frederick, Bruce C.] Univ Kansas, Dept Geol, Lawrence, KS 66045 USA; [Young, Duncan A.; Blankenship, Donald D.; Richter, Thomas G.; Kempf, Scott D.] Univ Texas Austin, Inst Geophys, Jackson Sch Geosci, Austin, TX USA; [Ferraccioli, Fausto] British Antarctic Survey, Cambridge, England; [Siegert, Martin J.] Imperial Coll, Grantham Inst, Dept Earth Sci &amp; Engn, London, England</t>
  </si>
  <si>
    <t>University of Kansas; University of Texas System; University of Texas Austin; UK Research &amp; Innovation (UKRI); Natural Environment Research Council (NERC); NERC British Antarctic Survey; Imperial College London</t>
  </si>
  <si>
    <t>Frederick, BC (corresponding author), Univ Kansas, Dept Geol, Lawrence, KS 66045 USA.</t>
  </si>
  <si>
    <t>bruce.c.frederick@gmail.com</t>
  </si>
  <si>
    <t>Siegert, Martin/M-9939-2019; Siegert, Martin J/A-3826-2008; Frederick, Bruce/N-3916-2019; Young, Duncan A./G-6256-2010</t>
  </si>
  <si>
    <t>Siegert, Martin/0000-0002-0090-4806; Siegert, Martin J/0000-0002-0090-4806; Frederick, Bruce/0000-0002-7381-8693; Ferraccioli, Fausto/0000-0002-9347-4736</t>
  </si>
  <si>
    <t>National Science Foundation (NSF) [ANT-1143836]; NASA [NNX09AR52G, NNG10HP06C, NNX11AD33G]; NERC [NE/D003733/1]; Jackson School of Geosciences; G. Unger Vetlesen Foundation; NSF's Support Office for Aerogeophysical Research (SOAR) under NSF grants [OPP-9120464, 9319369, 9319379]; NERC [bas0100029, NE/G00465X/3, NE/F016646/2, NE/K004956/2, NE/F016646/1] Funding Source: UKRI; Natural Environment Research Council [NE/F016646/1, NE/G00465X/3, NE/K004956/2, NE/F016646/2, bas0100029] Funding Source: researchfish; Office of Polar Programs; Office Of The Director [9319369] Funding Source: National Science Foundation; Office of Polar Programs (OPP); Directorate For Geosciences [9319379] Funding Source: National Science Foundation; NASA [106520, NNX09AR52G] Funding Source: Federal RePORTER</t>
  </si>
  <si>
    <t>National Science Foundation (NSF)(National Science Foundation (NSF)); NASA(National Aeronautics &amp; Space Administration (NASA)); NERC(UK Research &amp; Innovation (UKRI)Natural Environment Research Council (NERC)); Jackson School of Geosciences; G. Unger Vetlesen Foundation; NSF's Support Office for Aerogeophysical Research (SOAR) under NSF grants; NERC(UK Research &amp; Innovation (UKRI)Natural Environment Research Council (NERC)); Natural Environment Research Council(UK Research &amp; Innovation (UKRI)Natural Environment Research Council (NERC)); Office of Polar Programs; Office Of The Director(National Science Foundation (NSF)NSF - Directorate for Geosciences (GEO)NSF - Office of the Director (OD)); Office of Polar Programs (OPP); Directorate For Geosciences(National Science Foundation (NSF)NSF - Directorate for Geosciences (GEO)); NASA(National Aeronautics &amp; Space Administration (NASA))</t>
  </si>
  <si>
    <t>This work was supported by National Science Foundation (NSF) grant ANT-1143836; NASA grants NNX09AR52G, NNG10HP06C, and NNX11AD33G; NERC grant NE/D003733/1; the Jackson School of Geosciences; and the G. Unger Vetlesen Foundation. This paper is in part a result of the ICECAP collaboration between the USA, UK and Australia to Investigate the Cryospheric Evolution of the Central Antarctic Plate through airborne geophysical surveys, and a compilation of historical data collected by the British Antarctic Survey (BAS) and NSF's Support Office for Aerogeophysical Research (SOAR) under NSF grants OPP-9120464, 9319369, and 9319379. Logistical support was provided by the U.S. Antarctic Program, the French Polar Institute, the Italian Antarctic Programme (PNRA), and the Australian Antarctic Division. Many thanks to two anonymous reviewers for their helpful and constructive commentary. This is UTIG contribution 2833.</t>
  </si>
  <si>
    <t>10.1002/2015JF003760</t>
  </si>
  <si>
    <t>DV0AL</t>
  </si>
  <si>
    <t>Green Published, Green Accepted, Bronze</t>
  </si>
  <si>
    <t>WOS:000382579600009</t>
  </si>
  <si>
    <t>Simms, LE; Engebretson, MJ; Pilipenko, V; Reeves, GD; Clilverd, M</t>
  </si>
  <si>
    <t>Simms, Laura E.; Engebretson, Mark J.; Pilipenko, Viacheslav; Reeves, Geoffrey D.; Clilverd, Mark</t>
  </si>
  <si>
    <t>Empirical predictive models of daily relativistic electron flux at geostationary orbit: Multiple regression analysis</t>
  </si>
  <si>
    <t>OUTER RADIATION BELT; VAN ALLEN PROBES; GEOSYNCHRONOUS ORBIT; SOLAR-WIND; MAGNETOSPHERIC CONVECTION; GEOMAGNETIC-PULSATIONS; WHISTLER-MODE; CHORUS WAVES; EMIC WAVES; ACCELERATION</t>
  </si>
  <si>
    <t>The daily maximum relativistic electron flux at geostationary orbit can be predicted well with a set of daily averaged predictor variables including previous day's flux, seed electron flux, solar wind velocity and number density, AE index, IMF B-z, Dst, and ULF and VLF wave power. As predictor variables are intercorrelated, we used multiple regression analyses to determine which are the most predictive of flux when other variables are controlled. Empirical models produced from regressions of flux on measured predictors from 1 day previous were reasonably effective at predicting novel observations. Adding previous flux to the parameter set improves the prediction of the peak of the increases but delays its anticipation of an event. Previous day's solar wind number density and velocity, AE index, and ULF wave activity are the most significant explanatory variables; however, the AE index, measuring substorm processes, shows a negative correlation with flux when other parameters are controlled. This may be due to the triggering of electromagnetic ion cyclotron waves by substorms that cause electron precipitation. VLF waves show lower, but significant, influence. The combined effect of ULF and VLF waves shows a synergistic interaction, where each increases the influence of the other on flux enhancement. Correlations between observations and predictions for this 1 day lag model ranged from 0.71 to 0.89 (average: 0.78). A path analysis of correlations between predictors suggests that solar wind and IMF parameters affect flux through intermediate processes such as ring current (Dst), AE, and wave activity.</t>
  </si>
  <si>
    <t>[Simms, Laura E.; Engebretson, Mark J.] Augsburg Coll, Minneapolis, MN 55454 USA; [Pilipenko, Viacheslav] Inst Phys Earth, Moscow, Russia; [Reeves, Geoffrey D.] Los Alamos Natl Lab, Los Alamos, NM USA; [Clilverd, Mark] British Antarctic Survey, Cambridge, England</t>
  </si>
  <si>
    <t>Augsburg University; Russian Academy of Sciences; Schmidt Institute of Physics of the Earth of the Russian Academy of Sciences; United States Department of Energy (DOE); Los Alamos National Laboratory; UK Research &amp; Innovation (UKRI); Natural Environment Research Council (NERC); NERC British Antarctic Survey</t>
  </si>
  <si>
    <t>Simms, LE (corresponding author), Augsburg Coll, Minneapolis, MN 55454 USA.</t>
  </si>
  <si>
    <t>simmsl@augsburg.edu</t>
  </si>
  <si>
    <t>Reeves, Geoffrey/E-8101-2011</t>
  </si>
  <si>
    <t>Reeves, Geoffrey/0000-0002-7985-8098</t>
  </si>
  <si>
    <t>National Science Foundation [AGS-1264146]; Div Atmospheric &amp; Geospace Sciences; Directorate For Geosciences [1264146] Funding Source: National Science Foundation; Natural Environment Research Council [bas0100031] Funding Source: researchfish; NERC [bas0100031] Funding Source: UKRI</t>
  </si>
  <si>
    <t>National Science Foundation(National Science Foundation (NSF)); Div Atmospheric &amp; Geospace Sciences; Directorate For Geosciences(National Science Foundation (NSF)NSF - Directorate for Geosciences (GEO)); Natural Environment Research Council(UK Research &amp; Innovation (UKRI)Natural Environment Research Council (NERC)); NERC(UK Research &amp; Innovation (UKRI)Natural Environment Research Council (NERC))</t>
  </si>
  <si>
    <t>We thank Craig Rodger and Kyle Murphy for helpful discussions and comments on earlier drafts. We also thank the reviewers for their insightful comments. Relativistic electron and seed electron flux data were obtained from Los Alamos National Laboratory (LANL) geosynchronous energetic particle instruments (contact: G. D. Reeves). Satellite and ground-based ULF indices are available at https://www.dropbox.com/sh/uphhexbvn8407of/AACy_nEd7jt3JKtwDt_R6w70a or by request from the authors. Bz, V, N, P, and Kp, Dst, and AE indices are available from Goddard Space Flight Center Space Physics Data Facility at the OMNIWeb data website (http://omniweb.gsfc.nasa.gov/html/ow_data.html). This work was supported by National Science Foundation grant AGS-1264146 to Augsburg College.</t>
  </si>
  <si>
    <t>10.1002/2016JA022414</t>
  </si>
  <si>
    <t>Green Submitted, Green Accepted, Bronze</t>
  </si>
  <si>
    <t>WOS:000379960300025</t>
  </si>
  <si>
    <t>Hosokawa, K; Taguchi, S; Ogawa, Y</t>
  </si>
  <si>
    <t>Hosokawa, K.; Taguchi, S.; Ogawa, Y.</t>
  </si>
  <si>
    <t>Edge of polar cap patches</t>
  </si>
  <si>
    <t>Fingerlike signatures of plasma; instability are identified within polar; cap patches; Gradient in the leading edge of; patches is sharper than that in the; trailing edge; Plasma mixing through the plasma; instability determines the shape; of patches</t>
  </si>
  <si>
    <t>IONIZATION PATCHES; LATITUDES; VELOCITY</t>
  </si>
  <si>
    <t>On the night of 4 December 2013, a sequence of polar cap patches was captured by an all-sky airglow imager (ASI) in Longyearbyen, Norway (78.1 degrees N, 15.5 degrees E). The 630.0 nm airglow images from the ASI of 4 second exposure time, oversampled the emission of natural lifetime (with quenching) of at least similar to 30 sec, introduce no observational blurring effects. By using such high-quality ASI images, we succeeded in visualizing an asymmetry in the gradients between the leading/ trailing edges of the patches in a 2-D fashion. The gradient in the leading edge was found to be 2-3 times steeper than that in the trailing edge. We also identified fingerlike structures, appearing only along the trailing edge of the patches, whose horizontal scale size ranged from 55 to 210 km. These fingers are considered to be manifestations of plasma structuring through the gradient-drift instability (GDI), which is known to occur only along the trailing edge of patches. That is, the current 2-D observations visualized, for the first time, how GDI stirs the patch plasma and such a mixing process makes the trailing edge more gradual. This result strongly implies a close connection between the GDI-driven plasma stirring and the asymmetry in the large-scale shape of patches and then suggests that the fingerlike structures can be used as markers to estimate the fine-scale structure in the plasma flow within patches.</t>
  </si>
  <si>
    <t>[Hosokawa, K.] Univ Electrocommun, Dept Commun Engn &amp; Informat, Tokyo, Japan; [Hosokawa, K.] Univ Electrocommun, Ctr Space Sci &amp; Radio Engn, Tokyo, Japan; [Taguchi, S.] Kyoto Univ, Grad Sch Sci, Dept Geophys, Kyoto, Japan; [Ogawa, Y.] Natl Inst Polar Res, Div Polar Informat, Antarctic Environm Res Ctr, Itabashi Ku, Tokyo, Japan; [Ogawa, Y.] SOKENDAI Grad Univ Adv Studies, Dept Polar Sci, Hayama, Kanagawa, Japan</t>
  </si>
  <si>
    <t>University of Electro-Communications - Japan; University of Electro-Communications - Japan; Kyoto University; Research Organization of Information &amp; Systems (ROIS); National Institute of Polar Research (NIPR) - Japan; Graduate University for Advanced Studies - Japan</t>
  </si>
  <si>
    <t>Hosokawa, K (corresponding author), Univ Electrocommun, Dept Commun Engn &amp; Informat, Tokyo, Japan.;Hosokawa, K (corresponding author), Univ Electrocommun, Ctr Space Sci &amp; Radio Engn, Tokyo, Japan.</t>
  </si>
  <si>
    <t>keisuke.hosokawa@uec.ac.jp</t>
  </si>
  <si>
    <t>Ogawa, Yasunobu/0000-0002-8118-4475; Taguchi, Satoshi/0000-0001-7419-5531</t>
  </si>
  <si>
    <t>Japan Society for the Promotion of Science (JSPS) [22340143, 26302006]; Grants-in-Aid for Scientific Research [26302006] Funding Source: KAKEN</t>
  </si>
  <si>
    <t>Japan Society for the Promotion of Science (JSPS)(Ministry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</si>
  <si>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The authors would like to thank Fred Sigernes for his help at UNIS, Longyearbyen. We also thank Takeshi Aoki, a staff of Manufacturing Design Center for facilitating our work in the University of Electro-Communications. The ground optical data used in this paper can be provided on request to Satoshi Taguchi at Kyoto University. The authors wish to thank N. Ness at the Bartol Research Institute for access to data from MFI and SWE instruments on board the ACE spacecraft. The solar wind data from the ACE spacecraft can be accessed through the ACE science center at http://www.srl.caltech.edu/ACE/ASC/. This work was supported by Grants-in-Aid for Scientific Research (22340143 and 26302006) from the Japan Society for the Promotion of Science (JSPS).</t>
  </si>
  <si>
    <t>10.1002/2015JA021960</t>
  </si>
  <si>
    <t>WOS:000379960300041</t>
  </si>
  <si>
    <t>Chapman, PM</t>
  </si>
  <si>
    <t>Chapman, Peter M.</t>
  </si>
  <si>
    <t>Toxicity delayed in cold freshwaters?</t>
  </si>
  <si>
    <t>JOURNAL OF GREAT LAKES RESEARCH</t>
  </si>
  <si>
    <t>Delayed toxicity; Polar; Cold freshwaters; Risk assessment</t>
  </si>
  <si>
    <t>INCREASES SENSITIVITY; CALANUS-FINMARCHICUS; AQUATIC TOXICITY; MARINE ORGANISMS; CONTAMINANTS; TOXICOKINETICS; REPRODUCTION; STRESSORS; GLACIALIS; MIXTURES</t>
  </si>
  <si>
    <t>There is increasing evidence of a delay in the manifestation of toxicity with exposure to contaminants and other stressors in polar (Arctic and Antarctic) marine environments. This phenomenon has not been shown to occur in cold (i.e., &lt;4 degrees C) freshwater environments. Toxicity testing protocols have not been designed to investigate the existence of this phenomenon; toxicity testing is typically conducted in the laboratory at warmer than ambient cold water temperatures (i.e., 10-15 degrees C) and for pre-determined time periods. The hypothesis of delayed toxicity in cold freshwaters is viable based on a review of available literature; this hypothesis should be tested. If this phenomenon occurs in cold freshwaters (i.e., northern, southern, and high altitude freshwaters), and if the exposure period is not adequate to account for a delayed response, sensitivity to tested toxicants under cold water conditions may not be adequately estimated, resulting in an underestimation of toxicity and an overestimation of predicted no effect concentrations. (C) 2015 International Association for Great Lakes Research. Published by Elsevier B.V. All rights reserved.</t>
  </si>
  <si>
    <t>[Chapman, Peter M.] Chapema Environm Strategies Ltd, 1324 West 22nd St, N Vancouver, BC V7P 2G4, Canada</t>
  </si>
  <si>
    <t>Chapman, PM (corresponding author), Chapema Environm Strategies Ltd, 1324 West 22nd St, N Vancouver, BC V7P 2G4, Canada.</t>
  </si>
  <si>
    <t>peter@chapmanenviro.com</t>
  </si>
  <si>
    <t>0380-1330</t>
  </si>
  <si>
    <t>J GREAT LAKES RES</t>
  </si>
  <si>
    <t>J. Gt. Lakes Res.</t>
  </si>
  <si>
    <t>10.1016/j.jglr.2015.03.018</t>
  </si>
  <si>
    <t>Environmental Sciences; Limnology; Marine &amp; Freshwater Biology</t>
  </si>
  <si>
    <t>DI7AI</t>
  </si>
  <si>
    <t>WOS:000373651100013</t>
  </si>
  <si>
    <t>Hokada, T; Harley, SL; Dunkley, DJ; Kelly, NM; Yokoyama, K</t>
  </si>
  <si>
    <t>Hokada, Tomokazu; Harley, Simon L.; Dunkley, Daniel J.; Kelly, Nigel M.; Yokoyama, Kazumi</t>
  </si>
  <si>
    <t>Peak and post-peak development of UHT metamorphism at Mather Peninsula, Rauer Islands: Zircon and monazite U-Th-Pb and REE chemistry constraints</t>
  </si>
  <si>
    <t>Monazite; Rare earth elements (REE); Ultrahigh temperature (UHT) metamorphism; U-Th-Pb geochronology; Zircon</t>
  </si>
  <si>
    <t>EAST ANTARCTICA; PRYDZ-BAY; LARSEMANN HILLS; NAPIER COMPLEX; EVOLUTION; AGES; GEOCHRONOLOGY; SHRIMP; ROCKS; GRANULITES</t>
  </si>
  <si>
    <t>Zircon and monazite in ultrahigh temperature (UHT) metamorphic rocks from the Rauer Islands of Prydz Bay in East Antarctica were investigated in terms of U-Th-Pb and rare earth elements (REE) chemistry along with textural context. All five analyzed samples, three from the Mather Paragneiss UHT unit and two from the host orthogneiss unit yield 522-517 Ma concordant zircon ages, with older protolith/inherited zircon ages of 3268 and 2800-2400 Ma along with highly discordant Mesoproterozoic to Neoproterozoic ages. Our data confirm the Archaean protolith age for the host orthogneiss surrounding the UHT Mather Paragneiss. The Archaean and Mesoproterzoic components of the Rauer Islands were not amalgamated in the Rauer Tectonic Event at 1030-990 Ma, and deposition of the Mather Paragneiss was considered at some time after the Rauer Tectonic Event. In contrast to the well-defined 520 Ma ages obtained from the zircons in the UHT rocks, monazite grains measured by electron microprobe show a distinct internal zonation, from 580-560 Ma dark-backscattered electron image (BSE) cores enriched in middle rare earth elements (MREE) and heavy rare earth elements (HREE) to 550-520 Ma mid-BSE mantles and 510-500 Ma bright-BSE rims. From the chemical and textural evidence we infer that the MREE-HREE-rich 580-560 Ma monazite cores may have formed through the decomposition of garnet during decompression just after the UHT event, whereas the MREE-HREE-depleted 550-500 Ma monazite grains/rims formed or recrystallized in reactions associated with subsequent extensive hydration during the upper-amphibolite to granulite-facies main Prydz Tectonic Event, which also caused marked recrystallization of zircon. The above data strongly support the interpretation that the UHT metamorphism occurred prior to 590-580 Ma.</t>
  </si>
  <si>
    <t>[Hokada, Tomokazu; Dunkley, Daniel J.] Natl Inst Polar Res, Tachikawa, Tokyo 1908518, Japan; [Hokada, Tomokazu] SOKENDAI Grad Univ Adv Studies, Dept Polar Sci, Tachikawa, Tokyo 1908518, Japan; [Hokada, Tomokazu; Harley, Simon L.; Kelly, Nigel M.] Univ Edinburgh, Sch Geosci, Edinburgh EH9 3JW, Midlothian, Scotland; [Hokada, Tomokazu; Yokoyama, Kazumi] Natl Museum Nat &amp; Sci, Dept Geol &amp; Paleontol, Tsukuba, Ibaraki 3050005, Japan; [Dunkley, Daniel J.] Curtin Univ, Dept Appl Geol, Perth, WA 6845, Australia; [Kelly, Nigel M.] Univ Colorado, Dept Geol Sci, Boulder, CO 80309 USA</t>
  </si>
  <si>
    <t>Research Organization of Information &amp; Systems (ROIS); National Institute of Polar Research (NIPR) - Japan; Graduate University for Advanced Studies - Japan; University of Edinburgh; National Museum of Nature and Science; Curtin University; University of Colorado System; University of Colorado Boulder</t>
  </si>
  <si>
    <t>Hokada, T (corresponding author), Natl Inst Polar Res, Tachikawa, Tokyo 1908518, Japan.;Hokada, T (corresponding author), SOKENDAI Grad Univ Adv Studies, Dept Polar Sci, Tachikawa, Tokyo 1908518, Japan.;Hokada, T (corresponding author), Univ Edinburgh, Sch Geosci, Edinburgh EH9 3JW, Midlothian, Scotland.;Hokada, T (corresponding author), Natl Museum Nat &amp; Sci, Dept Geol &amp; Paleontol, Tsukuba, Ibaraki 3050005, Japan.</t>
  </si>
  <si>
    <t>hokada@nipr.ac.jp</t>
  </si>
  <si>
    <t>Hokada, Tomokazu/AAC-7847-2019</t>
  </si>
  <si>
    <t>Dunkley, Daniel/0000-0003-0655-4496</t>
  </si>
  <si>
    <t>JSPS KAKENHI [25287132]; NIPR Project Research KP-7; UK Natural Environment Research Council (NERC) [NE/B504157/1]; Antarctic Science Advisory Council (ASAC) [2690]; NIPR; Australian Government Antarctic Division (AGAD); Natural Environment Research Council [NE/B504157/1] Funding Source: researchfish; Grants-in-Aid for Scientific Research [15H03748, 25302008, 25400518, 15K05312, 25287132] Funding Source: KAKEN</t>
  </si>
  <si>
    <t>JSPS KAKENHI(Ministry of Education, Culture, Sports, Science and Technology, Japan (MEXT)Japan Society for the Promotion of ScienceGrants-in-Aid for Scientific Research (KAKENHI)); NIPR Project Research KP-7; UK Natural Environment Research Council (NERC)(UK Research &amp; Innovation (UKRI)Natural Environment Research Council (NERC)); Antarctic Science Advisory Council (ASAC); NIPR(National Institute of Polar Research (NIPR) - Japan); Australian Government Antarctic Division (AGAD)(Australian Government); Natural Environment Research Council(UK Research &amp; Innovation (UKRI)Natural Environment Research Council (NERC)); Grants-in-Aid for Scientific Research(Ministry of Education, Culture, Sports, Science and Technology, Japan (MEXT)Japan Society for the Promotion of ScienceGrants-in-Aid for Scientific Research (KAKENHI))</t>
  </si>
  <si>
    <t>Samples used in the study were collected during the 1988/89 and 2006/07 austral summer seasons, and the Australian Government Antarctic Division (AGAD) and the expedition members of Australian National Antarctic Research Expedition (ANARE) are thanked for their support while in the field and at Davis Station. Constructive reviews by Ian Buick and Ed Grew, and the editorial assistance by N. Nakano improved the manuscript considerably. Thanks are also due to them. This work was supported by JSPS KAKENHI Grant Number 25287132 and NIPR Project Research KP-7 to TH, and by UK Natural Environment Research Council (NERC) grant NE/B504157/1 and Antarctic Science Advisory Council (ASAC) field support award 2690 (2006-2007) to SLH. The production of this paper was supported by an NIPR publication subsidy.</t>
  </si>
  <si>
    <t>10.2465/jmps.150829</t>
  </si>
  <si>
    <t>WOS:000375803000004</t>
  </si>
  <si>
    <t>Clément, L; Frajka-Williams, E; Sheen, KL; Brearley, JA; Garabato, ACN</t>
  </si>
  <si>
    <t>Clement, L.; Frajka-Williams, E.; Sheen, K. L.; Brearley, J. A.; Garabato, A. C. Naveira</t>
  </si>
  <si>
    <t>Generation of Internal Waves by Eddies Impinging on the Western Boundary of the North Atlantic</t>
  </si>
  <si>
    <t>Internal waves; Topographic effects; Circulation/ Dynamics; Mixing; Eddies</t>
  </si>
  <si>
    <t>MERIDIONAL OVERTURNING CIRCULATION; TURBULENT DISSIPATION; FINESCALE PARAMETERIZATIONS; OCEAN CIRCULATION; STRATIFIED FLOW; SOUTHERN-OCEAN; ENERGY; VARIABILITY; WIND; 26.5-DEGREES-N</t>
  </si>
  <si>
    <t>Despite the major role played by mesoscale eddies in redistributing the energy of the large-scale circulation, our understanding of their dissipation is still incomplete. This study investigates the generation of internal waves by decaying eddies in the North Atlantic western boundary. The eddy presence and decay are measured from the altimetric surface relative vorticity associated with an array of full-depth current meters extending ~100 km offshore at 26.5 degrees N. In addition, internal waves are analyzed over a topographic rise from 2-yr high-frequency measurements of an acoustic Doppler current profiler (ADCP), which is located 13 km offshore in 600-m deep water. Despite an apparent polarity independence of the eddy decay observed from altimetric data, the flow in the deepest 100 m is enhanced for anticyclones (25.2 cm s(-1)) compared with cyclones (-4.7 cm s(-1)). Accordingly, the internal wave field is sensitive to this polarity-dependent deep velocity. This is apparent from the eddy-modulated enhanced dissipation rate, which is obtained from a finescale parameterization and exceeds 10(-9) W kg(-1) for near-bottom flows greater than 8 cm s(-1). The present study underlines the importance of oceanic western boundaries for removing the energy of low-mode westward-propagating eddies to higher-mode internal waves.</t>
  </si>
  <si>
    <t>[Clement, L.; Frajka-Williams, E.; Sheen, K. L.; Garabato, A. C. Naveira] Univ Southampton, Natl Oceanog Ctr, Southampton, Hants, England; [Sheen, K. L.] Met Off Hadley Ctr, Exeter, Devon, England; [Brearley, J. A.] British Antarctic Survey, Cambridge CB3 0ET, England; [Clement, L.] Columbia Univ, Lamont Doherty Earth Observ, 61 Route 9W,POB 1000, Palisades, NY 10964 USA</t>
  </si>
  <si>
    <t>University of Southampton; NERC National Oceanography Centre; Met Office - UK; Hadley Centre; UK Research &amp; Innovation (UKRI); Natural Environment Research Council (NERC); NERC British Antarctic Survey; Columbia University</t>
  </si>
  <si>
    <t>Clément, L (corresponding author), Columbia Univ, Lamont Doherty Earth Observ, 61 Route 9W,POB 1000, Palisades, NY 10964 USA.</t>
  </si>
  <si>
    <t>lclement@ldeo.columbia.edu</t>
  </si>
  <si>
    <t>Garabato, Alberto Naveira/AAQ-1114-2020; Brearley, Alexander/C-3313-2012; Frajka-Williams, Eleanor/H-2415-2011</t>
  </si>
  <si>
    <t>Garabato, Alberto Naveira/0000-0001-6071-605X; Frajka-Williams, Eleanor/0000-0001-8773-7838; Brearley, Alexander/0000-0003-3700-8017</t>
  </si>
  <si>
    <t>U.K. Natural Environment Research Council; U.S. National Science Foundation; U.S. National Oceanic and Atmospheric Administration; NERC [NE/I528626/1, NE/E007058/1, NE/E005667/1]; Philip Leverhulme Prize; NERC [bas0100033, NE/L011166/1, NE/N001745/1, NE/E007058/1] Funding Source: UKRI; Natural Environment Research Council [NE/N001745/1, bas0100033, NE/L011166/1, NE/E007058/1] Funding Source: researchfish</t>
  </si>
  <si>
    <t>U.K. Natural Environment Research Council(UK Research &amp; Innovation (UKRI)Natural Environment Research Council (NERC)); U.S. National Science Foundation(National Science Foundation (NSF)); U.S. National Oceanic and Atmospheric Administration(National Oceanic Atmospheric Admin (NOAA) - USA); NERC(UK Research &amp; Innovation (UKRI)Natural Environment Research Council (NERC)); Philip Leverhulme Prize(Leverhulme Trust); NERC(UK Research &amp; Innovation (UKRI)Natural Environment Research Council (NERC)); Natural Environment Research Council(UK Research &amp; Innovation (UKRI)Natural Environment Research Council (NERC))</t>
  </si>
  <si>
    <t>The authors thank Kurt L. Polzin for his helpful discussions at WHOI as part of the GSNOCS/Woods Hole exchange scheme. The RAPID-WATCH MOC monitoring project is funded by the U.K. Natural Environment Research Council, the U.S. National Science Foundation, and the U.S. National Oceanic and Atmospheric Administration. L. Clement was supported by NERC Grant NE/I528626/1. The participation of K. L. Sheen and J. A. Brearley in this study was supported by NERC Grants NE/E007058/1 and NE/E005667/1. A.C.N.G. acknowledges the support of a Philip Leverhulme Prize. The RAPID dataset was provided by Julie Collins and Darren Rayner. We thank two anonymous reviewers for their helpful comments on the manuscript.</t>
  </si>
  <si>
    <t>10.1175/JPO-D-14-0241.1</t>
  </si>
  <si>
    <t>DH5FK</t>
  </si>
  <si>
    <t>Green Accepted, hybrid, Green Submitted</t>
  </si>
  <si>
    <t>WOS:000372811100001</t>
  </si>
  <si>
    <t>Xavier, JC; Peck, LS; Fretwell, P; Turner, J</t>
  </si>
  <si>
    <t>Xavier, Jose C.; Peck, Lloyd S.; Fretwell, Peter; Turner, John</t>
  </si>
  <si>
    <t>Climate change and polar range expansions: Could cuttlefish cross the Arctic?</t>
  </si>
  <si>
    <t>CEPHALOPODA; BIODIVERSITY; IMPACT</t>
  </si>
  <si>
    <t>Climate change can have major effects on the distribution of species. In marine ecosystems, the cold waters of the Arctic have restricted warmer water species from crossing between Eurasia and North America. However, with Arctic waters becoming warmer, various marine species have expanded their distribution. Cuttlefish are fast-growing, voracious predators and are absent in American waters. The European cuttlefish Sepia officinalis is the most northerly distributed cuttlefish, with potential to expand its range and cross to the American continent, potentially causing changes in shelf food webs. Climate model predictions suggest that the S. officinalis could potentially reach American shores, by 2300 via the north Atlantic with medium mitigation of greenhouse gas concentrations; we predict that adult dispersal of cuttlefish across the Atlantic sector would require a migration distance of over 1400 km at depths below 200 m and temperatures above 7 degrees C (temperature below which cuttlefish can not maintain routine metabolic processes physiologically). For temperatures above 9.5 degrees C (temperature above which cuttlefish can grow), 2500 km would be required, and such conditions will possibly exist by the year 2300. If they reach American shores they could have large impacts on coastal marine ecosystems, due to their wide diet (e.g. diet covers many shallow-water crustacean and fish species) and its potential as prey, and due to their short life-history strategy of live fast, die young.</t>
  </si>
  <si>
    <t>[Xavier, Jose C.; Peck, Lloyd S.; Fretwell, Peter; Turner, John] British Antarctic Survey, Nat Environm Res Council, High Cross, Madingley Rd, Cambridge CB3 0ET, England; [Xavier, Jose C.] Univ Coimbra, Marine &amp; Environm Sci Ctr MARE, Fac Ciencias &amp; Tecnol, Dept Ciencias Vida, Coimbra, Portugal</t>
  </si>
  <si>
    <t>UK Research &amp; Innovation (UKRI); Natural Environment Research Council (NERC); NERC British Antarctic Survey; Universidade de Coimbra</t>
  </si>
  <si>
    <t>Xavier, JC (corresponding author), British Antarctic Survey, Nat Environm Res Council, High Cross, Madingley Rd, Cambridge CB3 0ET, England.;Xavier, JC (corresponding author), Univ Coimbra, Marine &amp; Environm Sci Ctr MARE, Fac Ciencias &amp; Tecnol, Dept Ciencias Vida, Coimbra, Portugal.</t>
  </si>
  <si>
    <t>jxavier@zoo.uc.pt</t>
  </si>
  <si>
    <t>Xavier, José/KFB-6739-2024</t>
  </si>
  <si>
    <t>/0000-0002-9621-6660</t>
  </si>
  <si>
    <t>SCAR AnT-ERA program; ICED program; Investigator FCT program [IF/00616/2013]; NERC [bas0100036] Funding Source: UKRI; Natural Environment Research Council [bas0100036] Funding Source: researchfish</t>
  </si>
  <si>
    <t>SCAR AnT-ERA program; ICED program; Investigator FCT program(Fundacao para a Ciencia e a Tecnologia (FCT)); NERC(UK Research &amp; Innovation (UKRI)Natural Environment Research Council (NERC)); Natural Environment Research Council(UK Research &amp; Innovation (UKRI)Natural Environment Research Council (NERC))</t>
  </si>
  <si>
    <t>We thank Roger Villanueva for the numerous discussions and contributions to previous drafts and Tom Brace girdle, Dan Jones, Alexey Golikov and Emma Boland for advice on polar oceanography. This research is part of the SCAR AnT-ERA and ICED programs. JX is supported by the Investigator FCT program (IF/00616/2013).</t>
  </si>
  <si>
    <t>10.1007/s00227-016-2850-x</t>
  </si>
  <si>
    <t>DH8BV</t>
  </si>
  <si>
    <t>WOS:000373019300011</t>
  </si>
  <si>
    <t>Thomas, PO; Reeves, RR; Brownell, RL</t>
  </si>
  <si>
    <t>Thomas, Peter O.; Reeves, Randall R.; Brownell, Robert L., Jr.</t>
  </si>
  <si>
    <t>Status of the world's baleen whales</t>
  </si>
  <si>
    <t>status; cetaceans; baleen whales; blue whales; whaling; ship strike; entanglement; bycatch; anthropogenic noise; climate change; ocean acidification; endangered species; IUCN; Red List</t>
  </si>
  <si>
    <t>ATLANTIC RIGHT WHALE; EASTERN NORTH PACIFIC; CHILEAN BLUE WHALES; HUMPBACK WHALES; MARINE MAMMALS; CLIMATE-CHANGE; MEGAPTERA-NOVAEANGLIAE; BALAENOPTERA-MUSCULUS; SOUTHERN-HEMISPHERE; OCEAN ACIDIFICATION</t>
  </si>
  <si>
    <t>No global synthesis of the status of baleen whales has been published since the 2008 IUCN Red List assessments. Many populations remain at low numbers from historical commercial whaling, which had ceased for all but a few by 1989. Fishing gear entanglement and ship strikes are the most severe current threats. The acute and long-term effects of anthropogenic noise and the cumulative effects of multiple stressors are of concern but poorly understood. The looming consequences of climate change and ocean acidification remain difficult to characterize. North Atlantic and North Pacific right whales are among the species listed as Endangered. Southern right, bowhead, and gray whales have been assessed as Least Concern but some subpopulations of these species - western North Pacific gray whales, Chile-Peru right whales, and Svalbard/Barents Sea and Sea of Okhotsk bowhead whales - remain at low levels and are either Endangered or Critically Endangered. Eastern North Pacific blue whales have reportedly recovered, but Antarctic blue whales remain at about 1% of pre-exploitation levels. Small isolated subspecies or subpopulations, such as northern Indian Ocean blue whales, Arabian Sea humpback whales, and Mediterranean Sea fin whales are threatened while most subpopulations of sei, Bryde's, and Omura's whales are inadequately monitored and difficult to assess.</t>
  </si>
  <si>
    <t>[Thomas, Peter O.; Reeves, Randall R.] Marine Mammal Commiss, 4340 East West Highway,Room 700, Bethesda, MD 20814 USA; [Reeves, Randall R.] Okapi Wildlife Associates, 27 Chandler Lane, Hudson, PQ J0P 1H0, Canada; [Brownell, Robert L., Jr.] NOAA, Southwest Fisheries Sci Ctr, Natl Marine Fisheries Serv, 34500 Highway 1, Monterey, CA 93940 USA</t>
  </si>
  <si>
    <t>National Oceanic Atmospheric Admin (NOAA) - USA</t>
  </si>
  <si>
    <t>Thomas, PO (corresponding author), Marine Mammal Commiss, 4340 East West Highway,Room 700, Bethesda, MD 20814 USA.</t>
  </si>
  <si>
    <t>pthomas@mmc.gov</t>
  </si>
  <si>
    <t>Marine Mammal Commission</t>
  </si>
  <si>
    <t>We thank the Marine Mammal Commission for supporting this review. In particular, we thank former Executive Director Tim Ragen for initiating and championing the idea of such a global synthesis and current Executive Director Rebecca Lent for supporting its conclusion. We thank Daryl Boness, Frances Gulland, Michael Tillman, and David Laist for their reviews of earlier versions. William Perrin, Brian Smith, and Mark Richardson provided guidance at the outset of this effort. We thank Phil Clapham, Peter Corkeron, and other reviewers whose comments greatly improved the quality and content of the manuscript.</t>
  </si>
  <si>
    <t>10.1111/mms.12281</t>
  </si>
  <si>
    <t>WOS:000374349200015</t>
  </si>
  <si>
    <t>Ashmore, DW</t>
  </si>
  <si>
    <t>Ashmore, David W.</t>
  </si>
  <si>
    <t>Submarine Antarctic icescapes</t>
  </si>
  <si>
    <t>ICE-SHELF; CHANNELS; BENEATH; SHEET</t>
  </si>
  <si>
    <t>[Ashmore, David W.] Aberystwyth Univ, Ctr Glaciol Geog &amp; Earth Sci, Aberystwyth SY23 3DB, Dyfed, Wales</t>
  </si>
  <si>
    <t>Aberystwyth University</t>
  </si>
  <si>
    <t>Ashmore, DW (corresponding author), Aberystwyth Univ, Ctr Glaciol Geog &amp; Earth Sci, Aberystwyth SY23 3DB, Dyfed, Wales.</t>
  </si>
  <si>
    <t>dwa@aber.ac.uk</t>
  </si>
  <si>
    <t>Ashmore, David/0000-0003-4829-7854</t>
  </si>
  <si>
    <t>10.1038/ngeo2680</t>
  </si>
  <si>
    <t>WOS:000373374100005</t>
  </si>
  <si>
    <t>Mansilla, CA; McCulloch, RD; Morello, F</t>
  </si>
  <si>
    <t>Mansilla, Claudia A.; McCulloch, Robert D.; Morello, Flavia</t>
  </si>
  <si>
    <t>Palaeoenvironmental change in Southern Patagonia during the Lateglacial and Holocene: Implications for forest refugia and climate reconstructions</t>
  </si>
  <si>
    <t>Palaeoecology; Nothofagus forest; Last Glacial-Interglacial Transition; Fuego-Patagonia</t>
  </si>
  <si>
    <t>TIERRA-DEL-FUEGO; BAHIA INUTIL; CENTRAL STRAIT; POSTGLACIAL VEGETATION; ENVIRONMENTAL-CHANGES; MAGELLAN; PALEOCLIMATE; DEGLACIATION; GLACIATION; CHRONOLOGY</t>
  </si>
  <si>
    <t>A high-resolution palynological record from Punta Yartou, Fuego-Patagonia (53 degrees 51'S; 70 degrees 08'W), supported by lithostratigraphy, radiocarbon dating and tephrochronology, was examined to reconstruct the vegetation changes during the last glacial-interglacial transition and the Holocene. Following deglaciation from the Last Glacial Maximum sometime before c. 23,070 Cal yr BP the vegetation was initially dominated by Ericaceous shrubs and following modest climate amelioration between c. 20,480 and 14,820 Cal yr BP the environment favoured the spread of Acaena. The trend to a warmer and more humid climate was interrupted between c. 14,820 and 13,560 Cal yr BP when the vegetation community was dominated by cold tolerant herbs such as Poaceae and Asteraceae (Subfamily Asteroideae), suggesting an open treeless landscape with colder climatic conditions coeval with the Antarctic Cold Reversal. After c. 13,560 Cal yr BP a gradual rise in temperature and humidity is inferred from the colonisation of Nothofagus. A further warming and increase is inferred from the establishment of the forest/steppe ecotone by c. 12,900 Cal yr BP. The early Holocene was then characterised by increasing development of Nothofagus open canopy forest However, between c. 8080 and 5060 Cal yr BP there was a significant reduction in the forest cover and high values of charcoal which suggest an intense arid phase leading to increased availability of dry fuel. Between c. 5060 and 2170 Cal yr BP there were centennial-scale periods of increased wetter and colder climatic conditions. The Punta Yartou record demonstrates the sensitivity of Fuego-Patagonian forest to changes in the proximity and intensity of the southern westerly winds. (C) 2016 Elsevier B.V. All rights reserved.</t>
  </si>
  <si>
    <t>[Mansilla, Claudia A.; McCulloch, Robert D.] Univ Stirling, Biol &amp; Environm Sci, Stirling FK9 4LA, Scotland; [Morello, Flavia] Univ Magallanes, Inst Patagonia, Ctr Estudios Hombre Austral, Ave Bulnes, Punta Arenas 01890, Chile</t>
  </si>
  <si>
    <t>University of Stirling; Universidad de Magallanes</t>
  </si>
  <si>
    <t>Mansilla, CA (corresponding author), Univ Stirling, Biol &amp; Environm Sci, Stirling FK9 4LA, Scotland.</t>
  </si>
  <si>
    <t>Morello, Flavia/C-1007-2008</t>
  </si>
  <si>
    <t>Mansilla, Claudia A./0000-0003-4840-2845; McCulloch, Robert/0000-0001-5542-3703</t>
  </si>
  <si>
    <t>CONICYT Becas-Chile Scholarship [74160083]; Quaternary Research Association; Proyecto FONDECYT [1060020]; Proyecto de Incentiva a la Cooperacion Internacional [7070071]; Natural Environment Research Council [NRCF010001] Funding Source: researchfish; NERC [NRCF010001] Funding Source: UKRI</t>
  </si>
  <si>
    <t>CONICYT Becas-Chile Scholarship; Quaternary Research Association; Proyecto FONDECYT(Comision Nacional de Investigacion Cientifica y Tecnologica (CONICYT)CONICYT FONDECYT); Proyecto de Incentiva a la Cooperacion Internacional; Natural Environment Research Council(UK Research &amp; Innovation (UKRI)Natural Environment Research Council (NERC)); NERC(UK Research &amp; Innovation (UKRI)Natural Environment Research Council (NERC))</t>
  </si>
  <si>
    <t>CM was supported by a CONICYT Becas-Chile Scholarship 74160083 (Gobierno de Chile) and the Quaternary Research Association research fund provided support for fieldwork. The Scottish Alliance for Geoscience, Environment and Society and the Tephra Analytical Unit, School of GeoSciences, The University of Edinburgh, provided support for the Electron Microprobe analyses of tephra samples. RM and FM were supported by Proyecto FONDECYT 1060020 and Proyecto de Incentiva a la Cooperacion Internacional 7070071. The authors are grateful to Professor Gordon Cook, Scottish Universities Environmental Research Centre and to Dr. Pauline Gulliver, Natural Environmental Research Council Radiocarbon Laboratory (NERC-RCL) for supporting the radiocarbon measurements. The authors acknowledge support from NERC-RCL for support for four AMS measurements (Allocation Number 1696.0413). We also thank Fraser MacDonald, Euan Robertson, Emma Lees and Jonathan Kitchen for their muscle power in the field. We are grateful to two reviewers for their constructive comments on an earlier version of this paper.</t>
  </si>
  <si>
    <t>10.1016/j.palaeo.2016.01.041</t>
  </si>
  <si>
    <t>DH3MT</t>
  </si>
  <si>
    <t>WOS:000372691800001</t>
  </si>
  <si>
    <t>Buck, CB; Van Doorslaer, K; Peretti, A; Geoghegan, EM; Tisza, MJ; An, P; Katz, JP; Pipas, JM; McBride, AA; Camus, AC; McDermott, AJ; Dill, JA; Delwart, E; Ng, TFF; Farkas, K; Austin, C; Kraberger, S; Davison, W; Pastrana, DV; Varsani, A</t>
  </si>
  <si>
    <t>Buck, Christopher B.; Van Doorslaer, Koenraad; Peretti, Alberto; Geoghegan, Eileen M.; Tisza, Michael J.; An, Ping; Katz, Joshua P.; Pipas, James M.; McBride, Alison A.; Camus, Alvin C.; McDermott, Alexa J.; Dill, Jennifer A.; Delwart, Eric; Ng, Terry F. F.; Farkas, Kata; Austin, Charlotte; Kraberger, Simona; Davison, William; Pastrana, Diana V.; Varsani, Arvind</t>
  </si>
  <si>
    <t>The Ancient Evolutionary History of Polyomaviruses</t>
  </si>
  <si>
    <t>PLOS PATHOGENS</t>
  </si>
  <si>
    <t>MERKEL CELL POLYOMAVIRUS; GOOSE HEMORRHAGIC POLYOMAVIRUS; MULTIPLE SEQUENCE ALIGNMENT; AVIAN POLYOMAVIRUS; MOLECULAR PHYLOGENY; DIVERGENCE TIMES; T-ANTIGENS; MIDDLE T; VIRUS; IDENTIFICATION</t>
  </si>
  <si>
    <t>Polyomaviruses are a family of DNA tumor viruses that are known to infect mammals and birds. To investigate the deeper evolutionary history of the family, we used a combination of viral metagenomics, bioinformatics, and structural modeling approaches to identify and characterize polyomavirus sequences associated with fish and arthropods. Analyses drawing upon the divergent new sequences indicate that polyomaviruses have been gradually co-evolving with their animal hosts for at least half a billion years. Phylogenetic analyses of individual polyomavirus genes suggest that some modern polyomavirus species arose after ancient recombination events involving distantly related polyomavirus lineages. The improved evolutionary model provides a useful platform for developing a more accurate taxonomic classification system for the viral family Polyomaviridae.</t>
  </si>
  <si>
    <t>[Buck, Christopher B.; Peretti, Alberto; Geoghegan, Eileen M.; Tisza, Michael J.; Pastrana, Diana V.] NCI, Cellular Oncol Lab, NIH, Bethesda, MD 20892 USA; [Van Doorslaer, Koenraad; McBride, Alison A.] NIAID, Viral Dis Lab, NIH, Bethesda, MD 20892 USA; [An, Ping; Katz, Joshua P.; Pipas, James M.] Univ Pittsburgh, Dept Biol Sci, Pittsburgh, PA 15260 USA; [Camus, Alvin C.; Dill, Jennifer A.] Univ Georgia, Dept Pathol, Athens, GA 30602 USA; [McDermott, Alexa J.] Georgia Aquarium Inc, Dept Anim Hlth, Atlanta, GA USA; [Delwart, Eric; Ng, Terry F. F.] Blood Syst Res Inst, San Francisco, CA USA; [Delwart, Eric; Ng, Terry F. F.] Univ Calif San Francisco, Dept Lab Med, San Francisco, CA 94143 USA; [Farkas, Kata; Austin, Charlotte; Kraberger, Simona; Davison, William; Varsani, Arvind] Univ Canterbury, Sch Biol Sci, Christchurch 1, New Zealand; [Varsani, Arvind] Univ Cape Town, Dept Clin Lab Sci, Struct Biol Res Unit, ZA-7925 Cape Town, South Africa; [Varsani, Arvind] Univ Florida, Dept Plant Pathol, Gainesville, FL 32611 USA; [Varsani, Arvind] Univ Florida, Emerging Pathogens Inst, Gainesville, FL USA; [Ng, Terry F. F.] Ctr Dis Control, DVD, NCIRD, Atlanta, GA 30333 USA</t>
  </si>
  <si>
    <t>National Institutes of Health (NIH) - USA; NIH National Cancer Institute (NCI); National Institutes of Health (NIH) - USA; NIH National Institute of Allergy &amp; Infectious Diseases (NIAID); Pennsylvania Commonwealth System of Higher Education (PCSHE); University of Pittsburgh; University System of Georgia; University of Georgia; Vitalant; Vitalant Research Institute; University of California System; University of California San Francisco; University of Canterbury; University of Cape Town; State University System of Florida; University of Florida; State University System of Florida; University of Florida; Centers for Disease Control &amp; Prevention - USA</t>
  </si>
  <si>
    <t>Buck, CB (corresponding author), NCI, Cellular Oncol Lab, NIH, Bethesda, MD 20892 USA.</t>
  </si>
  <si>
    <t>buckc@mail.nih.gov</t>
  </si>
  <si>
    <t>Ng, Terry Fei Fan/H-5305-2019; Varsani, Arvind/JOZ-5299-2023; Pastrana, Diana/ABD-6830-2020; Farkas, Kata/H-3665-2019; Buck, Christopher/G-8358-2017</t>
  </si>
  <si>
    <t>Ng, Terry Fei Fan/0000-0002-4815-8697; Varsani, Arvind/0000-0003-4111-2415; Farkas, Kata/0000-0002-7068-3228; Buck, Christopher/0000-0003-3165-8094; Tisza, Michael/0000-0003-1168-1617; Katz, Joshua/0000-0001-9781-6038; Kraberger, Simona/0000-0002-7037-9242; Van Doorslaer, Koenraad/0000-0002-2985-0733; McBride, Alison/0000-0001-5607-5157; Geoghegan, Eileen/0000-0003-3068-3503; Pastrana, Diana V./0000-0002-8084-5665; An, Ping/0000-0002-3080-2288</t>
  </si>
  <si>
    <t>National Institutes of Health; National Cancer Institute Center for Cancer Research; National Institute of Allergy and Infectious Disease; Antarctica New Zealand [K057]; National Institute of Allergy and Infectious Diseases [AI109339]; Italian Foundation for Cancer Research (FIRC)</t>
  </si>
  <si>
    <t>National Institutes of Health(United States Department of Health &amp; Human ServicesNational Institutes of Health (NIH) - USA); National Cancer Institute Center for Cancer Research(United States Department of Health &amp; Human ServicesNational Institutes of Health (NIH) - USANIH National Cancer Institute (NCI)); National Institute of Allergy and Infectious Disease(United States Department of Health &amp; Human ServicesNational Institutes of Health (NIH) - USANIH National Institute of Allergy &amp; Infectious Diseases (NIAID)); Antarctica New Zealand; National Institute of Allergy and Infectious Diseases(United States Department of Health &amp; Human ServicesNational Institutes of Health (NIH) - USANIH National Institute of Allergy &amp; Infectious Diseases (NIAID)); Italian Foundation for Cancer Research (FIRC)(Fondazione AIRC per la ricerca sul cancro)</t>
  </si>
  <si>
    <t>This work was funded in part by the National Institutes of Health Intramural Research Program, with support from the National Cancer Institute Center for Cancer Research. AAM and KVD were funded by the Intramural Research Program of the National Institute of Allergy and Infectious Disease. Trematomus pennellii were collected in the Antarctic under the 2011/08R animal ethics permit and the field work was supported by a grant (K057) awarded to WD from Antarctica New Zealand. The Trematomus pennelli molecular work was supported by personal funds of AV. The structural analyses for the large T antigens by PA, JPK and JMP were supported by an R21 grant AI109339 awarded to JMP by National Institute of Allergy and Infectious Diseases. AP is supported by a grant from the Italian Foundation for Cancer Research (FIRC). Aside from the contribution of personal funds by AV, other funders had no role in study design, data collection and analysis, decision to publish, or preparation of the manuscript.</t>
  </si>
  <si>
    <t>1553-7366</t>
  </si>
  <si>
    <t>1553-7374</t>
  </si>
  <si>
    <t>PLOS PATHOG</t>
  </si>
  <si>
    <t>PLoS Pathog.</t>
  </si>
  <si>
    <t>e1005574</t>
  </si>
  <si>
    <t>10.1371/journal.ppat.1005574</t>
  </si>
  <si>
    <t>Microbiology; Parasitology; Virology</t>
  </si>
  <si>
    <t>DP0CZ</t>
  </si>
  <si>
    <t>Green Published, gold, Green Accepted, Green Submitted</t>
  </si>
  <si>
    <t>WOS:000378156900052</t>
  </si>
  <si>
    <t>Luo, W; Li, HR; Gao, SQ; Yu, Y; Lin, L; Zeng, YX</t>
  </si>
  <si>
    <t>Luo, Wei; Li, Huirong; Gao, Shengquan; Yu, Yong; Lin, Ling; Zeng, Yinxin</t>
  </si>
  <si>
    <t>Molecular diversity of microbial eukaryotes in sea water from Fildes Peninsula, King George Island, Antarctica</t>
  </si>
  <si>
    <t>Microbial eukaryotes; Diversity; Illumina MiSeq sequencing; King George Island</t>
  </si>
  <si>
    <t>ROSS SEA; PHAEOCYSTIS-ANTARCTICA; ABUNDANCE; PHYTOPLANKTON; PICOEUKARYOTES; PHYLOGENY; GROWTH; ICE</t>
  </si>
  <si>
    <t>Data on Antarctic coastal sites remain scarce and are generally limited to microscopy; the diversity of coastal Antarctic ecosystems has long been underestimated. The diatom-dominant community in the coastal sea waters of the Fildes Peninsula has been described according to traditional protocols. Molecular diversity of microbial eukaryotes (a parts per thousand currency sign20 A mu m) from Great Wall Cove and Ardley Cove, Fildes Peninsula, has been determined by Illumina MiSeq2000 sequencing. Inferred metabolisms of summer phytoplankton in the two coves are characterised by autotrophy and heterotrophy. The frequent occurrence of such nanoflagellates as dinoflagellates, Cryptophyta, Stramenopiles, Pyramimonas, Telonema, and Cryothecomonas is predicted to be important in these Antarctic coastal communities. Sea water exchange exists between the two coves when high tide occurs, indicating that there appears to be mixing between the microbial communities in the two coves. Cluster analysis of the microbial eukaryote composition at the phylum and genus levels reveals a conservation of the community composition between the two coves. The inner stations of Great Wall Cove represented by three shoal samples (G1, G2, and G3) are clustered closely together, surrounded by islands and formed into a semi-closed body of water. The samples from the outer stations G4 and G5 of Great Wall Cove, which are separated from the other three Great Wall stations, are more similar to the Ardley Cove samples. Sea water exchange between the outer basins might be the effect of their community compositions. The nanoplankton diversity in Great Wall Cove is richer than in Ardley Cove, according to the alpha-diversity index.</t>
  </si>
  <si>
    <t>[Luo, Wei; Li, Huirong; Yu, Yong; Lin, Ling; Zeng, Yinxin] Polar Res Inst China, SOA Key Lab Polar Sci, Shanghai 200136, Peoples R China; [Gao, Shengquan] State Ocean Adm, Lab Marine Ecosyst &amp; Biogeochem, Inst Oceanog 2, Hangzhou 310012, Zhejiang, Peoples R China</t>
  </si>
  <si>
    <t>Polar Research Institute of China</t>
  </si>
  <si>
    <t>Luo, W (corresponding author), Polar Res Inst China, SOA Key Lab Polar Sci, Shanghai 200136, Peoples R China.</t>
  </si>
  <si>
    <t>luowei@pric.org.cn</t>
  </si>
  <si>
    <t>Luo, Wei/0000-0002-4472-2182</t>
  </si>
  <si>
    <t>National High-Tech Research and Development Program of China [2012AA021706, 2013AA065805]; National Natural Science Foundation of China [41376191]; Chinese Polar Environment Comprehensive Investigation and Assessment Program [CHINARE2014-02-01]; Shanghai Rising-Star Program [11QA1407300]</t>
  </si>
  <si>
    <t>National High-Tech Research and Development Program of China(National High Technology Research and Development Program of China); National Natural Science Foundation of China(National Natural Science Foundation of China (NSFC)); Chinese Polar Environment Comprehensive Investigation and Assessment Program; Shanghai Rising-Star Program</t>
  </si>
  <si>
    <t>We appreciate the assistance of the Chinese Arctic and Antarctic Administration who organised the 29th Chinese National Antarctic Research Expedition. This work was supported by the National High-Tech Research and Development Program of China (Grant Nos. 2012AA021706, 2013AA065805), National Natural Science Foundation of China (No. 41376191), Chinese Polar Environment Comprehensive Investigation and Assessment Program (CHINARE2014-02-01), and Shanghai Rising-Star Program (11QA1407300).</t>
  </si>
  <si>
    <t>10.1007/s00300-015-1815-8</t>
  </si>
  <si>
    <t>WOS:000374662100004</t>
  </si>
  <si>
    <t>Carneiro, APB; Manica, A; Phillips, RA</t>
  </si>
  <si>
    <t>Carneiro, Ana P. B.; Manica, Andrea; Phillips, Richard A.</t>
  </si>
  <si>
    <t>Long-term changes in population size, distribution and productivity of skuas (Stercorarius spp.) at Signy Island, South Orkney Islands</t>
  </si>
  <si>
    <t>Breeding success; Population trends; Seabird; Stercorarius spp.; Top predator</t>
  </si>
  <si>
    <t>CATHARACTA-ANTARCTICA-LONNBERGI; KING-GEORGE-ISLAND; BROWN SKUAS; PYGOSCELIS-ANTARCTICA; POLAR SKUA; REPRODUCTIVE CONSEQUENCES; KERGUELEN ARCHIPELAGO; FEEDING TERRITORIES; SHETLAND ISLANDS; SEABIRDS</t>
  </si>
  <si>
    <t>In this study, we investigate the numbers, productivity and territory distribution of the two species of skuas (brown Stercorarius lonnbergi and south polar Stercorarius maccormicki) breeding at Signy Island, South Orkneys, and compare the results with trends elsewhere. Comparison with previous counts indicates a biphasic increase in brown skuas at Signy Island; much faster from 1958/1959 to 1982/1983 (3.3 % per annum), than in subsequent years (0.4 % per annum from 1983/1984 to 2013/2014). Relative distribution of territories has changed little over time. The reduced rate of population growth in recent years was broadly coincident with a decrease in numbers of penguins (and therefore potential prey), which may also explain recent reductions in skua numbers at other Antarctic sites. As prey have become limiting, breeding success of brown skuas at Signy Island is now slightly lower than in the 1950s/early 1960s, but timing of breeding does not appear to have changed. Brown skuas at Signy Island may still have enough resources to start breeding, but as the season progresses and availability of resources declines, chick survival is reduced. South polar skuas have declined from ten pairs in 1982/1983 to one pair in 2013/2014, and mixed pairs have increased from one to three pairs. A review of the literature indicated that although population trend data are available for relatively few sites elsewhere in the subantarctic and Antarctic, numbers of brown skuas appear to be generally decreasing or stable, and of south polar skuas to be stable or increasing.</t>
  </si>
  <si>
    <t>[Carneiro, Ana P. B.; Manica, Andrea] Univ Cambridge, Dept Zool, Downing St, Cambridge CB2 3EJ, England; [Carneiro, Ana P. B.; Phillips, Richard A.] British Antarctic Survey, NERC, Madingley Rd, Cambridge CB3 0ET, England</t>
  </si>
  <si>
    <t>University of Cambridge; UK Research &amp; Innovation (UKRI); Natural Environment Research Council (NERC); NERC British Antarctic Survey</t>
  </si>
  <si>
    <t>Carneiro, APB (corresponding author), Univ Cambridge, Dept Zool, Downing St, Cambridge CB2 3EJ, England.;Carneiro, APB (corresponding author), British Antarctic Survey, NERC, Madingley Rd, Cambridge CB3 0ET, England.</t>
  </si>
  <si>
    <t>ana.bertoldi.carneiro@gmail.com</t>
  </si>
  <si>
    <t>Carneiro, Ana Paula/IQT-6077-2023; Manica, Andrea/N-9013-2019</t>
  </si>
  <si>
    <t>Manica, Andrea/0000-0003-1895-450X</t>
  </si>
  <si>
    <t>Natural Environment Research Council (NERC) Collaborative Gearing Scheme award [CGS-85]; Natural Environment Research Council; Natural Environment Research Council [bas0100035] Funding Source: researchfish; NERC [bas0100035] Funding Source: UKRI</t>
  </si>
  <si>
    <t>Natural Environment Research Council (NERC) Collaborative Gearing Scheme award(UK Research &amp; Innovation (UKRI)Natural Environment Research Council (NERC));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</si>
  <si>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Fieldwork costs were supported by a Natural Environment Research Council (NERC) Collaborative Gearing Scheme (CGS-85) award. This study is part of the Ecosystems component of the British Antarctic Survey Polar Science for Planet Earth Programme, funded by The Natural Environment Research Council.</t>
  </si>
  <si>
    <t>10.1007/s00300-015-1817-6</t>
  </si>
  <si>
    <t>WOS:000374662100005</t>
  </si>
  <si>
    <t>Harder, AM; Halanych, KM; Mahon, AR</t>
  </si>
  <si>
    <t>Harder, Avril M.; Halanych, Kenneth M.; Mahon, Andrew R.</t>
  </si>
  <si>
    <t>Diversity and distribution within the sea spider genus Pallenopsis (Chelicerata: Pycnogonida) in the Western Antarctic as revealed by mitochondrial DNA</t>
  </si>
  <si>
    <t>Sea spiders; Phylogenetics; Southern ocean; Pallenopsidae</t>
  </si>
  <si>
    <t>COLOSSENDEIS-MEGALONYX HOEK; ARTHROPODA PYCNOGONIDA; SPECIES DELIMITATION; CRYPTIC SPECIATION; STATISTICAL TESTS; GENETIC-STRUCTURE; NEUTRALITY; PHYLOGEOGRAPHY; BIOGEOGRAPHY; MORPHOLOGY</t>
  </si>
  <si>
    <t>Pycnogonids are marine arthropods with cosmopolitan and eurybathic distribution. Of the approximately 1300 pycnogonid species described worldwide, over 260 species occur in the Southern Ocean, and over half of those are endemic to the Antarctic. Morphological data suggest circumpolar distributions for multiple Antarctic species; however, recent molecular inquiries into the genetic structure of Antarctic benthic invertebrate populations have revealed varying patterns of genetic connectivity and, in many cases, radiation of morphologically cryptic species incompatible with the previously hypothesized genetic homogeneity for Southern Ocean invertebrates. To date, little is known about genetic connectivity within Antarctic Pallenopsis species populations, and Pallenopsis phylogeny remains poorly resolved. This study describes genetic structure of Pallenopsis populations of western Antarctic coastal regions, the Scotia Arc, Falkland Islands, and Chilean coast. We present the results of analyses derived from the mitochondrial COI gene that demonstrate patterns of connectivity for these populations. Examination of genetic characters has allowed for the identification of divergent mitochondrial lineages within Pallenopsis and will lead to a description of at least one new species. Future sampling and analyses from other areas of the Antarctic coastline will provide a broader context for the phylogeny of Pallenopsis.</t>
  </si>
  <si>
    <t>[Harder, Avril M.; Mahon, Andrew R.] Cent Michigan Univ, Dept Biol, Coll Sci &amp; Technol, 200 Lib Dr, Mt Pleasant, MI 48859 USA; [Halanych, Kenneth M.] Auburn Univ, Dept Biol Sci, Auburn, AL 36849 USA; [Halanych, Kenneth M.] Auburn Univ, Molette Biol Lab Environm &amp; Climate Change Studie, Auburn, AL 36849 USA</t>
  </si>
  <si>
    <t>Central Michigan University; Auburn University System; Auburn University; Auburn University System; Auburn University</t>
  </si>
  <si>
    <t>Mahon, AR (corresponding author), Cent Michigan Univ, Dept Biol, Coll Sci &amp; Technol, 200 Lib Dr, Mt Pleasant, MI 48859 USA.</t>
  </si>
  <si>
    <t>mahon2a@cmich.edu</t>
  </si>
  <si>
    <t>Halanych, Ken M/A-9480-2009; Harder, Avril/AAC-7387-2020</t>
  </si>
  <si>
    <t>Harder, Avril/0000-0001-7371-4002; Mahon, Andrew/0000-0002-5074-8725</t>
  </si>
  <si>
    <t>National Science Foundation [ANT-1043745, PLR-1043670]; AU Marine Biology Program [136]; AU Molette Lab [44]</t>
  </si>
  <si>
    <t>National Science Foundation(National Science Foundation (NSF)); AU Marine Biology Program; AU Molette Lab</t>
  </si>
  <si>
    <t>We thank the staff and crew of the ASRV Laurence M. Gould and the RVIB Nathaniel B. Palmer and the Antarctic Support Company. This work was supported by National Science Foundation Grants (ANT-1043745, PLR-1043670). Additionally, this work represents contribution #136 to the AU Marine Biology Program and is contribution #44 to the AU Molette Lab.</t>
  </si>
  <si>
    <t>10.1007/s00300-015-1823-8</t>
  </si>
  <si>
    <t>WOS:000374662100011</t>
  </si>
  <si>
    <t>Fowler, AC; Kyrke-Smith, TM; Winstanley, HF</t>
  </si>
  <si>
    <t>Fowler, A. C.; Kyrke-Smith, T. M.; Winstanley, H. F.</t>
  </si>
  <si>
    <t>The development of biofilm architecture</t>
  </si>
  <si>
    <t>PROCEEDINGS OF THE ROYAL SOCIETY A-MATHEMATICAL PHYSICAL AND ENGINEERING SCIENCES</t>
  </si>
  <si>
    <t>biofilm architecture; instability; biofilm structure; biofilm pattern</t>
  </si>
  <si>
    <t>PHASE-FIELD MODELS; DRIVEN</t>
  </si>
  <si>
    <t>We extend the one-dimensional polymer solution theory of bacterial biofilm growth described by Winstanley et al. (2011 Proc. R. Soc. A 467, 14491467 (doi:10.1098/rspa. 2010.0327)) to deal with the problem of the growth of a patch of biofilm in more than one lateral dimension. The extension is nontrivial, as it requires consideration of the rheology of the polymer phase. We use a novel asymptotic technique to reduce the model to a free-boundary problem governed by the equations of Stokes flow with non-standard boundary conditions. We then consider the stability of laterally uniform biofilm growth, and show that the model predicts spatial instability; this is confirmed by a direct numerical solution of the governing equations. The instability results in cusp formation at the biofilm surface and provides an explanation for the common observation of patterned biofilm architectures.</t>
  </si>
  <si>
    <t>[Fowler, A. C.; Winstanley, H. F.] Univ Limerick, MACSI, Limerick, Ireland; [Fowler, A. C.] Univ Oxford, OCIAM, Oxford, England; [Kyrke-Smith, T. M.] British Antarctic Survey, Cambridge CB3 0ET, England</t>
  </si>
  <si>
    <t>University of Limerick; University of Oxford; UK Research &amp; Innovation (UKRI); Natural Environment Research Council (NERC); NERC British Antarctic Survey</t>
  </si>
  <si>
    <t>Fowler, AC (corresponding author), Univ Limerick, MACSI, Limerick, Ireland.;Fowler, AC (corresponding author), Univ Oxford, OCIAM, Oxford, England.</t>
  </si>
  <si>
    <t>andrew.fowler@ul.ie</t>
  </si>
  <si>
    <t>Fowler, Andrew/I-5868-2014</t>
  </si>
  <si>
    <t>Fowler, Andrew/0000-0002-2062-6372</t>
  </si>
  <si>
    <t>Science Foundation Ireland [SFI/09/IN.1/I2645, SFI/13/IA/1923]; NERC [bas0100034] Funding Source: UKRI; Natural Environment Research Council [bas0100034] Funding Source: researchfish</t>
  </si>
  <si>
    <t>Science Foundation Ireland(Science Foundation Ireland); NERC(UK Research &amp; Innovation (UKRI)Natural Environment Research Council (NERC)); Natural Environment Research Council(UK Research &amp; Innovation (UKRI)Natural Environment Research Council (NERC))</t>
  </si>
  <si>
    <t>This publication has emanated from research conducted with the financial support of Science Foundation Ireland under grant nos. SFI/09/IN.1/I2645 and SFI/13/IA/1923.</t>
  </si>
  <si>
    <t>1364-5021</t>
  </si>
  <si>
    <t>1471-2946</t>
  </si>
  <si>
    <t>P ROY SOC A-MATH PHY</t>
  </si>
  <si>
    <t>Proc. R. Soc. A-Math. Phys. Eng. Sci.</t>
  </si>
  <si>
    <t>10.1098/rspa.2015.0798</t>
  </si>
  <si>
    <t>DO3ZI</t>
  </si>
  <si>
    <t>Bronze, Green Published, Green Submitted, Green Accepted</t>
  </si>
  <si>
    <t>WOS:000377720900007</t>
  </si>
  <si>
    <t>Mitra, A; Flynn, KJ; Tillmann, U; Raven, JA; Caron, D; Stoecker, DK; Not, F; Hansen, PJ; Hallegraeff, G; Sanders, R; Wilken, S; McManus, G; Johnson, M; Pitta, P; Våge, S; Berge, T; Calbet, A; Thingstad, F; Jeong, HJ; Burkholder, J; Glibert, PM; Granéli, E; Lundgren, V</t>
  </si>
  <si>
    <t>Mitra, Aditee; Flynn, Kevin J.; Tillmann, Urban; Raven, John A.; Caron, David; Stoecker, Diane K.; Not, Fabrice; Hansen, Per J.; Hallegraeff, Gustaaf; Sanders, Robert; Wilken, Susanne; McManus, George; Johnson, Mathew; Pitta, Paraskevi; Vage, Selina; Berge, Terje; Calbet, Albert; Thingstad, Frede; Jeong, Hae Jin; Burkholder, JoAnn; Glibert, Patricia M.; Graneli, Edna; Lundgren, Veronica</t>
  </si>
  <si>
    <t>Defining Planktonic Protist Functional Groups on Mechanisms for Energy and Nutrient Acquisition: Incorporation of Diverse Mixotrophic Strategies</t>
  </si>
  <si>
    <t>PROTIST</t>
  </si>
  <si>
    <t>Plankton functional types (PFTs); phagotroph; phototroph; mixotroph; phytoplankton; microzooplankton</t>
  </si>
  <si>
    <t>RED-TIDE ALGAE; SURFACE WATERS; SARCODINES ACANTHARIA; SPATIAL-DISTRIBUTION; COLONIAL RADIOLARIA; PLASTID RETENTION; MARINE; DINOFLAGELLATE; BACTERIVORY; SYMBIOSIS</t>
  </si>
  <si>
    <t>Arranging organisms into functional groups aids ecological research by grouping organisms (irrespective of phylogenetic origin) that interact with environmental factors in similar ways. Planktonic protists traditionally have been split between photoautotrophic phytoplankton and phagotrophic microzooplankton. However, there is a growing recognition of the importance of mixotrophy in euphotic aquatic systems, where many protists often combine photoautotrophic and phagotrophic modes of nutrition. Such organisms do not align with the traditional dichotomy of phytoplankton and microzooplankton. To reflect this understanding, we propose a new functional grouping of planktonic protists in an ecophysiological context: (i) phagoheterotrophs lacking phototrophic capacity, (ii) photoautotrophs lacking phagotrophic capacity, (iii) constitutive mixotrophs (CMs) as phagotrophs with an inherent capacity for phototrophy, and (iv) non-constitutive mixotrophs (NCMs) that acquire their phototrophic capacity by ingesting specific (SNCM) or general non-specific (GNCM) prey. For the first time, we incorporate these functional groups within a foodweb structure and show, using model outputs, that there is scope for significant changes in trophic dynamics depending on the protist functional type description. Accordingly, to better reflect the role of mixotrophy, we recommend that as important tools for explanatory and predictive research, aquatic food-web and biogeochemical models need to redefine the protist groups within their frameworks. (C) 2016 The Authors. Published by Elsevier GmbH.</t>
  </si>
  <si>
    <t>[Mitra, Aditee; Flynn, Kevin J.] Swansea Univ, Coll Sci, Swansea SA2 8PP, W Glam, Wales; [Tillmann, Urban] Alfred Wegener Inst, Handelshafen 12, D-27570 Bremerhaven, Germany; [Raven, John A.] James Hutton Inst, Univ Dundee, Div Plant Sci, Dundee DD2 5DA, Scotland; [Raven, John A.] Univ Technol Sydney, Plant Funct Biol &amp; Climate Change Cluster, Ultimo, NSW 2007, Australia; [Caron, David] Univ So Calif, Dept Biol Sci, 3616 Trousdale Pkwy, Los Angeles, CA 90089 USA; [Stoecker, Diane K.; Glibert, Patricia M.] Univ Maryland, Horn Point Lab, Ctr Environm Sci, POB 775, Cambridge, MD 21613 USA; [Not, Fabrice] Univ Paris 06, Sorbonne Univ, UMR 7144, Stn Biol Roscoff, CS90074, F-29688 Roscoff, France; [Not, Fabrice] CNRS, Lab Adaptat &amp; Diversite Milieu, UMR 7144, Pl Georges Teissier,CS90074, F-29688 Roscoff, France; [Hansen, Per J.; Berge, Terje] Univ Copenhagen, Marine Biol Sect, Ctr Ocean Life, Strandpromenaden 5, DK-3000 Helsingor, Denmark; [Hallegraeff, Gustaaf] Univ Tasmania, Inst Marine &amp; Antarctic Studies, Private Bag 129, Hobart, Tas 7001, Australia; [Sanders, Robert] Temple Univ, Dept Biol, Philadelphia, PA 19122 USA; [Wilken, Susanne] Monterey Bay Aquarium Res Inst, Moss Landing, CA 95039 USA; [McManus, George] Univ Connecticut, Marine Sci, 1080 Shennecossett Rd, Groton, CT 06340 USA; [Johnson, Mathew] Woods Hole Oceanog Inst, Dept Biol, Woods Hole, MA 02543 USA; [Pitta, Paraskevi] Hellen Ctr Marine Res, Inst Oceanog, POB 2214, Iraklion 71003, Crete, Greece; [Vage, Selina; Thingstad, Frede] Univ Bergen, Dept Biol, POB 7803, N-5020 Bergen, Norway; [Vage, Selina; Thingstad, Frede] Univ Bergen, Hjort Ctr Marine Ecosyst Dynam, POB 7803, N-5020 Bergen, Norway; [Calbet, Albert] CSIC, Inst Ciencies Mar, Ps Maritim Barceloneta 37-49, E-08003 Barcelona, Spain; [Jeong, Hae Jin] Seoul Natl Univ, Coll Nat Sci, Sch Earth &amp; Environm Sci, Seoul 151747, South Korea; [Burkholder, JoAnn] N Carolina State Univ, Ctr Appl Aquat Ecol, Raleigh, NC 27606 USA; [Graneli, Edna] Lund Univ, Inst Biol, Aquat Ecol, Box 118, S-22100 Lund, Sweden; [Graneli, Edna] Florida Gulf Coast Univ, Kapnick Ctr, Naples, FL 34112 USA; [Lundgren, Veronica] Linnaeus Univ, Dept Biol &amp; Environm Sci, Ctr Ecol &amp; Evolut Microbial Model Syst, SE-39231 Kalmar, Sweden</t>
  </si>
  <si>
    <t>Swansea University; Helmholtz Association; Alfred Wegener Institute, Helmholtz Centre for Polar &amp; Marine Research; University of Dundee; James Hutton Institute; University of Technology Sydney; University of Southern California; University System of Maryland; University of Maryland Center for Environmental Science; Sorbonne Universite; Centre National de la Recherche Scientifique (CNRS); University of Copenhagen; University of Tasmania; Pennsylvania Commonwealth System of Higher Education (PCSHE); Temple University; Monterey Bay Aquarium Research Institute; University of Connecticut; Woods Hole Oceanographic Institution; Hellenic Centre for Marine Research; University of Bergen; University of Bergen; Consejo Superior de Investigaciones Cientificas (CSIC); CSIC - Centro Mediterraneo de Investigaciones Marinas y Ambientales (CMIMA); CSIC - Instituto de Ciencias del Mar (ICM); Seoul National University (SNU); North Carolina State University; Lund University; State University System of Florida; Florida Gulf Coast University; Linnaeus University</t>
  </si>
  <si>
    <t>Mitra, A (corresponding author), Swansea Univ, Coll Sci, Swansea SA2 8PP, W Glam, Wales.</t>
  </si>
  <si>
    <t>A.Mitra@swansea.ac.uk</t>
  </si>
  <si>
    <t>Wilken, Susanne/C-4351-2013; Våge, Selina/ABE-3106-2020; McManus, George/AAW-9055-2020; Hansen, Per Juel/AAX-6193-2020; Flynn, Kevin/AAA-3253-2021; Thingstad, Tron Frede/B-2254-2008; Jeong, hae jin/B-8908-2009; Sanders, Robert W./C-1116-2011; Calbet, Albert/A-7779-2008; Glibert, Patricia/AAG-4016-2022; Glibert, Patricia/AFK-5528-2022; stoecker, diane k/F-9341-2013; Raven, John/JFS-3447-2023; glibert, patricia m/G-1026-2013; Johnson, Matthew/B-4344-2012; Hansen, Per Juel/E-9969-2011; Hallegraeff, Gustaaf/C-8351-2013</t>
  </si>
  <si>
    <t>Flynn, Kevin/0000-0001-6913-5884; Thingstad, Tron Frede/0000-0002-5593-819X; Sanders, Robert W./0000-0001-7264-1059; Calbet, Albert/0000-0003-1069-212X; Glibert, Patricia/0000-0001-5690-1674; Glibert, Patricia/0000-0001-5690-1674; Mitra, Aditee/0000-0001-5572-9331; McManus, George/0000-0002-2768-1286; Johnson, Matthew/0000-0003-4853-2674; Jeong, Hae Jin/0000-0003-3310-4335; Wilken, Susanne/0000-0002-3852-557X; Hansen, Per Juel/0000-0003-0228-9621; Berge, Terje/0009-0003-3916-8927; Hallegraeff, Gustaaf/0000-0001-8464-7343</t>
  </si>
  <si>
    <t>Leverhulme Trust [F00391 V]; NERC (UK) [NE/K001345/1]; Natural Environment Research Council [NE/K001876/1, NE/K001345/1] Funding Source: researchfish; Villum Fonden [00007178] Funding Source: researchfish; NERC [NE/K001876/1, NE/K001345/1] Funding Source: UKRI</t>
  </si>
  <si>
    <t>Leverhulme Trust(Leverhulme Trust); NERC (UK)(UK Research &amp; Innovation (UKRI)Natural Environment Research Council (NERC)); Natural Environment Research Council(UK Research &amp; Innovation (UKRI)Natural Environment Research Council (NERC)); Villum Fonden(Villum Fonden); NERC(UK Research &amp; Innovation (UKRI)Natural Environment Research Council (NERC))</t>
  </si>
  <si>
    <t>This work was funded by grants to KJF and AM from the Leverhulme Trust (International Network Grant F00391 V) and NERC (UK) through its iMAR-NET programme NE/K001345/1. The University of Dundee is a registered Scottish charity, number SC015096. AM would like to thank Rohan Mitra-Flynn for his patience and co-operation.</t>
  </si>
  <si>
    <t>ELSEVIER GMBH</t>
  </si>
  <si>
    <t>MUNICH</t>
  </si>
  <si>
    <t>HACKERBRUCKE 6, 80335 MUNICH, GERMANY</t>
  </si>
  <si>
    <t>1434-4610</t>
  </si>
  <si>
    <t>Protist</t>
  </si>
  <si>
    <t>10.1016/j.protis.2016.01.003</t>
  </si>
  <si>
    <t>DK2TG</t>
  </si>
  <si>
    <t>WOS:000374766700002</t>
  </si>
  <si>
    <t>Okuwaki, R; Yagi, Y; Aránguiz, R; González, J; González, G</t>
  </si>
  <si>
    <t>Okuwaki, Ryo; Yagi, Yuji; Aranguiz, Rafael; Gonzalez, Juan; Gonzalez, Gabriel</t>
  </si>
  <si>
    <t>Rupture Process During the 2015 Illapel, Chile Earthquake: Zigzag-Along-Dip Rupture Episodes</t>
  </si>
  <si>
    <t>PURE AND APPLIED GEOPHYSICS</t>
  </si>
  <si>
    <t>2015 Illapel Chile earthquake; Source process; Kinematic waveform inversion; Hybrid backprojection; Subduction zone earthquake; Along-dip rupture propagation</t>
  </si>
  <si>
    <t>HIGH-FREQUENCY RADIATION; ANDEAN SUBDUCTION ZONE; HYBRID BACK-PROJECTION; 1979 IMPERIAL-VALLEY; SOURCE PARAMETERS; STRESS DROP; SLIP; MODEL; FAULT; INVERSION</t>
  </si>
  <si>
    <t>We constructed a seismic source model for the 2015 M (W) 8.3 Illapel, Chile earthquake, which was carried out with the kinematic waveform inversion method adopting a novel inversion formulation that takes into account the uncertainty in the Green's function, together with the hybrid backprojection method enabling us to track the spatiotemporal distribution of high-frequency (0.3-2.0 Hz) sources at high resolution by using globally observed teleseismic P-waveforms. A maximum slip amounted to 10.4 m in the shallow part of the seismic source region centered 72 km northwest of the epicenter and generated a following tsunami inundated along the coast. In a gross sense, the rupture front propagated almost unilaterally to northward from the hypocenter at &lt; 2 km/s, however, in detail the spatiotemporal slip distribution also showed a complex rupture propagation pattern: two up-dip rupture propagation episodes, and a secondary rupture episode may have been triggered by the strong high-frequency radiation event at the down-dip edge of the seismic source region. High-frequency sources tends to be distributed at deeper parts of the slip area, a pattern also documented in other subduction zone megathrust earthquakes that may reflect the heterogeneous distribution of fracture energy or stress drop along the fault. The weak excitation of high-frequency radiation at the termination of rupture may represent the gradual deceleration of rupture velocity at the transition zone of frictional property or stress state between the megathrust rupture zone and the swarm area.</t>
  </si>
  <si>
    <t>[Okuwaki, Ryo] Univ Tsukuba, Grad Sch Life &amp; Environm Sci, 1-1-1 Tennodai, Tsukuba, Ibaraki 3058572, Japan; [Yagi, Yuji] Univ Tsukuba, Fac Life &amp; Environm Sci, 1-1-1 Tennodai, Tsukuba, Ibaraki 3058572, Japan; [Aranguiz, Rafael] Univ Catolica Ssma Concepcion, Dept Civil Engn, Alonso Ribera 2850, Concepcion, Chile; [Gonzalez, Juan; Gonzalez, Gabriel] CONICYT FONDAP 1511007, Ctr Nacl Invest Gest Integrada Desastres Nat, Santiago, Chile; [Gonzalez, Juan; Gonzalez, Gabriel] Univ Catolica Norte, Dept Ciencias Geol, Ave Angamos 0610, Antofagasta, Chile</t>
  </si>
  <si>
    <t>University of Tsukuba; University of Tsukuba; Universidad Catolica de la Santisima Concepcion; Universidad Catolica del Norte</t>
  </si>
  <si>
    <t>Okuwaki, R (corresponding author), Univ Tsukuba, Grad Sch Life &amp; Environm Sci, 1-1-1 Tennodai, Tsukuba, Ibaraki 3058572, Japan.</t>
  </si>
  <si>
    <t>rokuwaki@geol.tsukuba.ac.jp</t>
  </si>
  <si>
    <t>Yagi, Yuji/D-8301-2014; Okuwaki, Ryo/A-1601-2016; Gonzalez, Juan/AAU-8912-2021; Aránguiz, Rafael/U-5918-2019</t>
  </si>
  <si>
    <t>Yagi, Yuji/0000-0001-5327-9277; Okuwaki, Ryo/0000-0001-7149-4763; Gonzalez, Juan/0000-0002-7200-1024; Aranguiz, Rafael/0000-0002-0638-7344</t>
  </si>
  <si>
    <t>KAKENHI from the Japan Society for the Promotion of Science [24310133]; CONICYT grant FONDAP [15110017]; FONDECYT [11140424]; Chile-Japan Joint Project on Enhancement of Technology to Develop Tsunami Resilient Communities; Japan Science and Technology Agency (JST); Japan International Cooperation Agency through its SATREPS initiative; Grants-in-Aid for Scientific Research [16J00298] Funding Source: KAKEN</t>
  </si>
  <si>
    <t>KAKENHI from the Japan Society for the Promotion of Science(Ministry of Education, Culture, Sports, Science and Technology, Japan (MEXT)Japan Society for the Promotion of ScienceGrants-in-Aid for Scientific Research (KAKENHI)); CONICYT grant FONDAP; FONDECYT(Comision Nacional de Investigacion Cientifica y Tecnologica (CONICYT)CONICYT FONDECYT); Chile-Japan Joint Project on Enhancement of Technology to Develop Tsunami Resilient Communities; Japan Science and Technology Agency (JST)(Japan Science &amp; Technology Agency (JST)); Japan International Cooperation Agency through its SATREPS initiative; Grants-in-Aid for Scientific Research(Ministry of Education, Culture, Sports, Science and Technology, Japan (MEXT)Japan Society for the Promotion of ScienceGrants-in-Aid for Scientific Research (KAKENHI))</t>
  </si>
  <si>
    <t>Teleseismic waveforms and the strong motion data from the networks; Antarctic Seismographic Argentinean Italian Network (AI), Canadian National Seismograph Network (CN), GEOSCOPE (G), Global Telemetered Seismograph Network (USAF/USGS, GT), Global Seismograph Network (GSN - IRIS/IDA, II), Global Seismograph Network (GSN IRIS/USGS, IU), and Red Sismologica Nacional (C1) are downloaded through the IRIS-DMC. Figures were generated with the Generic Mapping Tools (WESSEL and SMITH 1998). The authors thank Amato Kasahara and Bogdan Enescu for their valuable comments and suggestions. This work was supported by KAKENHI grant 24310133 from the Japan Society for the Promotion of Science. Chilean researchers would like to thank CONICYT grant FONDAP 15110017, FONDECYT 11140424 and the Chile-Japan Joint Project on Enhancement of Technology to Develop Tsunami Resilient Communities, sponsored by the Japan Science and Technology Agency (JST) and the Japan International Cooperation Agency through its SATREPS initiative. We acknowledge the editor and the two anonymous reviewers for their valuable comments and suggestions, which contribute to the significant improvement of the manuscript.</t>
  </si>
  <si>
    <t>SPRINGER BASEL AG</t>
  </si>
  <si>
    <t>PICASSOPLATZ 4, BASEL, 4052, SWITZERLAND</t>
  </si>
  <si>
    <t>0033-4553</t>
  </si>
  <si>
    <t>1420-9136</t>
  </si>
  <si>
    <t>PURE APPL GEOPHYS</t>
  </si>
  <si>
    <t>Pure Appl. Geophys.</t>
  </si>
  <si>
    <t>10.1007/s00024-016-1271-6</t>
  </si>
  <si>
    <t>DI7UL</t>
  </si>
  <si>
    <t>WOS:000373707400001</t>
  </si>
  <si>
    <t>Abalos, M; Legras, B; Shuckburgh, E</t>
  </si>
  <si>
    <t>Abalos, Marta; Legras, Bernard; Shuckburgh, Emily</t>
  </si>
  <si>
    <t>Interannual variability in effective diffusivity in the upper troposphere/lower stratosphere from reanalysis data</t>
  </si>
  <si>
    <t>QUARTERLY JOURNAL OF THE ROYAL METEOROLOGICAL SOCIETY</t>
  </si>
  <si>
    <t>effective diffusivity; interannual variability; reanalysis; UTLS transport; isentropic mixing</t>
  </si>
  <si>
    <t>QUASI-BIENNIAL OSCILLATION; ANTARCTIC POLAR VORTEX; LOCAL MIXING EVENTS; TROPICAL STRATOSPHERE; ISENTROPIC TRANSPORT; ERA-INTERIM; PART I; MODEL; CIRCULATION; BREAKING</t>
  </si>
  <si>
    <t>The effective diffusivity based on passive tracer advection is used to evaluate the long-term mixing properties for the period 1980-2012 in the lower stratosphere and upper troposphere (UTLS) using data from the ERA-Interim reanalysis. The regions of strongest interannual variability in effective diffusivity coincide with the regions of strong climatological mixing, such as the winter and spring midlatitude stratosphere, the polar lowermost stratosphere and around the edge of the subtropical jets (especially in summer). The annular modes dominate the variability in the winter polar vortices, and the Quasi-Biennial Oscillation in the tropical stratosphere. El Nino/Southern Oscillation modulates the strength of mixing across the subtropical jets, and has a significant impact on mixing in the summer subtropical lower stratosphere. Long-term trends show a vertical shift in the mixing consistent with the effect of ozone depletion on the zonal wind in the austral summer polar stratosphere. Other significant trends include increased mixing in the austral surf zone and a dipolar pattern in the boreal summer and autumn, with mixing increased on the equatorward part of the subtropical jet and reduced just above. The results are highly consistent with those from the JRA-55 reanalysis when the same horizontal resolution is used. The calculations are also qualitatively consistent with effective diffusivity obtained directly from the potential vorticity field and, in the UTLS, they are broadly consistent with those obtained from the ozone field.</t>
  </si>
  <si>
    <t>[Abalos, Marta] Natl Ctr Atmospher Res, POB 3000, Boulder, CO 80307 USA; [Legras, Bernard] Ecole Normale Super, Lab Meteorol Dynam, 24 Rue Lhomond, F-75231 Paris, France; [Shuckburgh, Emily] British Antarctic Survey High Cross, Cambridge, England</t>
  </si>
  <si>
    <t>National Center Atmospheric Research (NCAR) - USA; Sorbonne Universite; Universite PSL; Ecole Normale Superieure (ENS); UK Research &amp; Innovation (UKRI); Natural Environment Research Council (NERC); NERC British Antarctic Survey</t>
  </si>
  <si>
    <t>Abalos, M (corresponding author), Natl Ctr Atmospher Res, POB 3000, Boulder, CO 80307 USA.</t>
  </si>
  <si>
    <t>abalos@ucar.edu</t>
  </si>
  <si>
    <t>Legras, Bernard/AAE-1352-2019; Legras, Bernard/HNI-8473-2023; Abalos, Marta/J-8455-2016</t>
  </si>
  <si>
    <t>Abalos, Marta/0000-0002-1267-5115; Shuckburgh, Emily/0000-0001-9206-3444; Legras, Bernard/0000-0002-3756-7794</t>
  </si>
  <si>
    <t>French National Research Agency [ANR-13-BS06-0011]; Ecole Normale Superieure de Paris; EU [603557]; NERC [bas0100033] Funding Source: UKRI; Agence Nationale de la Recherche (ANR) [ANR-13-BS06-0011] Funding Source: Agence Nationale de la Recherche (ANR); Natural Environment Research Council [bas0100033] Funding Source: researchfish</t>
  </si>
  <si>
    <t>French National Research Agency(Agence Nationale de la Recherche (ANR)); Ecole Normale Superieure de Paris; EU(European Union (EU)); NERC(UK Research &amp; Innovation (UKRI)Natural Environment Research Council (NERC)); Agence Nationale de la Recherche (ANR)(Agence Nationale de la Recherche (ANR)); Natural Environment Research Council(UK Research &amp; Innovation (UKRI)Natural Environment Research Council (NERC))</t>
  </si>
  <si>
    <t>M. Abalos was supported by the project StraDyVariUS of the French National Research Agency (ANR-13-BS06-0011) and by a postdoctoral grant of the Ecole Normale Superieure de Paris. Additional support was provided by the EU seventh framework Program under grant 603557 (StratoClim). We thank the Editor and the anonymous reviewers for the insightful revision. This work has benefited from discussions with J. Gille, A. de la Camara, L. Pan and W. Randel. We acknowledge the ECMWF and the Japanese Meteorological Agency for providing reanalysis data. JRA-55 data were retrieved from the NCAR CISL RDA.</t>
  </si>
  <si>
    <t>0035-9009</t>
  </si>
  <si>
    <t>1477-870X</t>
  </si>
  <si>
    <t>Q J ROY METEOR SOC</t>
  </si>
  <si>
    <t>Q. J. R. Meteorol. Soc.</t>
  </si>
  <si>
    <t>B</t>
  </si>
  <si>
    <t>10.1002/qj.2779</t>
  </si>
  <si>
    <t>DP3LR</t>
  </si>
  <si>
    <t>WOS:000378395500023</t>
  </si>
  <si>
    <t>Brovkin, V; Bruecher, T; Kleinen, T; Zaehle, S; Joos, F; Roth, R; Spahni, R; Schmitt, J; Fischer, H; Leuenberger, M; Stone, EJ; Ridgwell, A; Chappellaz, J; Kehrwald, N; Barbante, C; Blunier, T; Jensen, DD</t>
  </si>
  <si>
    <t>Brovkin, Victor; Bruecher, Tim; Kleinen, Thomas; Zaehle, Sonke; Joos, Fortunat; Roth, Raphael; Spahni, Renato; Schmitt, Jochen; Fischer, Hubertus; Leuenberger, Markus; Stone, Emma J.; Ridgwell, Andy; Chappellaz, Jerome; Kehrwald, Natalie; Barbante, Carlo; Blunier, Thomas; Jensen, Dorthe Dahl</t>
  </si>
  <si>
    <t>Comparative carbon cycle dynamics of the present and last interglacial</t>
  </si>
  <si>
    <t>Carbon cycle; Climate; Models; interglacials; The Holocene; The Eemian; Peatland; Fire; Coral reef</t>
  </si>
  <si>
    <t>VOSTOK ICE CORE; HUMAN LAND-USE; ATMOSPHERIC CO2; GLACIAL-MAXIMUM; HOLOCENE CARBON; SYSTEM MODEL; SEA-SURFACE; INTERMEDIATE COMPLEXITY; TERRESTRIAL BIOSPHERE; ISOTOPE CONSTRAINTS</t>
  </si>
  <si>
    <t>Changes in temperature and carbon dioxide during glacial cycles recorded in Antarctic ice cores are tightly coupled. However, this relationship does not hold for interglacials. While climate cooled towards the end of both the last (Eemian) and present (Holocene) interglacials, CO2 remained stable during the Eemian while rising in the Holocene. We identify and review twelve biogeochemical mechanisms of terrestrial (vegetation dynamics and CO2 fertilization, land use, wildfire, accumulation of peat, changes in permafrost carbon, subaerial volcanic outgassing) and marine origin (changes in sea surface temperature, carbonate compensation to deglaciation and terrestrial biosphere regrowth, shallow-water carbonate sedimentation, changes in the soft tissue pump, and methane hydrates), which potentially may have contributed to the CO2 dynamics during interglacials but which remain not well quantified. We use three Earth System Models (ESMs) of intermediate complexity to compare effects of selected mechanisms on the interglacial CO2 and delta(CO2)-C-13 changes, focusing on those with substantial potential impacts: namely carbonate sedimentation in shallow waters, peat growth, and (in the case of the Holocene) human land use. A set of specified carbon cycle forcings could qualitatively explain atmospheric CO2 dynamics from 8 ka BP to the pre-industrial. However, when applied to Eemian boundary conditions from 126 to 115 ka BP, the same set of forcings led to disagreement with the observed direction of CO2 changes after 122 ka BP. This failure to simulate late-Eemian CO2 dynamics could be a result of the imposed forcings such as prescribed CaCO3 accumulation and/or an incorrect response of simulated terrestrial carbon to the surface cooling at the end of the interglacial. These experiments also reveal that key natural processes of interglacial CO2 dynamics - shallow water CaCO3 accumulation, peat and permafrost carbon dynamics are not well represented in the current ESMs. Global-scale modeling of these long-term carbon cycle components started only in the last decade, and uncertainty in parameterization of these mechanisms is a main limitation in the successful modeling of interglacial CO2 dynamics. (C) 2016 The Authors. Published by Elsevier Ltd. This is an open access article under the CC BY license (http://creativecommons.org/licenses/by/4.0/).</t>
  </si>
  <si>
    <t>[Brovkin, Victor; Bruecher, Tim; Kleinen, Thomas] Max Planck Inst Meteorol, Bundesstr 53, D-20146 Hamburg, Germany; [Zaehle, Sonke] Max Planck Inst Biogeochem, D-07745 Jena, Germany; [Joos, Fortunat; Roth, Raphael; Spahni, Renato; Schmitt, Jochen; Fischer, Hubertus; Leuenberger, Markus] Univ Bern, Inst Phys, Climate &amp; Environm Phys, Bern, Switzerland; [Joos, Fortunat; Roth, Raphael; Spahni, Renato; Schmitt, Jochen; Fischer, Hubertus; Leuenberger, Markus] Univ Bern, Oeschger Ctr Climate Change Res, Bern, Switzerland; [Stone, Emma J.; Ridgwell, Andy] Univ Bristol, Sch Geog Sci, BRIDGE, Bristol BS8 1TH, Avon, England; [Chappellaz, Jerome] Univ Grenoble Alpes, LGGE, F-38000 Grenoble, France; [Chappellaz, Jerome] CNRS, LGGE, F-38000 Grenoble, France; [Kehrwald, Natalie; Barbante, Carlo] Univ Venice, CNR, Inst Dynam Environm Proc, I-30123 Venice, Italy; [Jensen, Dorthe Dahl] Univ Copenhagen, DK-1168 Copenhagen, Denmark; [Bruecher, Tim] GEOMAR Helmholtz Ctr Ocean Res, Kiel, Germany</t>
  </si>
  <si>
    <t>Max Planck Society; Max Planck Society; University of Bern; University of Bern; University of Bristol; Communaute Universite Grenoble Alpes; Universite Grenoble Alpes (UGA); Centre National de la Recherche Scientifique (CNRS); Communaute Universite Grenoble Alpes; Universite Grenoble Alpes (UGA); Consiglio Nazionale delle Ricerche (CNR); Istituto per la Dinamica dei Processi Ambientali (IDPA-CNR); Universita Ca Foscari Venezia; University of Copenhagen; Helmholtz Association; GEOMAR Helmholtz Center for Ocean Research Kiel</t>
  </si>
  <si>
    <t>Brovkin, V (corresponding author), Max Planck Inst Meteorol, Bundesstr 53, D-20146 Hamburg, Germany.</t>
  </si>
  <si>
    <t>victor.brovkin@mpimet.mpg.de</t>
  </si>
  <si>
    <t>Zaehle, Sönke/C-9528-2017; Brovkin, Victor/C-2803-2016; Schmitt, Jochen/B-7893-2009; Leuenberger, Markus C/K-9655-2016; Dahl-Jensen, Dorthe/AAO-6951-2020; Ridgwell, Andy/AAD-9487-2021; Chappellaz, Jérôme A./A-4872-2011; Barbante, Carlo/B-3195-2011; Kehrwald, Natalie M/A-3848-2013; Joos, Fortunat/B-4118-2018; Stone, Emma J/H-9549-2012; Blunier, Thomas/M-4609-2014; Kleinen, Thomas/G-5666-2018; Fischer, Hubertus/A-1211-2014</t>
  </si>
  <si>
    <t>Zaehle, Sönke/0000-0001-5602-7956; Brovkin, Victor/0000-0001-6420-3198; Schmitt, Jochen/0000-0003-4695-3029; Leuenberger, Markus C/0000-0003-4299-6793; Dahl-Jensen, Dorthe/0000-0002-1474-1948; Ridgwell, Andy/0000-0003-2333-0128; Kehrwald, Natalie M/0000-0002-9160-2239; Joos, Fortunat/0000-0002-9483-6030; Stone, Emma J/0000-0002-8633-8074; Blunier, Thomas/0000-0002-6065-7747; Kleinen, Thomas/0000-0001-9550-5164; Brucher, Tim/0000-0003-3345-3252; Barbante, Carlo/0000-0003-4177-2288; Fischer, Hubertus/0000-0002-2787-4221</t>
  </si>
  <si>
    <t>European Union [243908]; Swiss National Science Foundation; NERC [NE/J009350/1] Funding Source: UKRI; Natural Environment Research Council [NE/J009350/1] Funding Source: researchfish</t>
  </si>
  <si>
    <t>European Union(European Union (EU)); Swiss National Science Foundation(Swiss National Science Foundation (SNSF)); NERC(UK Research &amp; Innovation (UKRI)Natural Environment Research Council (NERC)); Natural Environment Research Council(UK Research &amp; Innovation (UKRI)Natural Environment Research Council (NERC))</t>
  </si>
  <si>
    <t>The authors thank Laurent Bopp for providing prototype of Fig. 8. We are grateful to two anonymous reviewers for their useful and constructive comments. The research leading to these results has received funding from the European Union's Seventh Framework programme (FP7/2007-2013) under grant agreement no 243908, Past4Future. Climate change - Learning from the past climate. The division for Climate and Environmental Physics, University of Bern, acknowledges long-term financial support by the Swiss National Science Foundation. This is Past4Future contribution no 88.</t>
  </si>
  <si>
    <t>10.1016/j.quascirev.2016.01.028</t>
  </si>
  <si>
    <t>hybrid, Green Published, Green Submitted</t>
  </si>
  <si>
    <t>WOS:000373547100002</t>
  </si>
  <si>
    <t>Turney, CSM; Palmer, J; Ramsey, CB; Adophi, F; Muscheler, R; Hughen, KA; Staff, RA; Jones, RT; Thomas, ZA; Fogwill, CJ; Hogg, A</t>
  </si>
  <si>
    <t>Turney, Chris S. M.; Palmer, Jonathan; Ramsey, Christopher Bronk; Adophi, Florian; Muscheler, Raimund; Hughen, Konrad A.; Staff, Richard A.; Jones, Richard T.; Thomas, Zoe A.; Fogwill, Christopher J.; Hogg, Alan</t>
  </si>
  <si>
    <t>High-precision dating and correlation of ice, marine and terrestrial sequences spanning Heinrich Event 3: Testing mechanisms of interhemispheric change using New Zealand ancient kauri (Agathis australis)</t>
  </si>
  <si>
    <t>Abrupt climate change; Antarctic Isotope Maximum-4 (AIM4); Atmospheric radiocarbon (C-14); Bipolar seesaw; Extreme events; Tree-ring; Heinrich-3 (H3)</t>
  </si>
  <si>
    <t>NORTH-ATLANTIC; LAST DEGLACIATION; RADIOCARBON CALIBRATION; C-14 CALIBRATION; WARMING EVENTS; CLIMATE-CHANGE; CORE RECORDS; CARBON-CYCLE; TIME SCALES; GREENLAND</t>
  </si>
  <si>
    <t>Robustly testing hypotheses of geographic synchroneity of abrupt and extreme change during the late Pleistocene (60,000 to 11,650 years ago) requires a level of chronological precision often lacking in ice, marine and terrestrial sequences. Here we report a bidecadally-resolved New Zealand kauri (Agathis australis) tree-ring sequence spanning two millennia that preserves a record of atmospheric radiocarbon (C-14) during ice-rafted debris event Heinrich Event 3 (HE3) in the North Atlantic and Antarctic Isotope Maximum 4 (AIM4) in the Southern Hemisphere. Using C-14 in the marine Cariaco Basin and Be-10 preserved in Greenland ice, the kauri C-14 sequence allows us to precisely align sequences across this period. We observe no significant difference between atmospheric and marine C-14 records during HE3, suggesting no stratification of surface waters and collapse in Atlantic Meridional Overturning Circulation (AMOC). Instead our results support recent evidence for a weakened AMOC across at least two millennia of the glacial period. Our work adds to a growing body of literature confirming that Heinrich events are not the cause of stadial cooling and suggests changes in the AMOC were not the primary driver of antiphase temperature trends between the hemispheres. Decadally-resolved C-14 in ancient kauri offers a powerful new (and complementary) approach to polar ice core CH4 alignment for testing hypotheses of abrupt and extreme climate change. (C) 2016 Elsevier Ltd. All rights reserved.</t>
  </si>
  <si>
    <t>[Turney, Chris S. M.; Palmer, Jonathan; Thomas, Zoe A.; Fogwill, Christopher J.] Univ New S Wales, Sch Biol Earth &amp; Environm Sci, Climate Change Res Ctr, Sydney, NSW 2052, Australia; [Ramsey, Christopher Bronk; Staff, Richard A.] Univ Oxford, Res Lab Archaeol &amp; Hist Art, Dyson Perrin Bldg,South Parks Rd, Oxford OX1 3QY, England; [Adophi, Florian; Muscheler, Raimund] Lund Univ, Dept Geol Quaternary Sci, S-22362 Lund, Sweden; [Hughen, Konrad A.] Woods Hole Oceanog Inst, Dept Marine Chem &amp; Geochem, Woods Hole, MA USA; [Jones, Richard T.] Univ Exeter, Dept Geog, Exeter EX4 4RJ, Devon, England; [Hogg, Alan] Univ Waikato, Waikato Radiocarbon Lab, Private Bag 3105, Hamilton, New Zealand</t>
  </si>
  <si>
    <t>University of New South Wales Sydney; University of Oxford; Lund University; Woods Hole Oceanographic Institution; University of Exeter; University of Waikato</t>
  </si>
  <si>
    <t>Turney, CSM (corresponding author), Univ New S Wales, Sch Biol Earth &amp; Environm Sci, Climate Change Res Ctr, Sydney, NSW 2052, Australia.</t>
  </si>
  <si>
    <t>c.turney@unsw.edu.au</t>
  </si>
  <si>
    <t>Fogwill, Chris/AAW-3502-2021; Ramsey, Christopher Bronk/AAQ-2227-2021; Hogg, Alan G/M-8427-2014; Palmer, Jonathan/J-7834-2012; Fogwill, Christopher/HPF-1150-2023; Turney, Chris/P-8701-2018; Thomas, Zoe/D-1656-2016</t>
  </si>
  <si>
    <t>Fogwill, Chris/0000-0002-6471-1106; Ramsey, Christopher Bronk/0000-0002-8641-9309; Palmer, Jonathan/0000-0002-6665-4483; Muscheler, Raimund/0000-0003-2772-3631; Staff, Richard/0000-0002-8634-014X; Turney, Chris/0000-0001-6733-0993; Thomas, Zoe/0000-0002-2323-4366</t>
  </si>
  <si>
    <t>Australian Research Council; ARC [FL100100195]; UK Natural Environment Research Council [NE/H009922/1, NE/H007865/1]; NERC [NE/H007865/1, NE/H009922/1] Funding Source: UKRI; Natural Environment Research Council [NE/H009922/1, NE/H007865/1] Funding Source: researchfish</t>
  </si>
  <si>
    <t>Australian Research Council(Australian Research Council); ARC(Australian Research Council); UK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</si>
  <si>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CSMT thanks the Australian Research Council for the provision of a Laureate Fellowship. This work was part funded by the ARC (FL100100195) and the UK Natural Environment Research Council (NE/H009922/1 and NE/H007865/1).</t>
  </si>
  <si>
    <t>10.1016/j.quascirev.2016.02.005</t>
  </si>
  <si>
    <t>WOS:000373547100010</t>
  </si>
  <si>
    <t>Black, M; Riley, TR; Ferrier, G; Fleming, AH; Fretwell, PT</t>
  </si>
  <si>
    <t>Black, Martin; Riley, Teal R.; Ferrier, Graham; Fleming, Andrew H.; Fretwell, Peter T.</t>
  </si>
  <si>
    <t>Automated lithological mapping using airborne hyperspectral thermal infrared data: A case study from Anchorage Island, Antarctica</t>
  </si>
  <si>
    <t>Hyperspectral; Thermal infrared; Geology; Automated; Mapping; Antarctica</t>
  </si>
  <si>
    <t>REFLECTION RADIOMETER ASTER; EMISSION-SPECTROSCOPY; SENSOR-DATA; NEVADA; CUPRITE; ALGORITHM; IMAGERY; LAND; TEMPERATURE; ROCKS</t>
  </si>
  <si>
    <t>The thermal infrared portion of the electromagnetic spectrum has considerable potential for mineral and lithological mapping of the most abundant rock-forming silicates that do not display diagnostic features at visible and shortwave infrared wavelengths. Lithological mapping using visible and shortwave infrared hyperspectral data is well developed and established processing chains are available, however there is a paucity of such methodologies for hyperspectral thermal infrared data. Here we present a new fully automated processing chain for deriving lithological maps from hyperspectral thermal infrared data and test its applicability using the first ever airborne hyperspectral thermal data collected in the Antarctic. A combined airborne hyperspectral survey, targeted geological field mapping campaign and detailed mineralogical and geochemical datasets are applied to small test site in West Antarctica where the geological relationships are representative of continental margin arcs. The challenging environmental conditions and cold temperatures in the Antarctic meant that the data have a significantly lower signal to noise ratio than is usually attained from airborne hyperspectral sensors. We applied preprocessing techniques to improve the signal to noise ratio and convert the radiance images to ground leaving emissivity. Following preprocessing we developed and applied a fully automated processing chain to the hyperspectral imagery, which consists of the following six steps: (1) superpixel segmentation, (2) determine the number of endmembers, (3) extract endmembers from superpixels, (4) apply fully constrained linear unmixing, (5) generate a predictive classification map, and (6) automatically label the predictive classes to generate a lithological map. The results show that the image processing chain was successful, despite the low signal to noise ratio of the imagery; reconstruction of the hyperspectral image from the endmembers and their fractional abundances yielded a root mean square error of 0.58%. The results are encouraging with the thermal imagery allowing clear distinction between granitoid types. However, the distinction of fine grained, intermediate composition dykes is not possible due to the close geochemical similarity with the country rock. (C) 2016 Elsevier Inc. All rights reserved.</t>
  </si>
  <si>
    <t>[Black, Martin; Riley, Teal R.; Fleming, Andrew H.; Fretwell, Peter T.] British Antarctic Survey, Madingley Rd, Cambridge CB3 0ET, England; [Black, Martin; Ferrier, Graham] Univ Hull, Dept Geog Environm &amp; Earth Sci, Cottingham Rd, Kingston Upon Hull HU6 7RX, N Humberside, England</t>
  </si>
  <si>
    <t>Black, M (corresponding author), 2Excel Aviat, Tiger House,Wellingborough Rd, Northampton NN6 0BN, England.</t>
  </si>
  <si>
    <t>martinblak@2excelaviation.com</t>
  </si>
  <si>
    <t>Black, Martin/0000-0003-2424-5726; Riley, Teal/0000-0002-3333-5021</t>
  </si>
  <si>
    <t>Natural Environment Research Council (NERC); British Antarctic Survey (BAS); University of Hull (NERC) [NE/K50094X/1]; UK Foreign and Commonwealth Office (FCO); [CGS-86]; NERC [bas0100029, fsf010001] Funding Source: UKRI; Natural Environment Research Council [fsf010001, 1246023, bas0100029] Funding Source: researchfish</t>
  </si>
  <si>
    <t>Natural Environment Research Council (NERC)(UK Research &amp; Innovation (UKRI)Natural Environment Research Council (NERC)); British Antarctic Survey (BAS); University of Hull (NERC); UK Foreign and Commonwealth Office (FCO); ; NERC(UK Research &amp; Innovation (UKRI)Natural Environment Research Council (NERC)); Natural Environment Research Council(UK Research &amp; Innovation (UKRI)Natural Environment Research Council (NERC))</t>
  </si>
  <si>
    <t>M Black is funded by a Natural Environment Research Council (NERC) PhD studentship in conjunction with the British Antarctic Survey (BAS) and the University of Hull (NERC Grant: NE/K50094X/1). The hyperspectral survey was funded by the UK Foreign and Commonwealth Office (FCO) and conducted by BAS, ITRES Research Ltd. and Defence Research &amp; Development, Canada (DRDC). Fieldwork was supported by a Collaborative Gearing Scheme Grant (CGS-86). Field spectrometers were provided by the NERC Field Spectroscopy Facility (Loan No. 675.0613) and through Eldon Puckrin, DRDC. We gratefully acknowledge Eldon Puckrin, Stephen Achal and Alex Shipp for their support and assistance during fieldwork, and David Neave, Iris Buisman and Nick Marsh for their assistance with geochemical analysis. Anonymous reviewers are thanked for their comments on earlier versions of this manuscript.</t>
  </si>
  <si>
    <t>10.1016/j.rse.2016.01.022</t>
  </si>
  <si>
    <t>DG9DO</t>
  </si>
  <si>
    <t>WOS:000372383200018</t>
  </si>
  <si>
    <t>Galeotti, S; DeConto, R; Naish, T; Stocchi, P; Florindo, F; Pagani, M; Barrett, P; Bohaty, SM; Lanci, L; Pollard, D; Sandroni, S; Talarico, FM; Zachos, JC</t>
  </si>
  <si>
    <t>Galeotti, Simone; DeConto, Robert; Naish, Timothy; Stocchi, Paolo; Florindo, Fabio; Pagani, Mark; Barrett, Peter; Bohaty, Steven M.; Lanci, Luca; Pollard, David; Sandroni, Sonia; Talarico, Franco M.; Zachos, James C.</t>
  </si>
  <si>
    <t>Antarctic Ice Sheet variability across the Eocene-Oligocene boundary climate transition</t>
  </si>
  <si>
    <t>SCIENCE</t>
  </si>
  <si>
    <t>SEA-LEVEL; VICTORIA LAND; GLACIATION; RECORDS</t>
  </si>
  <si>
    <t>About 34 million years ago, Earth's climate cooled and an ice sheet formed on Antarctica as atmospheric carbon dioxide (CO2) fell below similar to 750 parts per million (ppm). Sedimentary cycles from a drill core in the western Ross Sea provide direct evidence of orbitally controlled glacial cycles between 34 million and 31 million years ago. Initially, under atmospheric CO2 levels of &gt;= 600 ppm, a smaller Antarctic Ice Sheet (AIS), restricted to the terrestrial continent, was highly responsive to local insolation forcing. A more stable, continental-scale ice sheet calving at the coastline did not form until similar to 32.8 million years ago, coincident with the earliest time that atmospheric CO2 levels fell below similar to 600 ppm. Our results provide insight into the potential of the AIS for threshold behavior and have implications for its sensitivity to atmospheric CO2 concentrations above present-day levels.</t>
  </si>
  <si>
    <t>[Galeotti, Simone; Lanci, Luca] Univ Urbino Carlo Bo, Dipartimento Sci Pure &amp; Appl, I-61029 Urbino, Italy; [DeConto, Robert] Univ Massachusetts, Dept Geosci, Amherst, MA 01003 USA; [Naish, Timothy; Barrett, Peter] Victoria Univ Wellington, Antarctic Res Ctr, Wellington, New Zealand; [Naish, Timothy] GNS Sci, POB 30368, Lower Hutt, New Zealand; [Stocchi, Paolo] NIOZ Royal Netherlands Inst Sea Res, Dept Coastal Syst, NL-1790 AB Den Burg, Texel, Netherlands; [Stocchi, Paolo] Univ Utrecht, NL-1790 AB Den Burg, Texel, Netherlands; [Florindo, Fabio] Ist Nazl Geofis &amp; Vulcanol, I-00143 Rome, Italy; [Pagani, Mark] Yale Univ, Dept Geol &amp; Geophys, New Haven, CT USA; [Bohaty, Steven M.] Univ Southampton, Natl Oceanog Ctr, Ocean &amp; Earth Sci, Southampton SO14 3ZH, Hants, England; [Pollard, David] Penn State Univ, Earth Syst Sci Ctr, State Coll, PA USA; [Sandroni, Sonia; Talarico, Franco M.] Univ Siena, Museo Nazl Antartide, Via Laterina 8, I-53100 Siena, Italy; [Talarico, Franco M.] Univ Siena, Dipartimento Sci Fis Terra &amp; Ambiente, Via Laterina 8, I-53100 Siena, Italy; [Zachos, James C.] Univ Calif Santa Cruz, Dept Earth Sci, Santa Cruz, CA 95064 USA</t>
  </si>
  <si>
    <t>University of Urbino; University of Massachusetts System; University of Massachusetts Amherst; Victoria University Wellington; GNS Science - New Zealand; Utrecht University; Royal Netherlands Institute for Sea Research (NIOZ); Utrecht University; Istituto Nazionale Geofisica e Vulcanologia (INGV); Yale University; University of Southampton; NERC National Oceanography Centre; Pennsylvania Commonwealth System of Higher Education (PCSHE); Pennsylvania State University; University of Siena; University of Siena; University of California System; University of California Santa Cruz</t>
  </si>
  <si>
    <t>Galeotti, S (corresponding author), Univ Urbino Carlo Bo, Dipartimento Sci Pure &amp; Appl, I-61029 Urbino, Italy.</t>
  </si>
  <si>
    <t>simone.galeotti@uniurb.it</t>
  </si>
  <si>
    <t>Florindo, Fabio/M-1459-2019; Sandroni, Sonia/C-7188-2008; Zachos, James C/A-7674-2008; Florindo, Fabio/F-4119-2010; Lanci, Luca/J-8823-2015; Florindo, Fabio/AAU-2548-2021; talarico, franco/G-9472-2012</t>
  </si>
  <si>
    <t>Florindo, Fabio/0000-0002-6058-9748; Sandroni, Sonia/0000-0002-7941-7145; Florindo, Fabio/0000-0002-6058-9748; Galeotti, Simone/0000-0001-9636-9344; Naish, Tim/0000-0002-1185-9932; talarico, franco/0000-0002-7254-4301; Stocchi, Paolo/0000-0002-1377-3817</t>
  </si>
  <si>
    <t>Programma Nazionale di Ricerche in Antartide (Italy) [PNRA 2004/4.09]; NSF [ANT-0424589, 1043018, OCE-1202632]; New Zealand Ministry of Business Innovation and Employment [C05X1001]; Directorate For Geosciences; Div Atmospheric &amp; Geospace Sciences [1203910] Funding Source: National Science Foundation; Office of Polar Programs (OPP); Directorate For Geosciences [1043018] Funding Source: National Science Foundation; NERC [NE/L007452/1] Funding Source: UKRI; Natural Environment Research Council [NE/L007452/1] Funding Source: researchfish</t>
  </si>
  <si>
    <t>Programma Nazionale di Ricerche in Antartide (Italy); NSF(National Science Foundation (NSF)); New Zealand Ministry of Business Innovation and Employment(New Zealand Ministry of Business, Innovation and Employment (MBIE)); Directorate For Geosciences; Div Atmospheric &amp; Geospace Sciences(National Science Foundation (NSF)NSF - Directorate for Geosciences (GEO)); Office of Polar Programs (OPP); Directorate For Geosciences(National Science Foundation (NSF)NSF - Directorate for Geosciences (GEO)); NERC(UK Research &amp; Innovation (UKRI)Natural Environment Research Council (NERC)); Natural Environment Research Council(UK Research &amp; Innovation (UKRI)Natural Environment Research Council (NERC))</t>
  </si>
  <si>
    <t>This research is an outcome of a 2-year project (PNRA 2004/4.09) partly funded by Programma Nazionale di Ricerche in Antartide (Italy). Also supported by NSF grants ANT-0424589, 1043018, and OCE-1202632 and by New Zealand Ministry of Business Innovation and Employment contract C05X1001(TN). Data are available from www.pangaea.de/.</t>
  </si>
  <si>
    <t>0036-8075</t>
  </si>
  <si>
    <t>1095-9203</t>
  </si>
  <si>
    <t>Science</t>
  </si>
  <si>
    <t>10.1126/science.aab0669</t>
  </si>
  <si>
    <t>DH8JP</t>
  </si>
  <si>
    <t>WOS:000373039600038</t>
  </si>
  <si>
    <t>Czechowski, P; Clarke, LJ; Breen, J; Cooper, A; Stevens, MI</t>
  </si>
  <si>
    <t>Czechowski, Paul; Clarke, Laurence J.; Breen, Jimmy; Cooper, Alan; Stevens, Mark I.</t>
  </si>
  <si>
    <t>Antarctic eukaryotic soil diversity of the Prince Charles Mountains revealed by high-throughput sequencing</t>
  </si>
  <si>
    <t>SOIL BIOLOGY &amp; BIOCHEMISTRY</t>
  </si>
  <si>
    <t>Antarctic eukaryotes; Environmental DNA; High throughput sequencing (HTS); Biodiversity survey; Antarctica</t>
  </si>
  <si>
    <t>CLIMATE-CHANGE; BIODIVERSITY ASSESSMENT; COMMUNITY ANALYSIS; AMERY OASIS; DRY VALLEYS; DNA; PATTERNS; FUNGI; CLASSIFICATION; EVOLUTION</t>
  </si>
  <si>
    <t>Studies of Antarctic eukaryotes have been hampered by their morphological conservatism, small size and the logistical constraints of remote field work, resulting in a deficiency of baseline biodiversity information about Antarctic terrestrial environments. The application of high throughput sequencing (HTS) in metataxonomic approaches is a promising alternative. Here, we apply such HTS approaches to the hitherto largely unsurveyed micro-eukaryote fauna of the Prince Charles Mountains, East Antarctica. We sequenced 18S rDNA amplicons of twelve Antarctic bulk-soil DNA extracts, retrieved from three sampling regions (four bulk-soil extracts per sampling region). After isolating eukaryotic phylotypes with a stringent filtering approach and initial network visualization, we firstly used rarefied data to compare four alpha diversity metrics between the three regions. Weighted and unweighted inter-sample UniFrac distances were then used for beta diversity comparisons among rarefied data. Furthermore, we analysed the distribution of the most abundant phylotypes and phylotype groups. Lastly, we checked the validity of species-level taxonomic assignments using different sets of reference data in conjunction with two different taxonomy assignment approaches. Phylotype numbers in un-rarefied data compared across regions were lowest for Mount Menzies (73 degrees S; 3330 m), intermediate at Mawson Escarpment (73 degrees S; 807 m) and highest at Lake Terrasovoje (70 degrees S; 173 m), likely due to low biological load at the higher latitude and elevation inland sites. Analysis of rarefied data was difficult due to low sequence coverage particularly from Mount Menzies, but indicated differences in Shannon diversity between Mawson Escarpment and Lake Terrasovoje. PCoA of weighted UniFrac distances between samples from Mawson Escarpment and Lake Terrasovoje indicated changes in community composition in relation to elevation of the sampling locations. The most widespread phylotypes were fungal, followed by non-algal protists. Species-level assignments included known Antarctic taxa in all sampling regions. We show that HIS can provide a rapid survey of the micro-eukaryote fauna to provide baseline biodiversity information for remote, harsh, and hitherto largely unsurveyed environments in the Prince Charles Mountains. (C) 2015 Elsevier Ltd. All rights reserved.</t>
  </si>
  <si>
    <t>[Czechowski, Paul; Clarke, Laurence J.; Breen, Jimmy; Cooper, Alan] Univ Adelaide, Australian Ctr Ancient DNA, Adelaide, SA 5005, Australia; [Clarke, Laurence J.] Australian Antarctic Div, Channel Highway, Kingston, Tas 7050, Australia; [Clarke, Laurence J.] Univ Tasmania, Antarctic Climate &amp; Ecosyst Cooperat Res Ctr, Hobart, Tas 7001, Australia; [Breen, Jimmy] Univ Adelaide, Sch Agr Food &amp; Wine, Adelaide, SA 5005, Australia; [Stevens, Mark I.] S Australian Museum, Adelaide, SA 5000, Australia; [Stevens, Mark I.] Univ S Australia, Sch Pharm &amp; Med Sci, Adelaide, SA 5000, Australia</t>
  </si>
  <si>
    <t>University of Adelaide; Australian Antarctic Division; Antarctic Climate &amp; Ecosystems Cooperative Research Centre (ACE CRC); University of Tasmania; University of Adelaide; University of South Australia</t>
  </si>
  <si>
    <t>Czechowski, P (corresponding author), Univ Adelaide, Australian Ctr Ancient DNA, Adelaide, SA 5005, Australia.</t>
  </si>
  <si>
    <t>paul.czechowski@adelaide.edu.au</t>
  </si>
  <si>
    <t>Clarke, Laurence/N-3579-2017; Czechowski, Paul/M-4749-2019; Breen, Jimmy/HHZ-1361-2022; Cooper, Alan/E-8171-2012</t>
  </si>
  <si>
    <t>Clarke, Laurence/0000-0002-0844-4453; Czechowski, Paul/0000-0001-7894-4042; Breen, Jimmy/0000-0001-6184-0925; Cooper, Alan/0000-0002-7738-7851</t>
  </si>
  <si>
    <t>Australian Antarctic Division [2355]; Australian Research Council [LP0991985]; University of Adelaide through an International Post-Graduate Research Scholarship; crew of Davis Station; Australian Research Council [LP0991985] Funding Source: Australian Research Council</t>
  </si>
  <si>
    <t>Australian Antarctic Division; Australian Research Council(Australian Research Council); University of Adelaide through an International Post-Graduate Research Scholarship; crew of Davis Station; Australian Research Council(Australian Research Council)</t>
  </si>
  <si>
    <t>The Australian Antarctic Division provided funding under science project 2355 to M.S. The Australian Research Council supported this work through funds from linkage grant LP0991985 to A.C. and M.S. The University of Adelaide supported this project through an International Post-Graduate Research Scholarship to P.C. We thank the members of the field party, Tessa Williams, Fiona Shanhun, Adrian Corvino, Josh Scarrow and Nick Morgan. We are grateful for the support provided by the pilots of Helicopter Resources Pty. Ltd (TAS) for their invaluable support during the field campaign. We are indebted for the efforts of Perry Andersen, Michael Denton, and Bob Heath of Kenn Borek Air Ltd. in supporting our field campaign. We appreciate the help and support provided by the crew of Davis Station during the summer field season 2012. We appreciate the support of Alan McKay, Russell Burns, and the laboratory staff of the South Australian Research and Development Institute (SARDI). We thank the members of the Australian Centre for Ancient DNA for helpful comments on the manuscript and analysis. We appreciate the comments of three anonymous reviewers, who helped to improve the manuscript considerably.</t>
  </si>
  <si>
    <t>0038-0717</t>
  </si>
  <si>
    <t>1879-3428</t>
  </si>
  <si>
    <t>SOIL BIOL BIOCHEM</t>
  </si>
  <si>
    <t>Soil Biol. Biochem.</t>
  </si>
  <si>
    <t>10.1016/j.soilbio.2015.12.013</t>
  </si>
  <si>
    <t>Soil Science</t>
  </si>
  <si>
    <t>Agriculture</t>
  </si>
  <si>
    <t>DF7TR</t>
  </si>
  <si>
    <t>WOS:000371561000013</t>
  </si>
  <si>
    <t>Hawes, I; Jungblut, AD; Obryk, MK; Doran, PT</t>
  </si>
  <si>
    <t>Hawes, Ian; Jungblut, Anne D.; Obryk, Maciej K.; Doran, Peter T.</t>
  </si>
  <si>
    <t>Growth dynamics of a laminated microbial mat in response to variable irradiance in an Antarctic lake</t>
  </si>
  <si>
    <t>FRESHWATER BIOLOGY</t>
  </si>
  <si>
    <t>16S rRNA gene; benthic; cyanobacteria; environmental change; Lake Fryxell</t>
  </si>
  <si>
    <t>MCMURDO DRY VALLEYS; ENVIRONMENTAL-CHANGE; ALGAL MATS; HOARE; PHOTOSYNTHESIS; MARINE; PHYTOPLANKTON; COMMUNITIES; PIGMENTS; BONNEY</t>
  </si>
  <si>
    <t>1. Laminated microbial mats are important ecosystem components of perennially ice-covered Antarctic dry valley lakes. In order to understand better their response to changing environment, we made observations and carried out a manipulation experiment to determine their response to variations in irradiance in Lake Hoare (77 degrees 38' S, 162 degrees 53' E). 2. Ice transparency was the most variable parameter that affected benthic light dose, both spatially and between years. Patterns of lamina accrual corresponded to irradiance history, with laminae that were initiated in high transmission years thicker than those from low transmission years. 3. A shading experiment confirmed that accrual of lamina thickness, calcite precipitation and ash-free dry mass were determined by irradiance, but photosynthetic biomass and phototrophic species composition were less affected. 4. Buried laminae decomposed only slowly over time, with potentially viable phototrophs many laminae down into the microbial mat. Decay rate increased only slightly with shading. 5. We conclude that the microbial mats in Lake Hoare are characterised by remarkable stability, with slow accumulation rates and turnover of biomass over time. Photosynthetic biomass and species composition appeared to be stable across long time periods, with interannual variation in lamination pattern due to differential accumulation of extracellular polysaccharide and representing the visible expression of annual growth conditions.</t>
  </si>
  <si>
    <t>[Hawes, Ian] Univ Canterbury, Gateway Antarctica,Private Bag 4800, Christchurch 1, New Zealand; [Jungblut, Anne D.] Nat Hist Museum, Dept Life Sci, Cromwell Rd, London SW7 5BD, England; [Obryk, Maciej K.] Portland State Univ, Portland, OR 97207 USA; [Doran, Peter T.] Louisiana State Univ, Baton Rouge, LA 70803 USA</t>
  </si>
  <si>
    <t>University of Canterbury; Natural History Museum London; Portland State University; Louisiana State University System; Louisiana State University</t>
  </si>
  <si>
    <t>Hawes, I (corresponding author), Univ Canterbury, Gateway Antarctica,Private Bag 4800, Christchurch 1, New Zealand.</t>
  </si>
  <si>
    <t>ian.hawes@canterbury.ac.nz</t>
  </si>
  <si>
    <t>Obryk, Maciej/0000-0002-8182-8656; Hawes, Ian/0000-0003-2471-6903</t>
  </si>
  <si>
    <t>U.S. National Science Foundation via MCM-LTER [0832755, 0096250, 1041742, 1115245]; New Zealand Ministry of Research, Science and Technology [CO1605]; Directorate For Geosciences; Office of Polar Programs (OPP) [0096250, 1115245] Funding Source: National Science Foundation</t>
  </si>
  <si>
    <t>U.S. National Science Foundation via MCM-LTER(National Science Foundation (NSF)); New Zealand Ministry of Research, Science and Technology(New Zealand Foundation for Research, Science and Technology); Directorate For Geosciences; Office of Polar Programs (OPP)(National Science Foundation (NSF)NSF - Directorate for Geosciences (GEO))</t>
  </si>
  <si>
    <t>Funding for this long research came from the U.S. National Science Foundation via the MCM-LTER grant numbers, 0832755, 0096250, 1041742 and 1115245 and from the New Zealand Ministry of Research, Science and Technology through grant CO1605. Logistic support was from the U.S. Antarctic Program and Antarctica New Zealand. We thank the many colleagues who have assisted with this research over many years, particularly the diver support from the McMurdo Station Dive Locker, Robin Ellwood, Richard Costello, Tyler Mackey and Aslan Wright-Stow. LTER colleagues, particularly Dr John Priscu, made long-term monitoring data available and consistently supported this research. We are particularly grateful to the efforts of the editorial team and to two anonymous reviewers whose thoughtful suggestions greatly enhanced the article.</t>
  </si>
  <si>
    <t>0046-5070</t>
  </si>
  <si>
    <t>1365-2427</t>
  </si>
  <si>
    <t>FRESHWATER BIOL</t>
  </si>
  <si>
    <t>Freshw. Biol.</t>
  </si>
  <si>
    <t>10.1111/fwb.12715</t>
  </si>
  <si>
    <t>DG0FI</t>
  </si>
  <si>
    <t>WOS:000371739600004</t>
  </si>
  <si>
    <t>Wang, W; Liu, XC; Zhao, Y; Zheng, GG; Chen, LY</t>
  </si>
  <si>
    <t>Wang, Wei; Liu, Xiaochun; Zhao, Yue; Zheng, Guanggao; Chen, Longyao</t>
  </si>
  <si>
    <t>U-Pb zircon ages and Hf isotopic compositions of metasedimentary rocks from the Grove Subglacial Highlands, East Antarctica: Constraints on the provenance of protoliths and timing of sedimentation and metamorphism</t>
  </si>
  <si>
    <t>Detrital zircon; U-Pb age; Hf isotopes; Provenance; Metamorphism; Grove Subglacial Highlands; East Antarctica</t>
  </si>
  <si>
    <t>PRINCE-CHARLES-MOUNTAINS; AMERY ICE SHELF; PRYDZ-BAY; LARSEMANN HILLS; SM-ND; GHATS BELT; RAUER GROUP; RB-SR; METAVOLCANIC ROCKS; MAWSON-ESCARPMENT</t>
  </si>
  <si>
    <t>To explore the geological evolution of the Grove Subglacial Highlands and their relationship with other terranes in the Prince Charles Mountains-Prydz Bay region of East Antarctica, 10 samples of metasedimentary rock were collected from glacial moraines in the Grove Mountains for zircon U-Pb dating and Hf isotopic analysis. Detrital zircon grains from all rocks have oscillatory zoned magmatic cores and diffusely zoned metamorphic rims. U-Pb ages from the cores are mainly concentrated in six populations: 3.4-3.2, 2.8, 2.6-2.3, 2.2-1.8, 1.8-1.5 and 1.5-0.95 Ga. Their initial stif values are -4.1 to +5.5, -12.5 to +4.9, -12.6 to +3.3, -13.0 to +4.7, -14.2 to +11.0, and -20.5 to +10.0, and their corresponding Hf model ages are 3.7-3.2, 3.4-3.1, 3.2-2.6, 2.9-2.1, 2.7-1.7, and 2.4-1.2 Ga, respectively. The maximum depositional ages of ca. 1090-940 Ma were calculated from the youngest detrital zircon cores of each sample. All age populations and Hf isotopic compositions can be found their provenances in the Prince Charles Mountains-Prydz Bay-Eastern Ghats region, indicating a genetic relationship between the two regions. However, we cannot rule out the possibility that the precursor materials of metasedimentary rocks from the Grove Subglacial Highlands were derived from the southern interior of the East Antarctic Shield (e.g., the Gamburtsev Subglacial Mountains and Vostok Subglacial Highlands). The late Mesoproterozoic/early Neoproterozoic (ca. 990-900 Ma) metamorphic event was not identified in our detrital zircon grains, and all metamorphic zircon rims were dated at ca. 560-540 Ma. This suggests that the collision suture of the late Neoproterozoic/Cambrian Prydz Belt should lie to the south of the Grove Subglacial Highlands. (C) 2016 Elsevier B.V. All rights reserved.</t>
  </si>
  <si>
    <t>[Wang, Wei; Liu, Xiaochun; Zhao, Yue; Zheng, Guanggao; Chen, Longyao] Chinese Acad Geol Sci, Inst Geomech, 11 Minzudaxue Nanlu, Beijing 100081, Peoples R China; [Wang, Wei; Zheng, Guanggao; Chen, Longyao] Peking Univ, Sch Earth &amp; Space Sci, Beijing 100871, Peoples R China</t>
  </si>
  <si>
    <t>China Geological Survey; Chinese Academy of Geological Sciences; Institute of Geomechanics, Chinese Academy of Geological Sciences; Peking University</t>
  </si>
  <si>
    <t>Wang, W; Liu, XC (corresponding author), Chinese Acad Geol Sci, Inst Geomech, 11 Minzudaxue Nanlu, Beijing 100081, Peoples R China.</t>
  </si>
  <si>
    <t>liuxchqw@cags.ac.cn</t>
  </si>
  <si>
    <t>Chinese Polar Environment Comprehensive Investigation &amp; Assessment Programmes [CHINARE2015-02-05]; National Natural Science Foundation of China [41530209]; Geological Investigation Project of the China Geological Survey [12120113019000]</t>
  </si>
  <si>
    <t>Chinese Polar Environment Comprehensive Investigation &amp; Assessment Programmes; National Natural Science Foundation of China(National Natural Science Foundation of China (NSFC)); Geological Investigation Project of the China Geological Survey</t>
  </si>
  <si>
    <t>We would like to thank Junmeng Zhao, Hongbing Liu, Jinyan Li, Yawei Li, Wenqing Yang, Bingkui Miao, Xu Yao, and Yuhao Fei for assistance during fieldwork. Field work was carried out during the 2013-2014 Chinese National Antarctic Research Expedition. We gratefully acknowledge logistical support from the Antarctic Administration of China and financial support from the Chinese Polar Environment Comprehensive Investigation &amp; Assessment Programmes (CHINARE2015-02-05), the National Natural Science Foundation of China (41530209), and the Geological Investigation Project of the China Geological Survey (12120113019000).</t>
  </si>
  <si>
    <t>10.1016/j.precamres.2015.12.018</t>
  </si>
  <si>
    <t>DG1QC</t>
  </si>
  <si>
    <t>WOS:000371841600010</t>
  </si>
  <si>
    <t>Hadley, S; Jones, E; Johnson, C; Wild-Allen, K; Macleod, C</t>
  </si>
  <si>
    <t>Hadley, Scott; Jones, Emlyn; Johnson, Craig; Wild-Allen, Karen; Macleod, Catriona</t>
  </si>
  <si>
    <t>A Bayesian inference approach to account for multiple sources of uncertainty in a macroalgae based integrated multi-trophic aquaculture model</t>
  </si>
  <si>
    <t>ENVIRONMENTAL MODELLING &amp; SOFTWARE</t>
  </si>
  <si>
    <t>Bayesian inference; Macroalgae; IMTA; Sequential Monte Carlo; Particle filter; Aquaculture</t>
  </si>
  <si>
    <t>MACROCYSTIS-PYRIFERA PHAEOPHYTA; PARAMETER-ESTIMATION; NITRATE UPTAKE; GIANT-KELP; GROWTH; IDENTIFICATION; SEAWEED; SYSTEMS</t>
  </si>
  <si>
    <t>A Bayesian inference method was employed to quantify uncertainty in an Integrated Multi-Trophic Aquaculture (IMTA) model. A deterministic model was reformulated as a Bayesian Hierarchical Model (BHM) with uncertainty in the parameters accounted for using prior distributions and unresolved time varying processes modelled using auto-regressive processes. Observations of kelp grown in 3 seeding densities around salmon pens were assimilated using a Sequential Monte Carlo method implemented within the LibBi package. This resulted in a considerable reduction in the variability in model output for both the observed and unobserved state variables. A reduction in variance between the prior and posterior was observed for a subset of model parameters which varied with seeding density. Kullback -Liebler (KL) divergence method showed the reduction in variability of the state and parameters was approximately 90%. A low to medium seeding density results in the most efficient removal of excess nutrients in this simple system. (C) 2016 Elsevier Ltd. All rights reserved.</t>
  </si>
  <si>
    <t>[Hadley, Scott; Johnson, Craig; Macleod, Catriona] Univ Tasmania, Inst Marine &amp; Antarctic Studies, Private Bag 129, Hobart, Tas 7001, Australia; [Jones, Emlyn; Wild-Allen, Karen] CSIRO Marine &amp; Atmospher Res, GPO Box 1538, Hobart, Tas 7001, Australia</t>
  </si>
  <si>
    <t>Wild-Allen, Karen/D-9263-2018; Johnson, Craig R/E-1788-2013; Jones, Emlyn M/D-4525-2011; Macleod, Catriona/J-7176-2014</t>
  </si>
  <si>
    <t>Macleod, Catriona/0000-0002-0539-6361; Jones, Emlyn/0000-0002-7636-288X</t>
  </si>
  <si>
    <t>Fisheries Research and Development Corporation (FRDC) [2011-042]</t>
  </si>
  <si>
    <t>This work received funds from the Fisheries Research and Development Corporation (FRDC), FRDC Project No 2011-042</t>
  </si>
  <si>
    <t>1364-8152</t>
  </si>
  <si>
    <t>1873-6726</t>
  </si>
  <si>
    <t>ENVIRON MODELL SOFTW</t>
  </si>
  <si>
    <t>Environ. Modell. Softw.</t>
  </si>
  <si>
    <t>10.1016/j.envsoft.2015.12.020</t>
  </si>
  <si>
    <t>Computer Science, Interdisciplinary Applications; Engineering, Environmental; Environmental Sciences; Water Resources</t>
  </si>
  <si>
    <t>Computer Science; Engineering; Environmental Sciences &amp; Ecology; Water Resources</t>
  </si>
  <si>
    <t>DF5FS</t>
  </si>
  <si>
    <t>WOS:000371377800010</t>
  </si>
  <si>
    <t>Baronas, JJ; Hammond, DE; Berelson, WM; McManus, J; Severmann, S</t>
  </si>
  <si>
    <t>Baronas, J. Jotautas; Hammond, Douglas E.; Berelson, William M.; McManus, James; Severmann, Silke</t>
  </si>
  <si>
    <t>Germanium-silicon fractionation in a river-influenced continental margin: The Northern Gulf of Mexico</t>
  </si>
  <si>
    <t>SANTA-MONICA BASIN; EARLY DIAGENESIS; MISSISSIPPI RIVER; BIOGENIC SILICA; INORGANIC GERMANIUM; CALIFORNIA BORDERLAND; SEDIMENT ACCUMULATION; SURFACE SEDIMENTS; ANTARCTIC OCEAN; ORGANIC-MATTER</t>
  </si>
  <si>
    <t>In this study we have sampled the water column and sediments of the Gulf of Mexico to investigate the effects of high riverine terrigenous load and sediment redox conditions on the cycling of Ge and Si. Water column Ge/Si ratios across the Gulf of Mexico continental shelf range from 1.9 to 25 mu mol/mol, which is elevated compared to the global ocean value of 0.7 mu mol/mol. The Ge enrichment in the Gulf of Mexico seawater is primarily due to anthropogenic contamination of the Mississippi river, which is the main Ge and Si source to the area, and to a smaller extent due to discrimination against Ge during biogenic silica (bSi) production (Ge/Si = 1.2-1.8 mu mol/mol), especially by radiolarians and siliceous sponges (Ge/Si = 0.6-1.1 mu mol/mol). Most sediment pore waters (Ge/Si = 0.3-4.5 mu mol/mol) and sediment incubation experiments (benthic flux Ge/Si = 0.9-1.2 mu mol/mol) indicate precipitation of authigenic phases that sequester Ge from pore waters (non-opal sink). This process appears to be independent of oxidation-reduction reactions and suggests that authigenic aluminosilicate formation (reverse weathering) may be the dominant Ge sink in marine sediments. Compilation of previously published data shows that in continental margins, non-opal Ge burial flux is controlled by bSi supply, while in open ocean sediments it is 10-100 times lower and most likely limited by the supply of lithogenic material. We provide a measurement-based estimate of the global non-opal Ge burial flux as 4-32 Mmol yr(-1), encompassing the 2-16 Mmol yr(-1) needed to keep the global marine Ge cycle at steady state. (C) 2016 Elsevier Ltd. All rights reserved.</t>
  </si>
  <si>
    <t>[Baronas, J. Jotautas; Hammond, Douglas E.; Berelson, William M.] Univ So Calif, Dept Earth Sci, Los Angeles, CA 90089 USA; [McManus, James] Oregon State Univ, CEOAS, 104 Ocean Admin Bldg, Corvallis, OR 97331 USA; [McManus, James] Univ Akron, Dept Geosci, Akron, OH 44325 USA; [Severmann, Silke] Rutgers State Univ, Dept Marine &amp; Coastal Sci, New Brunswick, NJ 08901 USA</t>
  </si>
  <si>
    <t>University of Southern California; Oregon State University; University System of Ohio; University of Akron; Rutgers University System; Rutgers University New Brunswick</t>
  </si>
  <si>
    <t>Baronas, JJ (corresponding author), 3651 Trousdale Pkwy,Zumberge Hall Sci Rm 117, Los Angeles, CA 90089 USA.</t>
  </si>
  <si>
    <t>baronas@usc.edu</t>
  </si>
  <si>
    <t>McManus, James/GSM-7165-2022; Baronas, J. Jotautas/V-1904-2019</t>
  </si>
  <si>
    <t>Baronas, J. Jotautas/0000-0002-4027-3965; Severmann, Silke/0000-0002-6578-2993</t>
  </si>
  <si>
    <t>NSF [1061700, 1029878, 1029889, 1029739]; Directorate For Geosciences; Division Of Ocean Sciences [1061700] Funding Source: National Science Foundation; Office of Polar Programs (OPP); Directorate For Geosciences [1029739] Funding Source: National Science Foundation; Office of Polar Programs (OPP); Directorate For Geosciences [1029878, 1029889] Funding Source: National Science Foundation</t>
  </si>
  <si>
    <t>NSF(National Science Foundation (NSF)); Directorate For Geosciences; Division Of Ocean Sciences(National Science Foundation (NSF)NSF - Directorate for Geosciences (GEO)); Office of Polar Programs (OPP); Directorate For Geosciences(National Science Foundation (NSF)NSF - Directorate for Geosciences (GEO)); Office of Polar Programs (OPP); Directorate For Geosciences(National Science Foundation (NSF)NSF - Directorate for Geosciences (GEO))</t>
  </si>
  <si>
    <t>The collection of the Gulf of Mexico samples was made possible by the captain, crew, and science team of R/V Endeavor. Jesse Muratli, April Abbott, Joe Jennings, Nick Rollins, and Kanchan Maiti assisted with sampling and analysis. Jim Moffett and Sergio Sanudo-Wilhelmy helped with Ge analyses on ICP-MS. Financial support was provided by NSF Grant No. 1061700 awarded to D.H., NSF Grant No. 1029878 to W.B., NSF Grant No. 1029889 to J.M., and NSF Grant No. 1029739 to S.S. We thank Flip Froelich and two anonymous reviewers for insightful comments that have helped to improve the manuscript, and Dave Johnston is thanked for editorial handling.</t>
  </si>
  <si>
    <t>10.1016/j.gca.2016.01.028</t>
  </si>
  <si>
    <t>DF4PX</t>
  </si>
  <si>
    <t>WOS:000371332900008</t>
  </si>
  <si>
    <t>Toyoda, T; Fujii, Y; Yasuda, T; Usui, N; Ogawa, K; Kuragano, T; Tsujino, H; Kamachi, M</t>
  </si>
  <si>
    <t>Toyoda, Takahiro; Fujii, Yosuke; Yasuda, Tamaki; Usui, Norihisa; Ogawa, Koji; Kuragano, Tsurane; Tsujino, Hiroyuki; Kamachi, Masafumi</t>
  </si>
  <si>
    <t>Data assimilation of sea ice concentration into a global ocean-sea ice model with corrections for atmospheric forcing and ocean temperature fields</t>
  </si>
  <si>
    <t>JOURNAL OF OCEANOGRAPHY</t>
  </si>
  <si>
    <t>Data assimilation; Ocean-sea ice model; Sea ice concentration; Air-ice drag coefficient; Arctic Ocean; Antarctic Ocean; Operational system</t>
  </si>
  <si>
    <t>ARCTIC-OCEAN; STATE ESTIMATION; THICKNESS; MOTION; FLUX; BALANCE; IMPACT; SENSITIVITY; SIMULATION; SALINITY</t>
  </si>
  <si>
    <t>A multivariate data assimilation experiment was conducted in order to improve the global representation of both the ocean and sea ice fields through the inclusion of sea ice concentration (SIC) data. Our method corrects the surface forcing and ocean temperature fields (as well as the SIC field) through the use of three-dimensional variational analysis. The adjustments to surface air temperatures resulting from the SIC assimilation are estimated on the basis of two constraints. First, we assume that the interfacial temperature difference between the surface air and the average value at the top of the grid (which represents a weighted mean according to the relative coverage of sea ice to open water within the grid) is maintained at the pre-assimilation value. Similarly, the vertical temperature structure for each of the five sea ice categories considered here remains unchanged throughout the assimilation. In making the necessary adjustments to upper-layer ocean temperatures, we again adopt a weighting procedure based on the condition that ice-free water temperature must remain the same. Thus, areas containing sea ice are allotted the freezing-point temperature such that the weighted mean value across the grid can be derived. The reproduction of the SIC field in both hemispheres is improved by incorporating the resulting corrections to the surface forcing and ocean temperature values, indicating that these boundary conditions produce results that are more consistent with the corrected SIC field in the sea ice model. The enhanced ocean-sea ice fields provide initial conditions that are better suited for coupled atmosphere-ocean-sea ice prediction experiments.</t>
  </si>
  <si>
    <t>[Toyoda, Takahiro; Fujii, Yosuke; Usui, Norihisa; Kuragano, Tsurane; Tsujino, Hiroyuki; Kamachi, Masafumi] Japan Meteorol Agcy, Meteorol Res Inst, Oceanog &amp; Geochem Res Dept, 1-1 Nagamine, Tsukuba, Ibaraki 3050052, Japan; [Yasuda, Tamaki] Japan Meteorol Agcy, Global Environm &amp; Marine Dept, Tokyo, Japan; [Ogawa, Koji] Japan Meteorol Agcy, Fukuoka Reg Headquarters, Fukuoka, Japan</t>
  </si>
  <si>
    <t>Japan Meteorological Agency; Meteorological Research Institute - Japan; Japan Meteorological Agency; Japan Meteorological Agency</t>
  </si>
  <si>
    <t>Toyoda, T (corresponding author), Japan Meteorol Agcy, Meteorol Res Inst, Oceanog &amp; Geochem Res Dept, 1-1 Nagamine, Tsukuba, Ibaraki 3050052, Japan.</t>
  </si>
  <si>
    <t>ttoyoda@mri-jma.go.jp</t>
  </si>
  <si>
    <t>Usui, Norihisa/0000-0003-0222-2355; Fujii, Yosuke/0000-0002-9230-3134</t>
  </si>
  <si>
    <t>Research Program on Climate Change Adaptation; Green Network of Excellence (GRENE) Arctic Climate Change Research Project of the Ministry of Education, Culture, Sports, Science and Technology of the Japanese government; GCOM RA5 project Retreival of Total Sea Ice Concentration from AMSR-E and AMSR2 Data using Optimal Estimation Techniques of the Japan Aerospace Exploration Agency (JAXA)</t>
  </si>
  <si>
    <t>We are greatly indebted to Dr. J. P. Matthews for reviewing our paper. We thank three anonymous reviewers and Dr. K. Shimada, the editor, for their constructive comments. This work was supported partly by the Research Program on Climate Change Adaptation, the Green Network of Excellence (GRENE) Arctic Climate Change Research Project of the Ministry of Education, Culture, Sports, Science and Technology of the Japanese government and by the GCOM RA5 project Retreival of Total Sea Ice Concentration from AMSR-E and AMSR2 Data using Optimal Estimation Techniques of the Japan Aerospace Exploration Agency (JAXA). The data for this paper are available at the websites of NOAA's National Centers for Environmental Information (for ETOPO5; http://www.ngdc.noaa.gov/mgg/fliers/93mgg01.html), Japan Meteorological Agency (for JRA-25/JCDAS; http://jra.kishou.go.jp/JRA-25/index_en.html), NOAA's National Centers for Environmental Information (for WOD09, GTSPP and WOA09; http://www.nodc.noaa.gov/access/allproducts.html), AVISO (for the altimeter products; http://www.aviso.altimetry.fr/en/data/products/seasurface-height-products/global.html), NEAR-GOOS (for MGDSST and COBE-SST; http://goos.kishou.go.jp/), Polar Science Center (for PHC; http://psc.apl.washington.edu/nonwp_projects/PHC/Climatology.html), and National Snow and Ice Data Center (for sea ice motion vectors and thickness; http://nsidc.org/data).</t>
  </si>
  <si>
    <t>0916-8370</t>
  </si>
  <si>
    <t>1573-868X</t>
  </si>
  <si>
    <t>J OCEANOGR</t>
  </si>
  <si>
    <t>J. Oceanogr.</t>
  </si>
  <si>
    <t>10.1007/s10872-015-0326-0</t>
  </si>
  <si>
    <t>DF5PL</t>
  </si>
  <si>
    <t>WOS:000371404100006</t>
  </si>
  <si>
    <t>Piertney, SB; Black, A; Watt, L; Christie, D; Poncet, S; Collins, MA</t>
  </si>
  <si>
    <t>Piertney, Stuart B.; Black, Andy; Watt, Laura; Christie, Darren; Poncet, Sally; Collins, Martin A.</t>
  </si>
  <si>
    <t>Resolving patterns of population genetic and phylogeographic structure to inform control and eradication initiatives for brown rats Rattus norvegicus on South Georgia</t>
  </si>
  <si>
    <t>eradication; invasion; phylogeography; population genetic; rat; single nucleotide polymorphism; South Georgia</t>
  </si>
  <si>
    <t>HISTORY; INVASIONS; SOFTWARE; PROGRAM; ISLAND; ABC</t>
  </si>
  <si>
    <t>The control and eradication of invasive species is a common management strategy to protect or restore native biodiversity. On South Georgia in the Southern Ocean, the brown rat Rattus norvegicus was brought onto the island with the onset of whaling and sealing activity in the 1800s and has had a significant detrimental impact on key bird species of conservation concern. Efforts to eradicate rats from South Georgia using poisoned bait are ongoing. Despite the South Georgia rat eradication programme being the geographically largest and most ambitious eradication initiative to date, its success is facilitated by the potential that rat populations are effectively isolated by glacial barriers. This allows for localized eradication effort at manageable scales, leading to sequential eradication of individual populations with minimal risk of incursion from neighbouring areas. Here, we use the levels of population genetic divergence estimated from 299 single nucleotide polymorphism (SNP) loci and DNA sequence variation across 993 base pairs of the mitochondrial DNA cytochrome B locus to examine whether rat populations from nine glacially isolated areas on South Georgia are genetically distinct and so can be treated as independent eradication units. Bayesian clustering of individuals based on SNP similarity identified seven different genetic groups, which were confirmed using analyses based on pairwise genetic distance estimates and ordination of individuals using principal coordinate analysis. From a management perspective, these seven groups represent individual targets in baiting operations. Two mtDNA haplotypes were resolved across South Georgia, with a distinct geographical separation between the north-western and south-eastern populations. Approximate Bayesian computation (ABC) was used to identify that this divergence was a consequence of two separate historical colonization events.Synthesis and applications. We illustrate that molecular markers are a valuable tool in species management and pest eradication given that the spatial distribution of genetic diversity can: (i) identify demographically and genetically independent populations on which local eradication effort can be focussed, (ii) distinguish between incomplete eradication and immigration insituations where individuals remain after eradication has been attempted and (iii) identify the source of migrants when dispersal occurs over large spatial scales. We illustrate that molecular markers are a valuable tool in species management and pest eradication given that the spatial distribution of genetic diversity can: (i) identify demographically and genetically independent populations on which local eradication effort can be focussed, (ii) distinguish between incomplete eradication and immigration insituations where individuals remain after eradication has been attempted and (iii) identify the source of migrants when dispersal occurs over large spatial scales.</t>
  </si>
  <si>
    <t>[Piertney, Stuart B.; Watt, Laura] Univ Aberdeen, Inst Biol &amp; Environm Sci, Zool Bldg,Tillydrone Ave, Aberdeen AB24 2TZ, Scotland; [Black, Andy; Christie, Darren; Poncet, Sally; Collins, Martin A.] Govt South Georgia &amp; South Sandwich Islands, Govt House, Stanley, Falkland Island, England</t>
  </si>
  <si>
    <t>University of Aberdeen</t>
  </si>
  <si>
    <t>Piertney, SB (corresponding author), Univ Aberdeen, Inst Biol &amp; Environm Sci, Zool Bldg,Tillydrone Ave, Aberdeen AB24 2TZ, Scotland.</t>
  </si>
  <si>
    <t>s.piertney@abdn.ac.uk</t>
  </si>
  <si>
    <t>Piertney, Stuart B/I-3144-2012; , Martin/ABE-6728-2020; Collins, Martin A/J-8560-2017</t>
  </si>
  <si>
    <t>, Martin/0000-0001-7132-8650; Piertney, Stuart/0000-0001-6654-0569</t>
  </si>
  <si>
    <t>UK Government's Overseas Territories Environmental Programme (OTEP)</t>
  </si>
  <si>
    <t>The project is indebted to Anton Wolfaardt, Darren Peters, Tom Hart, Leigh-Anne Wolfaardt, Mark Tasker and Kalinka Rexer-Huber for their efforts in helping collect samples in sometimes challenging conditions. Funding for the project was supplied by the UK Government's Overseas Territories Environmental Programme (OTEP). Thanks to the Captains and crew of the FPV Pharos SG for deploying and retrieving teams from various field camps around South Georgia and for providing support while ashore. The team would also like to thank the Government Officers and British Antarctic Survey personnel based at King Edward Point (KEP) for their hospitality and support while based at KEP or within Cumberland Bay.</t>
  </si>
  <si>
    <t>10.1111/1365-2664.12589</t>
  </si>
  <si>
    <t>DE9LN</t>
  </si>
  <si>
    <t>WOS:000370959100005</t>
  </si>
  <si>
    <t>de Christo, TM; Fardin, JF; Simonetti, DSL; Encarnaçao, LF; de Alvarez, CE</t>
  </si>
  <si>
    <t>de Christo, Tiago Malavazi; Fardin, Jussara Farias; Lyrio Simonetti, Domingos Savio; Encarnacao, Lucas Frizera; de Alvarez, Cristina Engel</t>
  </si>
  <si>
    <t>Design and analysis of hybrid energy systems: The Brazilian Antarctic Station case</t>
  </si>
  <si>
    <t>RENEWABLE ENERGY</t>
  </si>
  <si>
    <t>Renewable integration; Energy systems design; CHP; Antarctica</t>
  </si>
  <si>
    <t>SANAE-IV BASE</t>
  </si>
  <si>
    <t>This paper presents the design and analysis of a hybrid energy system for an Antarctic Station. The research considered the constraints of the extreme climate, the logistics limitations and the technical assets of the Brazilian Antarctic Station. The thermal and electrical annual profiles of the Station, the spreadsheets of the organic solid waste, and the local measured data of wind and sun were investigated. The application of anaerobic digestion, combined heat and power generation, use of photovoltaic panels and wind turbines were analysed. In the renewables analyses, 25 years of local climatic data were assessed. The influences of air density, temperature and ground reflectance on the renewable generation were also investigated. In order to assess potentials hybrid energy systems for the Brazilian Antarctic Station, possible topologies were organized in groups and then analysed by consumption, performance and feasibility. The methodology supported the identification of an efficient and feasible energy system for the Brazilian Station. The proposed system reached 37% of fuel saves considering the original demand profile of the Station. This work adopted the liter of oil as a currency, thus in any future time the results can be used for financial studies. (C) 2015 Elsevier Ltd. All rights reserved.</t>
  </si>
  <si>
    <t>[de Christo, Tiago Malavazi; Fardin, Jussara Farias; Lyrio Simonetti, Domingos Savio; Encarnacao, Lucas Frizera; de Alvarez, Cristina Engel] Univ Fed Espirito Santo, Av Fernando Ferrari 514, BR-29075910 Vitoria, ES, Brazil</t>
  </si>
  <si>
    <t>Universidade Federal do Espirito Santo</t>
  </si>
  <si>
    <t>de Christo, TM (corresponding author), Univ Fed Espirito Santo, Av Fernando Ferrari 514, BR-29075910 Vitoria, ES, Brazil.</t>
  </si>
  <si>
    <t>tmalavazi@ifes.edu.br</t>
  </si>
  <si>
    <t>Simonetti, Domingos Sávio Lyrio/C-5172-2013; Encarnação, Lucas Frizera/I-1886-2012; de Alvarez, Cristina Engel/J-4629-2012; Fardin, Jussara F/D-3419-2014</t>
  </si>
  <si>
    <t>Simonetti, Domingos Sávio Lyrio/0000-0001-5920-2932; Encarnação, Lucas Frizera/0000-0002-6162-7697;</t>
  </si>
  <si>
    <t>0960-1481</t>
  </si>
  <si>
    <t>RENEW ENERG</t>
  </si>
  <si>
    <t>Renew. Energy</t>
  </si>
  <si>
    <t>10.1016/j.renene.2015.11.014</t>
  </si>
  <si>
    <t>Green &amp; Sustainable Science &amp; Technology; Energy &amp; Fuels</t>
  </si>
  <si>
    <t>Science &amp; Technology - Other Topics; Energy &amp; Fuels</t>
  </si>
  <si>
    <t>DB5OQ</t>
  </si>
  <si>
    <t>WOS:000368563900023</t>
  </si>
  <si>
    <t>Rivas, C; Navarro, N; Huovinen, P; Gómez, I</t>
  </si>
  <si>
    <t>Rivas, C.; Navarro, N.; Huovinen, P.; Gomez, I.</t>
  </si>
  <si>
    <t>Photosynthetic UV stress tolerance of the Antarctic snow alga Chlorella sp modified by enhanced temperature?</t>
  </si>
  <si>
    <t>Antarctica; Snow algae; Chlorella sp; Photosynthesis; UV radiation; Temperature</t>
  </si>
  <si>
    <t>SECONDARY CAROTENOIDS; LIGHT; VULGARIS; SVALBARD; PIGMENT</t>
  </si>
  <si>
    <t>Background: Photosynthetic characteristics and the effect of UV radiation and elevated temperature measured were studied in Chlorella sp. isolated from a snow microalgal community at King George Island, Maritime Antarctica through the chlorophyll florescence (rapid light curves and maximum quantum yield, respectively). The environmental context was monitored through measurements of spectral depth profiles of solar radiation (down to 40 cm) in the snowpack as well as a through continuous recording of temperature and PAR using dataloggers located at different depths (0-30 cm) within the snow column. Results: The photochemistry of Chlorella sp. was affected by UV radiation in a 12-h laboratory exposure under all studied temperatures (5, 10, 15, 20 degrees C): the algae exposed to PAR + UV-A radiation were inhibited by 5.8 % whilst PAR + UV-A + UV-B radiation decreased F-v/F-m by 15.8 %. In both treatments the 12-h recovery after UV exposure was almost complete (80-100 %). Electron transport based P-I curve parameters maximal electron transport rate (ETRmax), photosynthetic efficiency (a) and the saturating irradiance (E-k) no varied in response to different temperatures. Conclusions: Results revealed that Chlorella sp. not only shows high photosynthetic efficiency at ambient conditions, but also exhibits tolerance to solar radiation under higher temperatures and possessing a capacity for recovery after inhibition of photosynthesis by UV radiation.</t>
  </si>
  <si>
    <t>[Rivas, C.; Navarro, N.; Huovinen, P.; Gomez, I.] Univ Austral Chile, Inst Ciencias Marinas &amp; Limnol, Campus Isla Teja S-N, Valdivia, Chile; [Rivas, C.] Univ Austral Chile, Programa Doctorado Ciencias Acuicultura, Valdivia, Chile; [Navarro, N.] Univ Magallanes, Dept Ciencias &amp; Recursos Nat, Punta Arenas, Chile; [Huovinen, P.; Gomez, I.] Ctr FONDAP Invest Ecosistemas Marinos Altas Latit, Punta Arenas, Chile</t>
  </si>
  <si>
    <t>Universidad Austral de Chile; Universidad Austral de Chile; Universidad de Magallanes</t>
  </si>
  <si>
    <t>Rivas, C (corresponding author), Univ Austral Chile, Inst Ciencias Marinas &amp; Limnol, Campus Isla Teja S-N, Valdivia, Chile.;Rivas, C (corresponding author), Univ Austral Chile, Programa Doctorado Ciencias Acuicultura, Valdivia, Chile.</t>
  </si>
  <si>
    <t>claudio.rivas@postgrado.uach.cl</t>
  </si>
  <si>
    <t>Huovinen, Pirjo/0000-0002-7754-4933; Gomez, Ivan/0000-0001-8381-3792</t>
  </si>
  <si>
    <t>Instituto Antartico Chileno (INACh) [DT_09-14]; Conicyt [ANILLO ART1101]</t>
  </si>
  <si>
    <t>Instituto Antartico Chileno (INACh); Conicyt(Comision Nacional de Investigacion Cientifica y Tecnologica (CONICYT))</t>
  </si>
  <si>
    <t>The study was supported by the PhD Grant DT_09-14 from Instituto Antartico Chileno (INACh) and Project ANILLO ART1101, from Conicyt. The logistic support provided by INACh and the collaboration of the staff of Base Julio Escudero Station are greatly acknowledged. This is contribution # 9 of the ANILLO ART1101 project.</t>
  </si>
  <si>
    <t>MAR 31</t>
  </si>
  <si>
    <t>10.1186/s40693-016-0050-1</t>
  </si>
  <si>
    <t>DH8KA</t>
  </si>
  <si>
    <t>WOS:000373040800001</t>
  </si>
  <si>
    <t>Tollefson, J</t>
  </si>
  <si>
    <t>Tollefson, Jeff</t>
  </si>
  <si>
    <t>Trigger seen for Antarctic collapse</t>
  </si>
  <si>
    <t>News Item</t>
  </si>
  <si>
    <t>10.1038/531562a</t>
  </si>
  <si>
    <t>DH8EX</t>
  </si>
  <si>
    <t>WOS:000373027400010</t>
  </si>
  <si>
    <t>Sündermann, F; Fernandez, MP; Morgan, RO</t>
  </si>
  <si>
    <t>Suendermann, Frederik; Fernandez, Maria-Pilar; Morgan, Reginald O.</t>
  </si>
  <si>
    <t>An evolutionary roadmap to the microtubule-associated protein MAP Tau</t>
  </si>
  <si>
    <t>Microtubule associated protein Tau (MAPT protein, MAPT gene); Microtubule binding domain; Gene phylogeny; Molecular evolution; Profile hidden Markov models; Saitohin (STH); Domain architecture; Structure-function prediction</t>
  </si>
  <si>
    <t>ALZHEIMERS-DISEASE; GENE; AGGREGATION; IDENTIFICATION; GENERATION; MODEL; PHOSPHORYLATION; ADAPTATION; EXPRESSION; MECHANISM</t>
  </si>
  <si>
    <t>Background: The microtubule associated protein Tau (MAPT) promotes assembly and interaction of microtubules with the cytoskeleton, impinging on axonal transport and synaptic plasticity. Its neuronal expression and intrinsic disorder implicate it in some 30 tauopathies such as Alzheimer's disease and frontotemporal dementia. These pathophysiological studies have yet to be complemented by computational analyses of its molecular evolution and structural models of all its functional domains to explain the molecular basis for its conservation profile, its site-specific interactions and the propensity to conformational disorder and aggregate formation. Results: We systematically annotated public sequence data to reconstruct unspliced MAPT, MAP2 and MAP4 transcripts spanning all represented genomes. Bayesian and maximum likelihood phylogenetic analyses, genetic linkage maps and domain architectures distinguished a nonvertebrate outgroup from the emergence of MAP4 and its subsequent ancestral duplication to MAP2 and MAPT. These events were coupled to other linked genes such as KANSL1L and KANSL and may thus be consequent to large-scale chromosomal duplications originating in the extant vertebrate genomes of hagfish and lamprey. Profile hidden Markov models (pHMMs), clustered subalignments and 3D structural predictions defined potential interaction motifs and specificity determining sites to reveal distinct signatures between the four homologous microtubule binding domains and independent divergence of the amino terminus. Conclusion: These analyses clarified ambiguities of MAPT nomenclature, defined the order, timing and pattern of its molecular evolution and identified key residues and motifs relevant to its protein interaction properties and pathogenic role. Additional unexpected findings included the expansion of cysteine-containing, microtubule binding domains of MAPT in cold adapted Antarctic icefish and the emergence of a novel multiexonic saitohin (STH) gene from repetitive elements in MAPT intron 11 of certain primate genomes.</t>
  </si>
  <si>
    <t>[Suendermann, Frederik] Univ Osnabruck, Dept Neurobiol, Osnabruck, Germany; [Fernandez, Maria-Pilar; Morgan, Reginald O.] Univ Oviedo, Fac Med, Dept Biochem &amp; Mol Biol, Edificio Santiago Gascon 4-3, E-33006 Oviedo, Spain</t>
  </si>
  <si>
    <t>University Osnabruck; University of Oviedo</t>
  </si>
  <si>
    <t>Morgan, RO (corresponding author), Univ Oviedo, Fac Med, Dept Biochem &amp; Mol Biol, Edificio Santiago Gascon 4-3, E-33006 Oviedo, Spain.</t>
  </si>
  <si>
    <t>morganreginald@uniovi.es</t>
  </si>
  <si>
    <t>Morgan, Reginald O./Q-6447-2019</t>
  </si>
  <si>
    <t>Morgan, Reginald O./0000-0002-2059-792X</t>
  </si>
  <si>
    <t>DAAD (Deutscher Akademischer Austauschdienst); Ministerio de Educacion y Ciencia [BFU2007-67876]; Principado de Asturias [SV-PA-13-ECOEMP-69, GRUPIN14-097]; Lichtenberg fellowship of the state of Lower Saxony</t>
  </si>
  <si>
    <t>DAAD (Deutscher Akademischer Austauschdienst)(Deutscher Akademischer Austausch Dienst (DAAD)); Ministerio de Educacion y Ciencia(Spanish Government); Principado de Asturias(Principality of Asturias); Lichtenberg fellowship of the state of Lower Saxony</t>
  </si>
  <si>
    <t>The work was financed by the DAAD (Deutscher Akademischer Austauschdienst) and performed as part of the IPID (International Promovieren in Deutschland) doctoral student exchange program from the University of Osnabruck to the host University of Oviedo where this study was carried out. Spanish grants were from the Ministerio de Educacion y Ciencia REF: (BFU2007-67876) and the Principado de Asturias (SV-PA-13-ECOEMP-69 and GRUPIN14-097). Frederik Sundermann was the recipient of a Lichtenberg fellowship of the state of Lower Saxony. The project was supported with computing time by the HLRN (Norddeutscher Verbund fur Hoch-und Hochstleistungsrechnen) and the UV2000/GPU cluster at the computing center of the University Osnabruck.</t>
  </si>
  <si>
    <t>10.1186/s12864-016-2590-9</t>
  </si>
  <si>
    <t>DI5SD</t>
  </si>
  <si>
    <t>WOS:000373558800001</t>
  </si>
  <si>
    <t>Lopatina, A; Medvedeva, S; Shmakov, S; Logacheva, MD; Krylenkov, V; Severinov, K</t>
  </si>
  <si>
    <t>Lopatina, Anna; Medvedeva, Sofia; Shmakov, Sergey; Logacheva, Maria D.; Krylenkov, Vjacheslav; Severinov, Konstantin</t>
  </si>
  <si>
    <t>Metagenomic Analysis of Bacterial Communities of Antarctic Surface Snow</t>
  </si>
  <si>
    <t>FRONTIERS IN MICROBIOLOGY</t>
  </si>
  <si>
    <t>CRISPR; Antarctica; microbial diversity; genetics; metagenomics</t>
  </si>
  <si>
    <t>CRISPR-CAS SYSTEMS; 16S RDNA LIBRARIES; DIVERSITY; COVER; CLASSIFICATION; DEGRADATION; RESISTANCE; EVOLUTION; SEQUENCES; IMMUNITY</t>
  </si>
  <si>
    <t>The diversity of bacteria present in surface snow around four Russian stations in Eastern Antarctica was studied by high throughput sequencing of amplified 16S rRNA gene fragments and shotgun metagenomic sequencing. Considerable class- and genus-level variation between the samples was revealed indicating a presence of inter-site diversity of bacteria in Antarctic snow. Flavobacterium was a major genus in one sampling site and was also detected in other sites. The diversity of flavobacterial type II-C CRISPR spacers in the samples was investigated by metagenome sequencing. Thousands of unique spacers were revealed with less than 35% overlap between the sampling sites, indicating an enormous natural variety of flavobacterial CRISPR spacers and, by extension, high level of adaptive activity of the corresponding CRISPR-Cas system. None of the spacers matched known spacers of flavobacterial isolates from the Northern hemisphere. Moreover, the percentage of spacers with matches with Antarctic metagenomic sequences obtained in this work was significantly higher than with sequences from much larger publically available environmental metagenomic database. The results indicate that despite the overall very high level of diversity, Antarctic Flavobacteria comprise a separate pool that experiences pressures from mobile genetic elements different from those present in other parts of the world. The results also establish analysis of metagenomic CRISPR spacer content as a powerful tool to study bacterial populations diversity.</t>
  </si>
  <si>
    <t>[Lopatina, Anna; Severinov, Konstantin] Russian Acad Sci, Dept Mol Genet Cell, Inst Mol Genet, Moscow, Russia; [Lopatina, Anna; Medvedeva, Sofia] Russian Acad Sci, Dept Mol Genet Microorganisms, Inst Gene Biol, Moscow, Russia; [Lopatina, Anna; Severinov, Konstantin] St Petersburg State Polytech Univ, Res Complex Nanobiotechnol, St Petersburg, Russia; [Medvedeva, Sofia; Shmakov, Sergey; Severinov, Konstantin] Skolkovo Inst Sci &amp; Technol, Ctr Data Intens Biomed &amp; Biotechnol, Skolkovo, Russia; [Logacheva, Maria D.] Moscow MV Lomonosov State Univ, Belozersky Inst Physicochem Biol, Moscow, Russia; [Krylenkov, Vjacheslav] St Petersburg State Univ, Dept Bot, St Petersburg 199034, Russia</t>
  </si>
  <si>
    <t>Russian Academy of Sciences; Russian Academy of Sciences; Institute of Gene Biology (IGB) of Russian Academy of Sciences; Peter the Great St. Petersburg Polytechnic University; Skolkovo Institute of Science &amp; Technology; Lomonosov Moscow State University; Saint Petersburg State University</t>
  </si>
  <si>
    <t>Severinov, K (corresponding author), Russian Acad Sci, Dept Mol Genet Cell, Inst Mol Genet, Moscow, Russia.;Severinov, K (corresponding author), St Petersburg State Polytech Univ, Res Complex Nanobiotechnol, St Petersburg, Russia.;Severinov, K (corresponding author), Skolkovo Inst Sci &amp; Technol, Ctr Data Intens Biomed &amp; Biotechnol, Skolkovo, Russia.</t>
  </si>
  <si>
    <t>severik@waksman.rutgers.edu</t>
  </si>
  <si>
    <t>Logacheva, Maria/K-5217-2012; Severinov, Konstantin/C-8545-2016; Lopatina, Anna/JAX-4118-2023; Lopatina, Anna/HNO-9719-2023; Medvedeva, Sofia/AAE-9287-2019</t>
  </si>
  <si>
    <t>Medvedeva, Sofia/0000-0002-7841-0814; Lopatina, Anna/0000-0002-3484-6819</t>
  </si>
  <si>
    <t>foundation of Ministry of education and science of the Russian Federation [14.B25.31.0004]; Russian Science Foundation [14-14-00988]; Russian Science Foundation [14-14-00988] Funding Source: Russian Science Foundation</t>
  </si>
  <si>
    <t>foundation of Ministry of education and science of the Russian Federation; Russian Science Foundation(Russian Science Foundation (RSF)); Russian Science Foundation(Russian Science Foundation (RSF))</t>
  </si>
  <si>
    <t>This work was supported by foundation of Ministry of education and science of the Russian Federation (No14.B25.31.0004) and by Russian Science Foundation (No14-14-00988). The funders had no role in study design, data collection and interpretation, or the decision to submit the work for publication.</t>
  </si>
  <si>
    <t>FRONTIERS MEDIA SA</t>
  </si>
  <si>
    <t>LAUSANNE</t>
  </si>
  <si>
    <t>AVENUE DU TRIBUNAL FEDERAL 34, LAUSANNE, CH-1015, SWITZERLAND</t>
  </si>
  <si>
    <t>1664-302X</t>
  </si>
  <si>
    <t>FRONT MICROBIOL</t>
  </si>
  <si>
    <t>Front. Microbiol.</t>
  </si>
  <si>
    <t>10.3389/fmicb.2016.00398</t>
  </si>
  <si>
    <t>DI1SN</t>
  </si>
  <si>
    <t>WOS:000373276200003</t>
  </si>
  <si>
    <t>DeConto, RM; Pollard, D</t>
  </si>
  <si>
    <t>DeConto, Robert M.; Pollard, David</t>
  </si>
  <si>
    <t>Contribution of Antarctica to past and future sea-level rise</t>
  </si>
  <si>
    <t>GREENLAND ICE-SHEET; WEST ANTARCTICA; OUTLET GLACIERS; ATMOSPHERIC CO2; PINE ISLAND; MODEL; COLLAPSE; OCEAN; DRIVEN; PLEISTOCENE</t>
  </si>
  <si>
    <t>Polar temperatures over the last several million years have, at times, been slightly warmer than today, yet global mean sea level has been 6-9 metres higher as recently as the Last Interglacial (130,000 to 115,000 years ago) and possibly higher during the Pliocene epoch (about three million years ago). In both cases the Antarctic ice sheet has been implicated as the primary contributor, hinting at its future vulnerability. Here we use a model coupling ice sheet and climate dynamics-including previously underappreciated processes linking atmospheric warming with hydrofracturing of buttressing ice shelves and structural collapse of marine-terminating ice cliffs-that is calibrated against Pliocene and Last Interglacial sea-level estimates and applied to future greenhouse gas emission scenarios. Antarctica has the potential to contribute more than a metre of sea-level rise by 2100 and more than 15 metres by 2500, if emissions continue unabated. In this case atmospheric warming will soon become the dominant driver of ice loss, but prolonged ocean warming will delay its recovery for thousands of years.</t>
  </si>
  <si>
    <t>[DeConto, Robert M.] Univ Massachusetts, Dept Geosci, Amherst, MA 01003 USA; [Pollard, David] Penn State Univ, Earth &amp; Environm Syst Inst, University Pk, PA 16802 USA</t>
  </si>
  <si>
    <t>University of Massachusetts System; University of Massachusetts Amherst; Pennsylvania Commonwealth System of Higher Education (PCSHE); Pennsylvania State University; Pennsylvania State University - University Park</t>
  </si>
  <si>
    <t>DeConto, RM (corresponding author), Univ Massachusetts, Dept Geosci, Amherst, MA 01003 USA.</t>
  </si>
  <si>
    <t>deconto@geo.umass.edu</t>
  </si>
  <si>
    <t>NSF [OCE 1202632 PLIOMAX, AGS 1203910/1203792]; Directorate For Geosciences; Div Atmospheric &amp; Geospace Sciences [1203910] Funding Source: National Science Foundation; Office of Polar Programs (OPP); Directorate For Geosciences [1443190] Funding Source: National Science Foundation; Office of Polar Programs (OPP); Directorate For Geosciences [1443394, 1417886] Funding Source: National Science Foundation</t>
  </si>
  <si>
    <t>NSF(National Science Foundation (NSF)); Directorate For Geosciences; Div Atmospheric &amp; Geospace Sciences(National Science Foundation (NSF)NSF - Directorate for Geosciences (GEO)); Office of Polar Programs (OPP); Directorate For Geosciences(National Science Foundation (NSF)NSF - Directorate for Geosciences (GEO)); Office of Polar Programs (OPP); Directorate For Geosciences(National Science Foundation (NSF)NSF - Directorate for Geosciences (GEO))</t>
  </si>
  <si>
    <t>We thank C. Shields at NCAR for providing CCSM4 ocean model data. NCAR is sponsored by the NSF. We also thank R. Kopp for providing LIG sea-level data, and R. Alley, A. Dutton, and M. Raymo for discussions. This research was supported by the NSF under awards OCE 1202632 PLIOMAX project and AGS 1203910/1203792.</t>
  </si>
  <si>
    <t>10.1038/nature17145</t>
  </si>
  <si>
    <t>WOS:000373027400029</t>
  </si>
  <si>
    <t>Levy, R; Harwood, D; Florindo, F; Sangiorgi, F; Tripati, R; von Eynatten, H; Gasson, E; Kuhn, G; Tripati, A; DeConto, R; Fielding, C; Field, B; Golledge, N; Mckay, R; Naish, T; Olney, M; Pollard, D; Schouten, S; Talarico, F; Warny, S; Willmott, V; Acton, G; Panter, K; Paulsen, T; Taviani, M; Askin, R; Atkins, C; Bassett, K; Beu, A; Brian, B; Browne, G; Ceregato, A; Cody, R; Cornamusini, G; Corrado, S; Del Carlo, P; Di Vincenzo, G; Dunbar, G; Frank, T; Falk, C; Giorgetti, G; Grelle, T; Gui, Z; Handwerger, D; Hannah, M; Harwood, DM; Hauptvogel, D; Hayden, T; Henrys, S; Hoffmann, S; Iacoviello, F; Ishman, S; Jarrard, R; Johnson, K; Jovane, L; Judge, S; Kominz, M; Konfirst, M; Krissek, L; Lacy, L; Maffioli, P; Magens, D; Marcano, MC; Millan, C; Mohr, B; Montone, P; Mukasa, S; Niessen, F; Ohneiser, C; Passchier, S; Patterson, M; Pekar, S; Pierdominici, S; Raine, I; Reed, J; Reichelt, L; Riesselman, C; Rocchi, S; Sagnotti, L; Sandroni, S; Schmitt, D; Speece, M; Storey, B; Strada, E; Tuzzi, E; Verosub, K; Wilson, G; Wilson, T; Wonik, T; Zattin, M</t>
  </si>
  <si>
    <t>Levy, Richard; Harwood, David; Florindo, Fabio; Sangiorgi, Francesca; Tripati, Robert; von Eynatten, Hilmar; Gasson, Edward; Kuhn, Gerhard; Tripati, Aradhna; DeConto, Robert; Fielding, Christopher; Field, Brad; Golledge, Nicholas; McKay, Robert; Naish, Timothy; Olney, Matthew; Pollard, David; Schouten, Stefan; Talarico, Franco; Warny, Sophie; Willmott, Veronica; Acton, Gary; Panter, Kurt; Paulsen, Timothy; Taviani, Marco; Askin, Rosemary; Atkins, Clifford; Bassett, Kari; Beu, Alan; Brian, Blackstone; Browne, Gregory; Ceregato, Alessandro; Cody, Rosemary; Cornamusini, Gianluca; Corrado, Sveva; Del Carlo, Paola; Di Vincenzo, Gianfranco; Dunbar, Gavin; Frank, Tracy; Falk, Candice; Giorgetti, Giovanna; Grelle, Thomas; Gui, Zi; Handwerger, David; Hannah, Michael; Harwood, David M.; Hauptvogel, Dan; Hayden, Travis; Henrys, Stuart; Hoffmann, Stefan; Iacoviello, Francesco; Ishman, Scott; Jarrard, Richard; Johnson, Katherine; Jovane, Luigi; Judge, Shelley; Kominz, Michelle; Konfirst, Matthew; Krissek, Lawrence; Lacy, Laura; Maffioli, Paola; Magens, Diana; Marcano, Maria C.; Millan, Cristina; Mohr, Barbara; Montone, Paola; Mukasa, Samuel; Niessen, Frank; Ohneiser, Christian; Passchier, Sandra; Patterson, Molly; Pekar, Stephen; Pierdominici, Simona; Raine, Ian; Reed, Joshua; Reichelt, Lucia; Riesselman, Christina; Rocchi, Sergio; Sagnotti, Leonardo; Sandroni, Sonia; Schmitt, Douglas; Speece, Marvin; Storey, Bryan; Strada, Eleonora; Tuzzi, Eva; Verosub, Kenneth; Wilson, Gary; Wilson, Terry; Wonik, Thomas; Zattin, Massimiliano</t>
  </si>
  <si>
    <t>SMS Sci Team</t>
  </si>
  <si>
    <t>Antarctic ice sheet sensitivity to atmospheric CO2 variations in the early to mid-Miocene</t>
  </si>
  <si>
    <t>Antarctica; ice sheet; Climate Optimum; Ross Sea; Miocene</t>
  </si>
  <si>
    <t>SOUTHERN VICTORIA LAND; MCMURDO SOUND; TRANSANTARCTIC MOUNTAINS; GLACIAL HISTORY; CARBON-DIOXIDE; DRILL CORE; SEA-LEVEL; ROSS SEA; CLIMATE; STRATIGRAPHY</t>
  </si>
  <si>
    <t>Geological records from the Antarctic margin offer direct evidence of environmental variability at high southern latitudes and provide insight regarding ice sheet sensitivity to past climate change. The early to mid-Miocene (23-14 Mya) is a compelling interval to study as global temperatures and atmospheric CO2 concentrations were similar to those projected for coming centuries. Importantly, this time interval includes the Miocene Climatic Optimum, a period of global warmth during which average surface temperatures were 3-4 degrees C higher than today. Miocene sediments in the ANDRILL-2A drill core from the Western Ross Sea, Antarctica, indicate that the Antarctic ice sheet (AIS) was highly variable through this key time interval. A multiproxy dataset derived from the core identifies four distinct environmental motifs based on changes in sedimentary facies, fossil assemblages, geochemistry, and paleotemperature. Four major dis-conformities in the drill core coincide with regional seismic discontinuities and reflect transient expansion of grounded ice across the Ross Sea. They correlate with major positive shifts in benthic oxygen isotope records and generally coincide with intervals when atmospheric CO2 concentrations were at or below preindustrial levels (similar to 280 ppm). Five intervals reflect ice sheet minima and air temperatures warm enough for substantial ice mass loss during episodes of high (similar to 500 ppm) atmospheric CO2. These new drill core data and associated ice sheet modeling experiments indicate that polar climate and the AIS were highly sensitive to relatively small changes in atmospheric CO2 during the early to mid-Miocene.</t>
  </si>
  <si>
    <t>[Levy, Richard; Field, Brad; Golledge, Nicholas; Naish, Timothy] GNS Sci, Dept Palaeontol, Lower Hutt 5040, New Zealand; [Harwood, David; Fielding, Christopher] Univ Nebraska, Dept Earth &amp; Atmospher Sci, Lincoln, NE 68588 USA; [Florindo, Fabio] Ist Nazl Geofis &amp; Vulcanol, I-00143 Rome, Italy; [Sangiorgi, Francesca] Univ Utrecht, Dept Earth Sci, Lab Palaeobot &amp; Palynol, Marine Palynol &amp; Paleoceanog, NL-3584 CD Utrecht, Netherlands; [Tripati, Robert; Tripati, Aradhna] Univ Calif Los Angeles, Inst Environm &amp; Sustainabil, Los Angeles, CA 90024 USA; [Tripati, Robert; Tripati, Aradhna] Univ Calif Los Angeles, Dept Atmospher &amp; Ocean Sci, Los Angeles, CA 90095 USA; [von Eynatten, Hilmar] Geosci Ctr Gottingen, Dept Sedimentol &amp; Environm Geol, D-37077 Gottingen, Germany; [Gasson, Edward; DeConto, Robert] Univ Massachusetts, Dept Geosci, Amherst, MA 01003 USA; [Kuhn, Gerhard; Willmott, Veronica] Alfred Wegener Inst Polar &amp; Marine Res, D-27568 Bremerhaven, Germany; [Golledge, Nicholas; McKay, Robert; Naish, Timothy; Cody, Rosemary; Dunbar, Gavin; Storey, Bryan] Victoria Univ Wellington, Antarctic Res Ctr, Wellington 6012, New Zealand; [Olney, Matthew] Hillsborough Community Coll, Tampa, FL USA; [Pollard, David] Penn State Univ, Earth &amp; Environm Syst Inst, University Pk, PA 16802 USA; [Schouten, Stefan] Royal Netherlands Inst Sea Res, Marine Organ Biogeochem, NL-1797 SZ T Horntje, Texel, Netherlands; [Talarico, Franco] Univ Siena, Dipartimento Sci Fis Terra &amp; Ambiente, I-53100 Siena, Italy; [Warny, Sophie] Louisiana State Univ, Dept Geol &amp; Geophys, Baton Rouge, LA 70803 USA; [Warny, Sophie] Louisiana State Univ, Museum Nat Sci, Baton Rouge, LA 70803 USA; [Acton, Gary] Sam Houston State Univ, Dept Geog &amp; Geol, Huntsville, TX 77341 USA; [Panter, Kurt] Bowling Green State Univ, Dept Geol, Bowling Green, OH 43403 USA; [Paulsen, Timothy] Univ Wisconsin, Dept Geol, Oshkosh, WI 54901 USA; [Taviani, Marco] CNR, Inst Marine Sci, I-40129 Bologna, Italy; [Acton, Gary; Jovane, Luigi; Verosub, Kenneth] Univ Calif Davis, Dept Geol, Davis, CA 95616 USA; [Askin, Rosemary] 1930 Bunkhouse Dr, Jackson, WY 83001 USA; [Atkins, Clifford] Victoria Univ Wellington, Sch Geog Environm &amp; Earth Sci, POB 600, Wellington 6005, New Zealand; [Bassett, Kari] Univ Canterbury, Dept Geol Sci, Private Bag 4800,22 Kirkwood Ave, Christchurch, New Zealand; [Beu, Alan; Browne, Gregory; Henrys, Stuart; Raine, Ian] GNS Sci, 1 Fairway Dr,Box 30 368, Lower Hutt, New Zealand; [Brian, Blackstone; Frank, Tracy; Gui, Zi; Harwood, David M.; Tuzzi, Eva] Univ Nebraska Lincoln, Dept Geosci, 214 Bessey Hall, Lincoln, NE 68588 USA; [Ceregato, Alessandro] CNR, ISMAR, Via Gobetti 101, I-40129 Bologna, Italy; [Cornamusini, Gianluca] Univ Siena, Dept Earth Sci, Via Laterina 8, I-53100 Siena, Italy; [Corrado, Sveva] Univ Rome Tre, Dipartimento Sci Geol, Largo San Leonardo Murialdo 1, I-00146 Rome, Italy; [Del Carlo, Paola] Ist Nazl Geofis &amp; Vulcanol, Sez Pisa, Via Faggiola 32, I-56126 Pisa, Italy; [Di Vincenzo, Gianfranco] CNR, Ist Geosci &amp; Georisorse, Via Moruzzi 1, I-56124 Pisa, Italy; [Falk, Candice; Hauptvogel, Dan] Montclair State Univ, Dept Earth &amp; Environm Studies, Montclair, NJ 07043 USA; [Field, Brad] GNS Sci, Dept Petr Geol, Lower Hutt, New Zealand; [Giorgetti, Giovanna; Iacoviello, Francesco; Sandroni, Sonia; Strada, Eleonora] Univ Siena, Dipartimento Sci Terra, Via Laterina 8, I-53100 Siena, Italy; [Grelle, Thomas; Wonik, Thomas] Leibniz Inst Appl Geophys LIAG, Stilleweg 2, D-30655 Hannover, Germany; [Handwerger, David] 1066 Harvard Ave, Salt Lake City, UT 84105 USA; [Hannah, Michael] Victoria Univ Wellington, Sch Earth Sci, Box 600, Wellington 4007, New Zealand; [Hayden, Travis] Western Michigan Univ, Dept Geosci, Kalamazoo, MI 49008 USA; [Hoffmann, Stefan] Univ Goettingen, Dept Sedimentol &amp; Environm Geol, Goldschmidtstr 3, D-37077 Goetttingen, Germany; [Ishman, Scott] So Illinois Univ, Dept Geol, Carbondale, IL 62901 USA; [Jarrard, Richard] Univ Utah, Dept Geol &amp; Geophys, 383 FASB,115 S 1460 East, Salt Lake City, UT 84112 USA; [Johnson, Katherine] Eastern Illinois Univ, Dept Geol &amp; Geog, Charleston, IL 61920 USA; [Judge, Shelley] Coll Wooster, Dept Geol, Wooster, OH 44691 USA; [Kominz, Michelle] Western Michigan Univ, Dept Geosci, Kalamazoo, MI 49008 USA; [Konfirst, Matthew] No Illinois Univ, Dept Geol &amp; Environm Geosci, Davis Hall, De Kalb, IL 60115 USA; [Krissek, Lawrence; Millan, Cristina; Wilson, Gary] Ohio State Univ, Sch Earth Sci, Columbus, OH 43210 USA; [Lacy, Laura; Reed, Joshua] Univ Nebraska Lincoln, ANDRILL Sci Management Off, Lincoln, NE 68588 USA; [Maffioli, Paola] Univ Milano Bicocca, Dipartimento Sci &amp; Geol Geotecnol, Piazza Sci 4, I-20126 Milan, Italy; [Magens, Diana] Alfred Wegener Inst, Dept Marine Geophyiscs, Postfach 12 01 61,Columbusstr, D-27515 Bremerhaven, Germany; [Marcano, Maria C.; Mukasa, Samuel] Univ Michigan, Dept Geol Sci, Ann Arbor, MI 48109 USA; [Mohr, Barbara] Museum Nat Hist, Collect, Invalidenstr 43, D-10115 Berlin, Germany; [Montone, Paola] Ist Nazl Geofis, Via Vigna Murata 605, I-00143 Rome, Italy; [Ohneiser, Christian; Riesselman, Christina] Univ Otago, Dept Geol, POB 56, Dunedin, New Zealand; [Passchier, Sandra] Montclair State Univ, Earth &amp; Environm Studies, Montclair, NJ 07043 USA; [Patterson, Molly] Univ Massachusetts, Dept Geosci, Amherst, MA USA; [Pekar, Stephen] Queens Coll, Sch Earth &amp; Environm Sci, Flushing, NY 11367 USA; [Pierdominici, Simona; Sagnotti, Leonardo] Ist Nazl Geofis &amp; Vulcanol, Via Vigna Murata 605, I-00143 Rome, Italy; [Rocchi, Sergio] Univ Pisa, Dipartimento Sci Terra, Via S Maria 53, I-56126 Pisa, Italy; [Sandroni, Sonia] Museo Nazl Antartide, Sez Sci Terra Siena, Via Laterina 8, I-53100 Siena, Italy; [Schmitt, Douglas] Univ Alberta, Inst Geophys Res, Dept Phys, Edmonton, AB T6G 2G7, Canada; [Speece, Marvin] Montana Tech Univ Montana, Dept Geophys Engn, Butte, MT 59701 USA; [Storey, Bryan] Univ Canterbury, Gateway Antarctica, Private Bag 4800, Christchurch 8020, New Zealand; [Strada, Eleonora] Univ Siena, Dipartimento Sci Terra, Via Laterina 8, I-53100 Siena, Italy; [Taviani, Marco] CNR, Inst Marine Sci, ISMAR CNR, Bologna, Italy; [Wilson, Gary] Univ Otago, Dept Marine Sci, Dunedin 9054, New Zealand; [Wilson, Terry] Ohio State Univ, Sch Earth Sci, Columbus, OH 43210 USA; [Zattin, Massimiliano] Univ Padua, Dipartimento Geosci, Via Giotto 1, I-35137 Padua, Italy</t>
  </si>
  <si>
    <t>GNS Science - New Zealand; University of Nebraska System; University of Nebraska Lincoln; Istituto Nazionale Geofisica e Vulcanologia (INGV); Utrecht University; University of California System; University of California Los Angeles; University of California System; University of California Los Angeles; University of Gottingen; University of Massachusetts System; University of Massachusetts Amherst; Helmholtz Association; Alfred Wegener Institute, Helmholtz Centre for Polar &amp; Marine Research; Victoria University Wellington; Pennsylvania Commonwealth System of Higher Education (PCSHE); Pennsylvania State University; Pennsylvania State University - University Park; Utrecht University; Royal Netherlands Institute for Sea Research (NIOZ); University of Siena; Louisiana State University System; Louisiana State University; Louisiana State University System; Louisiana State University; Texas State University System; Sam Houston State University; University System of Ohio; Bowling Green State University; University of Wisconsin System; Consiglio Nazionale delle Ricerche (CNR); Istituto di Scienze Marine (ISMAR-CNR); University of California System; University of California Davis; Victoria University Wellington; University of Canterbury; GNS Science - New Zealand; University of Nebraska System; University of Nebraska Lincoln; Consiglio Nazionale delle Ricerche (CNR); Istituto di Scienze Marine (ISMAR-CNR); University of Siena; Roma Tre University; Istituto Nazionale Geofisica e Vulcanologia (INGV); Consiglio Nazionale delle Ricerche (CNR); Istituto di Geoscienze e Georisorse (IGG-CNR); Montclair State University; GNS Science - New Zealand; University of Siena; Leibniz Institut fur Angewandte Geophysik (LIAG); Victoria University Wellington; Western Michigan University; Southern Illinois University System; Southern Illinois University; Utah System of Higher Education; University of Utah; Eastern Illinois University; University System of Ohio; College of Wooster; Western Michigan University; Northern Illinois University; University System of Ohio; Ohio State University; University of Nebraska System; University of Nebraska Lincoln; University of Milano-Bicocca; Helmholtz Association; Alfred Wegener Institute, Helmholtz Centre for Polar &amp; Marine Research; University of Michigan System; University of Michigan; Istituto Nazionale Geofisica e Vulcanologia (INGV); University of Otago; Montclair State University; University of Massachusetts System; University of Massachusetts Amherst; City University of New York (CUNY) System; Queens College NY (CUNY); Istituto Nazionale Geofisica e Vulcanologia (INGV); University of Pisa; University of Alberta; University of Montana System; University of Montana; University of Canterbury; University of Siena; Consiglio Nazionale delle Ricerche (CNR); Istituto di Scienze Marine (ISMAR-CNR); University of Otago; University System of Ohio; Ohio State University; University of Padua</t>
  </si>
  <si>
    <t>Levy, R (corresponding author), GNS Sci, Dept Palaeontol, Lower Hutt 5040, New Zealand.</t>
  </si>
  <si>
    <t>R.Levy@gns.cri.nz</t>
  </si>
  <si>
    <t>Wilson, Gary S/B-3803-2010; Field, Brad D/F-1062-2011; Taviani, Marco/AAF-2168-2020; Florindo, Fabio/AAU-2548-2021; Willmott Puig, Veronica/AGN-3478-2022; Raine, James I/D-5124-2009; Warny, Sophie A/A-8226-2013; Passchier, Sandra/GYU-2381-2022; Passchier, Sandra/AAQ-2243-2021; Ohneiser, Christian/B-5797-2018; Tripati, Aradhna Eagle/C-9419-2011; Pierdominici, Simona/F-9120-2011; Panter, Kurt S/B-4486-2010; McKay, Robert/N-2449-2015; Florindo, Fabio/M-1459-2019; Iacoviello, Francesco/D-5492-2014; Jovane, Luigi/E-7536-2012; Ceregato, Alessandro/J-3977-2015; Sagnotti, Leonardo/AFM-3916-2022; Del Carlo, Paola/AAH-1725-2019; Florindo, Fabio/F-4119-2010; Riesselman, Christina R/H-5037-2012; Acton, Gary D/B-6108-2016; Iacoviello, Francesco/AAW-9047-2020; Levy, Richard H/E-2477-2011; Sandroni, Sonia/C-7188-2008; Atkins, cliff B/E-9458-2011; Jovane, Luigi/AAH-5438-2020; Rocchi, Sergio/A-7752-2018; talarico, franco/G-9472-2012; Eagle, Robert/A-2679-2011</t>
  </si>
  <si>
    <t>Taviani, Marco/0000-0003-0414-4274; Willmott Puig, Veronica/0000-0002-6552-8901; Passchier, Sandra/0000-0001-7204-7025; Pierdominici, Simona/0000-0002-5368-4536; McKay, Robert/0000-0002-5602-6985; Florindo, Fabio/0000-0002-6058-9748; Iacoviello, Francesco/0000-0003-3564-2380; Ceregato, Alessandro/0000-0002-7133-7183; Sagnotti, Leonardo/0000-0003-3944-201X; Florindo, Fabio/0000-0002-6058-9748; Iacoviello, Francesco/0000-0003-3564-2380; Sandroni, Sonia/0000-0002-7941-7145; Jovane, Luigi/0000-0003-4348-4714; Frank, Tracy/0000-0002-8422-7389; Field, Bradley/0000-0001-5254-6636; von Eynatten, Hilmar/0000-0002-2823-3194; Ohneiser, Christian/0000-0002-2781-2522; Naish, Tim/0000-0002-1185-9932; Sangiorgi, Francesca/0000-0003-4233-6154; Rocchi, Sergio/0000-0001-6868-1939; talarico, franco/0000-0002-7254-4301; Levy, Richard/0000-0002-8783-0167; Acton, Gary/0000-0002-3285-4022; Gasson, Edward/0000-0003-4653-6217; Kuhn, Gerhard/0000-0001-6069-7485; Warny, Sophie/0000-0002-3451-040X; Wilson, Gary/0000-0003-0025-3641; Golledge, Nicholas/0000-0001-7676-8970; Atkins, C/0000-0002-6513-6924; Eagle, Robert/0000-0003-0304-6111; Montone, Paola/0000-0002-9297-1730</t>
  </si>
  <si>
    <t>New Zealand Ministry of Business Innovation and Employment [C05X0410, C05X1001]; US National Science Foundation [0342484]; Italian Antarctic Research Programme; German Research Foundation; Alfred Wegener Institute for Polar and Marine Research (Helmholtz Association of German Research Centres); New Zealand Antarctic Research Institute [NZARI 2013-1]</t>
  </si>
  <si>
    <t>New Zealand Ministry of Business Innovation and Employment(New Zealand Ministry of Business, Innovation and Employment (MBIE)); US National Science Foundation(National Science Foundation (NSF)); Italian Antarctic Research Programme; German Research Foundation(German Research Foundation (DFG)); Alfred Wegener Institute for Polar and Marine Research (Helmholtz Association of German Research Centres); New Zealand Antarctic Research Institute</t>
  </si>
  <si>
    <t>We thank three anonymous reviewers. We acknowledge the Antarctic Geological Drilling (ANDRILL) Program, which acquired the unique geological section examined in this study. Scientific research was supported by New Zealand Ministry of Business Innovation and Employment Contracts C05X0410 and C05X1001, the US National Science Foundation (Cooperative Agreement 0342484 to the University of Nebraska-Lincoln), the Italian Antarctic Research Programme, the German Research Foundation, the Alfred Wegener Institute for Polar and Marine Research (Helmholtz Association of German Research Centres), and New Zealand Antarctic Research Institute Grant NZARI 2013-1.</t>
  </si>
  <si>
    <t>MAR 29</t>
  </si>
  <si>
    <t>10.1073/pnas.1516030113</t>
  </si>
  <si>
    <t>DH6BQ</t>
  </si>
  <si>
    <t>Green Published, Green Accepted, Green Submitted, Bronze</t>
  </si>
  <si>
    <t>WOS:000372876400036</t>
  </si>
  <si>
    <t>Gasson, E; DeConto, RM; Pollard, D; Levy, RH</t>
  </si>
  <si>
    <t>Gasson, Edward; DeConto, Robert M.; Pollard, David; Levy, Richard H.</t>
  </si>
  <si>
    <t>Dynamic Antarctic ice sheet during the early to mid-Miocene</t>
  </si>
  <si>
    <t>Miocene; Antarctic ice sheet; oxygen isotopes; sea level</t>
  </si>
  <si>
    <t>LAST GLACIAL MAXIMUM; PLIOCENE SEA-LEVEL; ATMOSPHERIC CO2; ROSS SEA; CLIMATE; EVOLUTION; FLUCTUATIONS; SENSITIVITY; STABILITY; GREENLAND</t>
  </si>
  <si>
    <t>Geological data indicate that there were major variations in Antarctic ice sheet volume and extent during the early to mid-Miocene. Simulating such large-scale changes is problematic because of a strong hysteresis effect, which results in stability once the ice sheets have reached continental size. A relatively narrow range of atmospheric CO2 concentrations indicated by proxy records exacerbates this problem. Here, we are able to simulate large-scale variability of the early to mid-Miocene Antarctic ice sheet because of three developments in our modeling approach. (i) We use a climate-ice sheet coupling method utilizing a high-resolution atmospheric component to account for ice sheet-climate feedbacks. (ii) The ice sheet model includes recently proposed mechanisms for retreat into deep subglacial basins caused by ice-cliff failure and ice-shelf hydrofracture. (iii) We account for changes in the oxygen isotopic composition of the ice sheet by using isotope-enabled climate and ice sheet models. We compare our modeling results with ice-proximal records emerging from a sedimentological drill core from the Ross Sea (Andrill-2A) that is presented in a companion article. The variability in Antarctic ice volume that we simulate is equivalent to a seawater oxygen isotope signal of 0.52-0.66%, or a sea level equivalent change of 30-36 m, for a range of atmospheric CO2 between 280 and 500 ppm and a changing astronomical configuration. This result represents a substantial advance in resolving the long-standing model data conflict of Miocene Antarctic ice sheet and sea level variability.</t>
  </si>
  <si>
    <t>[Gasson, Edward; DeConto, Robert M.] Univ Massachusetts, Climate Syst Res Ctr, Amherst, MA 01003 USA; [Pollard, David] Penn State Univ, Earth &amp; Environm Syst Inst, State Coll, PA 16802 USA; [Levy, Richard H.] GNS Sci, Lower Hutt 5011, New Zealand</t>
  </si>
  <si>
    <t>University of Massachusetts System; University of Massachusetts Amherst; Pennsylvania Commonwealth System of Higher Education (PCSHE); Pennsylvania State University; GNS Science - New Zealand</t>
  </si>
  <si>
    <t>Gasson, E (corresponding author), Univ Massachusetts, Climate Syst Res Ctr, Amherst, MA 01003 USA.</t>
  </si>
  <si>
    <t>egw.gasson@gmail.com</t>
  </si>
  <si>
    <t>Levy, Richard H/E-2477-2011</t>
  </si>
  <si>
    <t>Levy, Richard/0000-0002-8783-0167; Gasson, Edward/0000-0003-4653-6217</t>
  </si>
  <si>
    <t>US National Science Foundation [OCE-1202632, AGS-1203910]; Div Atmospheric &amp; Geospace Sciences; Directorate For Geosciences [1203910] Funding Source: National Science Foundation</t>
  </si>
  <si>
    <t>US National Science Foundation(National Science Foundation (NSF)); Div Atmospheric &amp; Geospace Sciences; Directorate For Geosciences(National Science Foundation (NSF)NSF - Directorate for Geosciences (GEO))</t>
  </si>
  <si>
    <t>The authors thank the editor and three anonymous reviewers for their valuable comments. This study was supported US National Science Foundation Awards OCE-1202632 and AGS-1203910.</t>
  </si>
  <si>
    <t>10.1073/pnas.1516130113</t>
  </si>
  <si>
    <t>WOS:000372876400037</t>
  </si>
  <si>
    <t>Siegfried, MR; Fricker, HA; Carter, SP; Tulaczyk, S</t>
  </si>
  <si>
    <t>Siegfried, Matthew R.; Fricker, Helen A.; Carter, Sasha P.; Tulaczyk, Slawek</t>
  </si>
  <si>
    <t>Episodic ice velocity fluctuations triggered by a subglacial flood in West Antarctica</t>
  </si>
  <si>
    <t>Antarctica; glaciology; ice dynamics; subglacial hydrology; subglacial lakes; ice sheet</t>
  </si>
  <si>
    <t>BASAL SHEAR-STRESS; WATER-PIRACY; STREAMS; WHILLANS; GLACIER; SYSTEM; BENEATH; SHEET; LAKES; STAGNATION</t>
  </si>
  <si>
    <t>Height change anomalies in satellite altimeter data have been interpreted as the surface expressions of basal water moving into and out of subglacial lakes. These signals have been mapped throughout Antarctica on timescales of months to years, but only broad connections have been made between active lakes and ice dynamics. We present the first high-frequency observations of ice velocity evolution due to a cascading subglacial lake drainage event, collected over 5years (2010-2015) using Global Positioning System data on Whillans and Mercer ice streams, West Antarctica. We observed three episodic ice velocity changes over 2years, where flow speed increased by up to 4%, as well as an 11month disruption of the tidally modulated stick-slip cycle that dominates regional ice motion. Our observations reveal that basal conditions of an Antarctic ice stream can rapidly evolve and drive a dynamic ice response on subannual timescales, which can bias observations used to infer long-term ice sheet changes.</t>
  </si>
  <si>
    <t>[Siegfried, Matthew R.; Fricker, Helen A.; Carter, Sasha P.] Univ Calif San Diego, Scripps Inst Oceanog, Inst Geophys &amp; Planetary Phys, La Jolla, CA 92093 USA; [Tulaczyk, Slawek] Univ Calif Santa Cruz, Earth &amp; Planetary Sci, Santa Cruz, CA 95064 USA</t>
  </si>
  <si>
    <t>University of California System; University of California San Diego; Scripps Institution of Oceanography; University of California System; University of California Santa Cruz</t>
  </si>
  <si>
    <t>Siegfried, MR (corresponding author), Univ Calif San Diego, Scripps Inst Oceanog, Inst Geophys &amp; Planetary Phys, La Jolla, CA 92093 USA.</t>
  </si>
  <si>
    <t>mrsiegfried@ucsd.edu</t>
  </si>
  <si>
    <t>; Tulaczyk, Slawek/O-7375-2018</t>
  </si>
  <si>
    <t>Fricker, Helen Amanda/0000-0002-0921-1432; Tulaczyk, Slawek/0000-0002-9711-4332</t>
  </si>
  <si>
    <t>NSF [ANT-0838885, ANT-0839142, ANT-0636970]; NASA [NNX11AQ78H]; NASA [138817, NNX11AQ78H] Funding Source: Federal RePORTER; Directorate For Geosciences; Office of Polar Programs (OPP) [1439774] Funding Source: National Science Foundation</t>
  </si>
  <si>
    <t>NSF(National Science Foundation (NSF)); NASA(National Aeronautics &amp; Space Administration (NASA)); NASA(National Aeronautics &amp; Space Administration (NASA)); Directorate For Geosciences; Office of Polar Programs (OPP)(National Science Foundation (NSF)NSF - Directorate for Geosciences (GEO))</t>
  </si>
  <si>
    <t>GPS data collection was supported by NSF grants to H.A.F. and S.T. (grants ANT-0838885, ANT-0839142, and ANT-0636970) as part of the interdisciplinary WISSARD project. NASA supported M.R.S.'s contribution to the manuscript through their Earth and Space Science Fellowship (grant NNX11AQ78H). We thank the 2010-2015 WISSARD Field Team members for data collection assistance; UNAVCO, Raytheon Polar Services, Antarctic Support Contract (ASC), Kenn Borek Air, and the New York Air National Guard for logistical support; the European Space Agency for CryoSat-2 data; and A. Borsa and K. Christianson for helpful discussion. Data used in this manuscript are available by contacting the corresponding author directly.</t>
  </si>
  <si>
    <t>MAR 28</t>
  </si>
  <si>
    <t>10.1002/2016GL067758</t>
  </si>
  <si>
    <t>DK1TM</t>
  </si>
  <si>
    <t>WOS:000374697200038</t>
  </si>
  <si>
    <t>Scott, RC; Lubin, D</t>
  </si>
  <si>
    <t>Scott, Ryan C.; Lubin, Dan</t>
  </si>
  <si>
    <t>Unique manifestations of mixed-phase cloud microphysics over Ross Island and the Ross Ice Shelf, Antarctica</t>
  </si>
  <si>
    <t>cloud microphysics; Antarctica; Arctic; Ross Island; McMurdo; Orographic ice nucleation</t>
  </si>
  <si>
    <t>WEST ANTARCTICA; NORTH SLOPE; CLIMATE; GREENLAND; PRECIPITATION; PENINSULA; REGIMES; NUCLEI; OCEAN</t>
  </si>
  <si>
    <t>Spaceborne radar and lidar observations from the CloudSat and CALIPSO satellites are used to compare seasonal variations in the microphysical and radiative properties of clouds over Ross Island, Antarctica, with two contrasting Arctic atmospheric observatories located in Barrow, Alaska, and Summit, Greenland. At Ross Island, downstream from recurrent intrusions of marine air over the West Antarctic Ice Sheet and eastern Ross Ice Shelf, clouds exhibit a tendency toward the greatest geometrical thickness and coldest temperatures in summer, the largest average ice water content, IWC, at low altitude during summer and autumn, the most abundant IWC at cold mixed-phase temperatures (-40 degrees C&lt;-20 degrees C), and the strongest impact from ice water on the surface energy budget year round, all with likely origins in orographic lifting of marine air over complex ice sheet and mountainous terrain. Clouds over Barrow form and evolve in a contrastingly warm and moist atmosphere and on average contain the largest liquid water content and ice and liquid water effective particle radii, r(e), year round. In contrast, clouds observed atop the central Greenland Ice Sheet are relatively tenuous, containing the smallest IWC and ice r(e) of all sites.</t>
  </si>
  <si>
    <t>[Scott, Ryan C.; Lubin, Dan] Univ Calif San Diego, Scripps Inst Oceanog, La Jolla, CA 92093 USA</t>
  </si>
  <si>
    <t>Scott, RC (corresponding author), Univ Calif San Diego, Scripps Inst Oceanog, La Jolla, CA 92093 USA.</t>
  </si>
  <si>
    <t>rcscott@ucsd.edu</t>
  </si>
  <si>
    <t>Scott, Ryan/0000-0002-9182-0834</t>
  </si>
  <si>
    <t>National Science Foundation Office of Polar Programs [ANT-1141939]; Office of Polar Programs (OPP); Directorate For Geosciences [1141939] Funding Source: National Science Foundation</t>
  </si>
  <si>
    <t>National Science Foundation Office of Polar Programs(National Science Foundation (NSF)NSF - Directorate for Geosciences (GEO)); Office of Polar Programs (OPP); Directorate For Geosciences(National Science Foundation (NSF)NSF - Directorate for Geosciences (GEO))</t>
  </si>
  <si>
    <t>This work was supported by the National Science Foundation Office of Polar Programs under ANT-1141939. Data used in this study were provided by the CloudSat Data Processing Center, available at http://www.cloudsat.cira.colostate.edu/dataHome.php.</t>
  </si>
  <si>
    <t>10.1002/2015GL067246</t>
  </si>
  <si>
    <t>WOS:000374697200074</t>
  </si>
  <si>
    <t>Sacristán, HJ; Ansaldo, M; Franco-Tadic, LM; Gimenez, AVF; Greco, LSL</t>
  </si>
  <si>
    <t>Javier Sacristan, Hernan; Ansaldo, Martin; Marcelo Franco-Tadic, Luis; Fernandez Gimenez, Analia Veronica; Lopez Greco, Laura Susana</t>
  </si>
  <si>
    <t>Long-Term Starvation and Posterior Feeding Effects on Biochemical and Physiological Responses of Midgut Gland of Cherax quadricarinatus Juveniles (Parastacidae)</t>
  </si>
  <si>
    <t>FRESH-WATER CRAYFISH; DIGESTIVE ENZYME-ACTIVITIES; WHITE SHRIMP; OXIDATIVE STRESS; REDCLAW CRAYFISH; HIGH-PROTEIN; HEPATOPANCREAS STRUCTURE; REPRODUCTIVE-SYSTEM; ANTIOXIDANT STATUS; PALAEMON-SERRATUS</t>
  </si>
  <si>
    <t>We investigated the effect of long-term starvation and posterior feeding on energetic reserves, oxidative stress, digestive enzymes, and histology of C. quadricarinatus midgut gland. The crayfish (6.27 g) were randomly assigned to one of three feeding protocols: continuous feeding throughout 80 day, continuous starvation until 80 day, and continuous starvation throughout 50 day and then feeding for the following 30 days. Juveniles from each protocol were weighed, and sacrificed at day 15, 30, 50 or 80. The lipids, glycogen, reduced glutathione (GSH), soluble protein, lipid peroxidation (TBARS), protein oxidation (PO), catalase (CAT), lipase and proteinase activities, and histology were measured on midgut gland. Starved crayfish had a lower hepatosomatic index, number ofmolts, specific growth rate, lipids, glycogen, and GSH levels than fed animals at all assay times. The starvation did not affect the soluble protein, TBARS, PO levels and CAT. In starved juveniles the lipase activity decreased as starvation time increased, whereas proteinase activity decreased only at day 80. The histological analysis of the starved animals showed several signs of structural alterations. After 30 days of feeding, the starved-feeding animals exhibited a striking recovery of hepatosomatic index, number of molts, lipids and glycogen, GSH, lipase activity andmidgut gland structure.</t>
  </si>
  <si>
    <t>[Javier Sacristan, Hernan; Marcelo Franco-Tadic, Luis; Lopez Greco, Laura Susana] Univ Buenos Aires, Biol Reprod &amp; Growth Crustaceans, Dept Biodivers &amp; Expt Biol, Buenos Aires, DF, Argentina; [Javier Sacristan, Hernan; Lopez Greco, Laura Susana] CONICET UBA, IBBEA, Buenos Aires, DF, Argentina; [Ansaldo, Martin] Argentinian Antarctic Inst, Ecophysiol &amp; Ecotoxicol Lab, Buenos Aires, DF, Argentina; [Fernandez Gimenez, Analia Veronica] Univ Mar del Plata, CONICET, Inst Marine &amp; Coastal Res, Physiol Aquat Organisms, Mar Del Plata, Buenos Aires, Argentina</t>
  </si>
  <si>
    <t>University of Buenos Aires; Consejo Nacional de Investigaciones Cientificas y Tecnicas (CONICET); University of Buenos Aires; National University of Mar del Plata; Consejo Nacional de Investigaciones Cientificas y Tecnicas (CONICET)</t>
  </si>
  <si>
    <t>Greco, LSL (corresponding author), Univ Buenos Aires, Biol Reprod &amp; Growth Crustaceans, Dept Biodivers &amp; Expt Biol, Buenos Aires, DF, Argentina.;Greco, LSL (corresponding author), CONICET UBA, IBBEA, Buenos Aires, DF, Argentina.</t>
  </si>
  <si>
    <t>laura@bg.fcen.uba.ar</t>
  </si>
  <si>
    <t>Fernandez-Gimenez, Analia/0000-0001-9232-4560; Sacristan, Hernan/0000-0003-2331-8487; Franco Tadic, Luis Marcelo/0000-0002-2986-5628</t>
  </si>
  <si>
    <t>Agencia Nacional de Promocion Cientifica y Tecnologica (PICT) [01333]; CONICET (PIP) [129]; UBACYT [2011-2014 20020100100003, 2014-2017 020130100186BA]; MINCYT-CONACYT (Mexico) [MX/09/07]; MINCYT- CAPES [BR/11/21]; ANPCYT; CONICET</t>
  </si>
  <si>
    <t>Agencia Nacional de Promocion Cientifica y Tecnologica (PICT)(ANPCyT); CONICET (PIP)(Consejo Nacional de Investigaciones Cientificas y Tecnicas (CONICET)); UBACYT; MINCYT-CONACYT (Mexico); MINCYT- CAPES(Coordenacao de Aperfeicoamento de Pessoal de Nivel Superior (CAPES)); ANPCYT(ANPCyT); CONICET(Consejo Nacional de Investigaciones Cientificas y Tecnicas (CONICET))</t>
  </si>
  <si>
    <t>This work was supported by the Agencia Nacional de Promocion Cientifica y Tecnologica (PICT 2012 project 01333), CONICET (PIP 2009-2011, number 129 and PIP 2012-2014), UBACYT (projects 2011-2014 20020100100003 and 2014-2017 020130100186BA), MINCYT-CONACYT (Mexico) MX/09/07 and MINCYT- CAPES BR/11/21.; This study is part of Hernan Javier Sacristan's postgraduate scholarships (ANPCYT and CONICET) and Ph.D. dissertation (University of Buenos Aires, Argentina). We are grateful to Lic. Amir Dyzenchauz for language revision, and to Centro Nacional de Desarrollo Acuicola (CENADAC, Argentina) for providing the reproductive stock. Laura S. Lopez Greco is grateful to Agencia Nacional de Promocion Cientifica y Tecnologica (PICT 2012 project 01333), CONICET (PIP 2009-2011, number 129 and PIP 2012-2014), UBACYT (projects 2011-2014 20020100100003 and 2014-2017 20020130100186BA), MINCYT-CONACYT (Mexico) MX/09/07 and MINCYT-CAPES BR/11/21 that funded this research.</t>
  </si>
  <si>
    <t>e0150854</t>
  </si>
  <si>
    <t>10.1371/journal.pone.0150854</t>
  </si>
  <si>
    <t>DH5EH</t>
  </si>
  <si>
    <t>WOS:000372807800007</t>
  </si>
  <si>
    <t>Albert, JM; Starks, MJ; Horne, RB; Meredith, NP; Glauert, SA</t>
  </si>
  <si>
    <t>Albert, Jay M.; Starks, Michael J.; Horne, Richard B.; Meredith, Nigel P.; Glauert, Sarah A.</t>
  </si>
  <si>
    <t>Quasi-linear simulations of inner radiation belt electron pitch angle and energy distributions</t>
  </si>
  <si>
    <t>pitch angle distributions</t>
  </si>
  <si>
    <t>FAST MAGNETOSONIC WAVES; PART I IMPLICIT; DIFFUSION-COEFFICIENTS; NUMERICAL-SIMULATION; SEMIIMPLICIT SCHEMES; DYNAMICS; DIAGONALIZATION; TENSOR; PLASMASPHERE</t>
  </si>
  <si>
    <t>Peculiar or butterfly electron pitch angle distributions (PADs), with minima near 90 degrees, have recently been observed in the inner radiation belt. These electrons are traditionally treated by pure pitch angle diffusion, driven by plasmaspheric hiss, lightning-generated whistlers, and VLF transmitter signals. Since this leads to monotonic PADs, energy diffusion by magnetosonic waves has been proposed to account for the observations. We show that the observed PADs arise readily from two-dimensional diffusion at L = 2, with or without magnetosonic waves. It is necessary to include cross diffusion, which accounts for the relationship between pitch angle and energy changes. The distribution of flux with energy is also in good agreement with observations between 200keV and 1MeV, dropping to very low levels at higher energy. Thus, at this location radial diffusion may be negligible at subrelativistic as well as ultrarelativistic energy.</t>
  </si>
  <si>
    <t>[Albert, Jay M.; Starks, Michael J.] Kirtland AFB, Air Force Res Lab, Albuquerque, NM USA; [Horne, Richard B.; Meredith, Nigel P.; Glauert, Sarah A.] British Antarctic Survey, Cambridge, England</t>
  </si>
  <si>
    <t>United States Department of Defense; United States Air Force; US Air Force Research Laboratory; UK Research &amp; Innovation (UKRI); Natural Environment Research Council (NERC); NERC British Antarctic Survey</t>
  </si>
  <si>
    <t>Albert, JM (corresponding author), Kirtland AFB, Air Force Res Lab, Albuquerque, NM USA.</t>
  </si>
  <si>
    <t>jay.albert@us.af.mil</t>
  </si>
  <si>
    <t>Albert, Jay/AAV-6860-2020; Meredith, Nigel P/C-5806-2018; Horne, Richard B/U-3764-2019</t>
  </si>
  <si>
    <t>Albert, Jay/0000-0001-9494-7630; Horne, Richard B/0000-0002-0412-6407; Meredith, Nigel/0000-0001-5032-3463</t>
  </si>
  <si>
    <t>NASA [NNG11PJ001, NNH14AX18I]; Air Force Research Laboratory; Air Force Office of Scientific Research [13RV08COR]; Natural Environment Research Council; NERC [bas0100031] Funding Source: UKRI; Natural Environment Research Council [bas0100031] Funding Source: researchfish</t>
  </si>
  <si>
    <t>NASA(National Aeronautics &amp; Space Administration (NASA)); Air Force Research Laboratory; Air Force Office of Scientific Research(United States Department of DefenseAir Force Office of Scientific Research (AFOSR));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</si>
  <si>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J. Albert thanks R.S. Selesick for useful discussions. This work was supported by NASA grant NNG11PJ001 and NASA agreement NNH14AX18I with the Air Force Research Laboratory, the Air Force Office of Scientific Research grant 13RV08COR, and the Natural Environment Research Council.</t>
  </si>
  <si>
    <t>10.1002/2016GL067938</t>
  </si>
  <si>
    <t>WOS:000374697200006</t>
  </si>
  <si>
    <t>Sutter, J; Gierz, P; Grosfeld, K; Thoma, M; Lohmann, G</t>
  </si>
  <si>
    <t>Sutter, Johannes; Gierz, Paul; Grosfeld, Klaus; Thoma, Malte; Lohmann, Gerrit</t>
  </si>
  <si>
    <t>Ocean temperature thresholds for Last Interglacial West Antarctic Ice Sheet collapse</t>
  </si>
  <si>
    <t>SEA-LEVEL RISE; PINE ISLAND; DISCHARGE; RETREAT; VARIABILITY; THWAITES; MELT</t>
  </si>
  <si>
    <t>The West Antarctic Ice Sheet (WAIS) is considered the major contributor to global sea level rise in the Last Interglacial (LIG) and potentially in the future. Exposed fossil reef terraces suggest sea levels in excess of 7m in the last warm era, of which probably not much more than 2 m are considered to originate from melting of the Greenland Ice Sheet. We simulate the evolution of the Antarctic Ice Sheet during the LIG with a 3-D thermomechanical ice sheet model forced by an atmosphere-ocean general circulation model (AOGCM). Our results show that high LIG sea levels cannot be reproduced with the atmosphere-ocean forcing delivered by current AOGCMs. However, when taking reconstructed Southern Ocean temperature anomalies of several degrees, sensitivity studies indicate a Southern Ocean temperature anomaly threshold for total WAIS collapse of 2-3 degrees C, accounting for a sea level rise of 3-4m during the LIG. Potential future Antarctic Ice Sheet dynamics range from a moderate retreat to a complete collapse, depending on rate and amplitude of warming.</t>
  </si>
  <si>
    <t>[Sutter, Johannes; Gierz, Paul; Grosfeld, Klaus; Thoma, Malte; Lohmann, Gerrit] Alfred Wegener Inst Polar &amp; Marine Res, Paleoclimate Dynam, Bremerhaven, Germany; [Lohmann, Gerrit] Univ Bremen, MARUM Ctr Marine Environm Sci, D-28359 Bremen, Germany</t>
  </si>
  <si>
    <t>Sutter, J (corresponding author), Alfred Wegener Inst Polar &amp; Marine Res, Paleoclimate Dynam, Bremerhaven, Germany.</t>
  </si>
  <si>
    <t>johannes.sutter@awi.de</t>
  </si>
  <si>
    <t>; Lohmann, Gerrit/M-7453-2016</t>
  </si>
  <si>
    <t>Grosfeld, Klaus/0000-0001-5936-179X; Lohmann, Gerrit/0000-0003-2089-733X; Sutter, Johannes/0000-0002-3357-2633</t>
  </si>
  <si>
    <t>Polar Regions and Coasts in the Changing Earth System (PACES) program of the AWI; graduate school ESSReS; Helmholtz Climate Initiative REKLIM</t>
  </si>
  <si>
    <t>This study is promoted by Helmholtz funding through the Polar Regions and Coasts in the Changing Earth System (PACES) program of the AWI. Funding by the graduate school ESSReS and the Helmholtz Climate Initiative REKLIM is gratefully acknowledged. Model output and data are available upon request. We thank M. Pfeiffer for providing output of the AOGCM experiment Eg.</t>
  </si>
  <si>
    <t>10.1002/2016GL067818</t>
  </si>
  <si>
    <t>WOS:000374697200042</t>
  </si>
  <si>
    <t>Fogt, RL; Goergens, CA; Jones, ME; Witte, GA; Lee, MY; Jones, JM</t>
  </si>
  <si>
    <t>Fogt, Ryan L.; Goergens, Chad A.; Jones, Megan E.; Witte, Grant A.; Lee, Ming Yueng; Jones, Julie M.</t>
  </si>
  <si>
    <t>Antarctic station-based seasonal pressure reconstructions since 1905: 1. Reconstruction evaluation</t>
  </si>
  <si>
    <t>Antarctica; pressure; variability</t>
  </si>
  <si>
    <t>SOUTHERN ANNULAR MODE; TRENDS; TEMPERATURES; HEMISPHERE; CLIMATE; REANALYSES; DATABASE; PROJECT; SURFACE; INDEX</t>
  </si>
  <si>
    <t>Seasonal mean Antarctic pressures at 17 stations are reconstructed based on the method of principal component regression, employing midlatitude pressure data as predictors. Several reconstruction methods were performed in order to assess the stability and reliability of the reconstructions obtained, including performing the reconstructions over a shorter 30year window and withholding the remaining data for an independent validation. Generally, there were small differences between the various approaches, but typically reconstructions conducted on data with the trends still present and over the full period of observations achieved the highest skill. Seasonally, reconstruction skill was high in austral summer across the entire Antarctic continent. Reconstructions that employed gridded pressure data over oceans as well as the observations (here termed pseudoreconstructions) also performed remarkably well in austral winter. Spatially, the reconstruction skill was highest near the Antarctic Peninsula in all seasons, and weakest in coastal East Antarctica and the Antarctic Interior during austral spring and autumn; the spatial variability of the skill in part reflects the distance to the nearest midlatitude predictor. Nonetheless, for nearly all seasons and locations the observed trends since 1957 were well captured by the reconstructions, as was the low-frequency decadal-scale variability. These results suggest Antarctic pressure observations can be extended throughout the twentieth century with high confidence, especially in summer, allowing for a more precise understanding of the role and magnitude of natural atmospheric circulation variability across Antarctica.</t>
  </si>
  <si>
    <t>[Fogt, Ryan L.; Goergens, Chad A.; Jones, Megan E.; Witte, Grant A.; Lee, Ming Yueng] Ohio Univ, Dept Geog, Athens, OH 45701 USA; [Fogt, Ryan L.; Goergens, Chad A.; Jones, Megan E.; Witte, Grant A.; Lee, Ming Yueng] Ohio Univ, Scalia Lab Atmospher Anal, Athens, OH 45701 USA; [Jones, Julie M.] Univ Sheffield, Dept Geog, Sheffield S10 2TN, S Yorkshire, England</t>
  </si>
  <si>
    <t>University System of Ohio; Ohio University; University System of Ohio; Ohio University; University of Sheffield</t>
  </si>
  <si>
    <t>Fogt, RL (corresponding author), Ohio Univ, Dept Geog, Athens, OH 45701 USA.;Fogt, RL (corresponding author), Ohio Univ, Scalia Lab Atmospher Anal, Athens, OH 45701 USA.</t>
  </si>
  <si>
    <t>fogtr@ohio.edu</t>
  </si>
  <si>
    <t>Fogt, Ryan L/B-6989-2008</t>
  </si>
  <si>
    <t>Fogt, Ryan L/0000-0002-5398-3990; Jones, Julie/0000-0003-2892-8647</t>
  </si>
  <si>
    <t>NSF [1341621]; Directorate For Geosciences; Office of Polar Programs (OPP) [1341621] Funding Source: National Science Foundation</t>
  </si>
  <si>
    <t>NSF(National Science Foundation (NSF)); Directorate For Geosciences; Office of Polar Programs (OPP)(National Science Foundation (NSF)NSF - Directorate for Geosciences (GEO))</t>
  </si>
  <si>
    <t>All authors except J.M.J. acknowledge support from NSF grant 1341621. Thanks are extended to ECMWF for their reanalysis data (http://apps.ecmwf.int/datasets/), the British Antarctic Survey for hosting the Antarctic READER data (https://legacy.bas.ac.uk/met/READER/), NOAA Earth System Research Laboratory for the Twentieth Century Reanalysis data (http://www.esrl.noaa.gov/psd/data/gridded/data.20thC_ReanV2c.html), the UK Hadley Centre for HadSLP2 data (http://www.metoffice.gov.uk/hadobs/hadslp2/), and the NCAR/UCAR research data archive for the majority of midlatitude pressure data (http://rda.ucar.edu/datasets/ds570.0/#!description). The pressure reconstructions generated and evaluated here can be made available by request through email to the corresponding author R.L.F. (fogtr@ohio.edu).</t>
  </si>
  <si>
    <t>MAR 27</t>
  </si>
  <si>
    <t>10.1002/2015JD024564</t>
  </si>
  <si>
    <t>DK1YB</t>
  </si>
  <si>
    <t>WOS:000374710300019</t>
  </si>
  <si>
    <t>Fogt, RL; Jones, JM; Goergens, CA; Jones, ME; Witte, GA; Lee, MY</t>
  </si>
  <si>
    <t>Fogt, Ryan L.; Jones, Julie M.; Goergens, Chad A.; Jones, Megan E.; Witte, Grant A.; Lee, Ming Yueng</t>
  </si>
  <si>
    <t>Antarctic station-based seasonal pressure reconstructions since 1905: 2. Variability and trends during the twentieth century</t>
  </si>
  <si>
    <t>SOUTHERN ANNULAR MODE; AMUNDSEN SEA; SURFACE TEMPERATURES; WEST ANTARCTICA; CLIMATE; OSCILLATION; CIRCULATION; ICE; IMPACTS; RECORD</t>
  </si>
  <si>
    <t>The Antarctic seasonal station-based pressure reconstructions evaluated in our companion paper are evaluated here to provide additional knowledge on Antarctic pressure variability during the twentieth century. In the period from 1905 to 1956, we find that the Hadley Centre gridded sea level pressure data set compared the best with our reconstructions, perhaps due to similar methods to estimate pressure without direct observations. The primary focus on the twentieth century Antarctic pressure variability was in summer and winter, as these were the seasons with the highest reconstruction skill. In summer, there is considerable interannual variability that was spatially uniform across all of Antarctica. Notable high pressure anomalies were found in the summers of 1911/1912 and 1925/1926; both summers correspond to negative phases of the Southern Annular Mode as well as El Nino events in the tropical Pacific. In addition, negative summer pressure trends during the last similar to 40years across all of Antarctica are unique in the context of 30year trends throughout the entire twentieth century, suggesting a strong component of anthropogenic forcing on the recent summer trends. In contrast, mean winter pressure is less variable from year to year during the early twentieth century, and there is less similarity between the pressure variations along the Antarctic Peninsula compared to the rest of the continent. No significant pressure trends were found consistently across all Antarctica (although some significant regional trends can be identified), and low-frequency, multidecadal-scale variability appears to dominate the historical pressure variations in this season.</t>
  </si>
  <si>
    <t>[Fogt, Ryan L.; Goergens, Chad A.; Jones, Megan E.; Witte, Grant A.; Lee, Ming Yueng] Ohio Univ, Dept Geog, Scalia Lab Atmospher Anal, Athens, OH 45701 USA; [Jones, Julie M.] Univ Sheffield, Dept Geog, Sheffield S10 2TN, S Yorkshire, England</t>
  </si>
  <si>
    <t>University System of Ohio; Ohio University; University of Sheffield</t>
  </si>
  <si>
    <t>Fogt, RL (corresponding author), Ohio Univ, Dept Geog, Scalia Lab Atmospher Anal, Athens, OH 45701 USA.</t>
  </si>
  <si>
    <t>NSF [1341621]; Office of Polar Programs (OPP); Directorate For Geosciences [1341621] Funding Source: National Science Foundation</t>
  </si>
  <si>
    <t>NSF(National Science Foundation (NSF)); Office of Polar Programs (OPP); Directorate For Geosciences(National Science Foundation (NSF)NSF - Directorate for Geosciences (GEO))</t>
  </si>
  <si>
    <t>All authors but J.M.J. acknowledge support from NSF grant 1341621. Thanks are extended to ECMWF for their reanalysis data (http://apps.ecmwf.int/datasets/), the British Antarctic Survey for hosting the Antarctic READER data (https://legacy.bas.ac.uk/met/READER/), NOAA Earth System Research Laboratory for the Twentieth Century Reanalysis data (http://www.esrl.noaa.gov/psd/data/gridded/data.20thC_ReanV2c.html), the UK Hadley Centre for HadSLP2 data (http://www.metoffice.gov.uk/hadobs/hadslp2/), and the NCAR/UCAR research data archive for the majority of midlatitude pressure data (http://rda.ucar.edu/datasets/ds570.0/#!description). The pressure reconstructions generated and evaluated here can be made available by request through email to the corresponding author R.L.F. (fogtr@ohio.edu).</t>
  </si>
  <si>
    <t>10.1002/2015JD024565</t>
  </si>
  <si>
    <t>WOS:000374710300020</t>
  </si>
  <si>
    <t>Chavtur, VG</t>
  </si>
  <si>
    <t>Chavtur, Vladimir G.</t>
  </si>
  <si>
    <t>Spinacopia dietkeyseri, a new species of Marine Ostracoda (Sarsiellidae: Myodocopina) from the Southern ocean</t>
  </si>
  <si>
    <t>ZOOTAXA</t>
  </si>
  <si>
    <t>benthic ostracods; Myodocopina; Sarsiellidae; Spinacopia; Antarctic Ocean</t>
  </si>
  <si>
    <t>Spinacopia dietkeyseri, a new species of the family Sarsiellidae is described from the Southern Ocean (61 degrees 48.70' S-47 degrees 28.04' W to 61 degrees 48.57' S-47 degrees 28.19 W) from the depth of 1993-1999 m. It very close to S. mastix Kornicker, 1975, but differs in the ornamentation on the surface of the carapace and in the number of setae on the maxilla, 5th, 6th and 7th limbs.</t>
  </si>
  <si>
    <t>[Chavtur, Vladimir G.] Russian Acad Sci, Far Eastern Branch, AV Zhirmunsky Inst Marine Biol, Vladivostok 690041, Russia; [Chavtur, Vladimir G.] Fed Far Eastern Univ, Vladivostok 690050, Russia</t>
  </si>
  <si>
    <t>Russian Academy of Sciences; National Scientific Center of Marine Biology, Far East Branch of the Russian Academy of Sciences; Far Eastern Federal University</t>
  </si>
  <si>
    <t>Chavtur, VG (corresponding author), Russian Acad Sci, Far Eastern Branch, AV Zhirmunsky Inst Marine Biol, Vladivostok 690041, Russia.;Chavtur, VG (corresponding author), Fed Far Eastern Univ, Vladivostok 690050, Russia.</t>
  </si>
  <si>
    <t>vchavtur@gmail.com</t>
  </si>
  <si>
    <t>Chavtur, Vladimir Grigoryevich/AAG-2457-2019</t>
  </si>
  <si>
    <t>Russian Fund Fundamental Investigations (RFFI) [16-04-00310A]</t>
  </si>
  <si>
    <t>Russian Fund Fundamental Investigations (RFFI)</t>
  </si>
  <si>
    <t>I wish to thank Prof. Angelika Brandt, curator of Crustacean Department in the Zoological Museum of Hamburg for assignment of ostracod collection for study. Also I am greatly indebted to Dr. A.G. Bashmanov from the Institute of Marine Biology Far East Branch, Russian Academy of Sciences, for technical assistance. This work was supported by the Russian Fund Fundamental Investigations (RFFI: no. 16-04-00310A). Thanks are also due to the reviewers of the MS for helpful suggestions. This is the ANDEEP publication #205.</t>
  </si>
  <si>
    <t>1175-5326</t>
  </si>
  <si>
    <t>1175-5334</t>
  </si>
  <si>
    <t>Zootaxa</t>
  </si>
  <si>
    <t>MAR 23</t>
  </si>
  <si>
    <t>10.11646/zootaxa.4093.3.6</t>
  </si>
  <si>
    <t>DK9NZ</t>
  </si>
  <si>
    <t>WOS:000375259000006</t>
  </si>
  <si>
    <t>Learman, DR; Henson, MW; Thrash, JC; Temperton, B; Brannock, PM; Santos, SR; Mahon, AR; Halanych, KM</t>
  </si>
  <si>
    <t>Learman, Deric R.; Henson, Michael W.; Thrash, J. Cameron; Temperton, Ben; Brannock, Pamela M.; Santos, Scott R.; Mahon, Andrew R.; Halanych, Kenneth M.</t>
  </si>
  <si>
    <t>Biogeochemical and Microbial Variation across 5500 km of Antarctic Surface Sediment Implicates Organic Matter as a Driver of Benthic Community Structure</t>
  </si>
  <si>
    <t>benthic communities; Antarctica; aquatic microbiology; biogeochemistry; microbial ecology</t>
  </si>
  <si>
    <t>DEEP-SEA SEDIMENTS; RNA GENE DATABASE; ICE-SHEET; ROSS SEA; CONTINENTAL-SHELF; SOUTHERN-OCEAN; NITROSOPUMILUS-MARITIMUS; MARINE-SEDIMENTS; COASTAL WATERS; FOOD BANKS</t>
  </si>
  <si>
    <t>Western Antarctica, one of the fastest warming locations on Earth, is a unique environment that is underexplored with regards to biodiversity. Although pelagic microbial communities in the Southern Ocean and coastal Antarctic waters have been well-studied, there are fewer investigations of benthic communities and most have a focused geographic range. We sampled surface sediment from 24 sites across a 5500 km region of Western Antarctica (covering the Ross Sea to the Weddell Sea) to examine relationships between microbial communities and sediment geochemistry. Sequencing of the 16S and 18S rRNA genes showed microbial communities in sediments from the Antarctic Peninsula (AP) and Western Antarctica (WA), including the Ross, Amundsen, and Bellingshausen Seas, could be distinguished by correlations with organic matter concentrations and stable isotope fractionation (total organic carbon; TOC, total nitrogen; TN, and delta C-13). Overall, samples from the AP were higher in nutrient content (TOC, TN, and NH4+) and communities in these samples had higher relative abundances of operational taxonomic units (OTUs) classified as the diatom, Chaetoceros, a marine cercozoan, and four OTUs classified as Flarnmeovirgaceae or Flavobacteria. As these OTUs were strongly correlated with TOC, the data suggests the diatoms could be a source of organic matter and the Bacteroidetes and cercozoan are grazers that consume the organic matter. Additionally, samples from WA have lower nutrients and were dominated by Thaumarchaeota, which could be related to their known ability to thrive as lithotrophs. This study documents the largest analysis of benthic microbial communities to date in the Southern Ocean, representing almost half the continental shoreline of Antarctica, and documents trophic interactions and coupling of pelagic and benthic communities. Our results indicate potential modifications in carbon sequestration processes related to change in community composition, identifying a prospective mechanism that links climate change to carbon availability.</t>
  </si>
  <si>
    <t>[Learman, Deric R.; Mahon, Andrew R.] Cent Michigan Univ, Inst Great Lakes Res, Dept Biol, Mt Pleasant, MI 48859 USA; [Henson, Michael W.; Thrash, J. Cameron] Louisiana State Univ, Dept Biol Sci, Baton Rouge, LA 70803 USA; [Temperton, Ben] Univ Exeter, Dept Biosci, Exeter, Devon, England; [Brannock, Pamela M.; Santos, Scott R.; Halanych, Kenneth M.] Auburn Univ, Dept Biol Sci, Auburn, AL 36849 USA</t>
  </si>
  <si>
    <t>Central Michigan University; Louisiana State University System; Louisiana State University; University of Exeter; Auburn University System; Auburn University</t>
  </si>
  <si>
    <t>Learman, DR (corresponding author), Cent Michigan Univ, Inst Great Lakes Res, Dept Biol, Mt Pleasant, MI 48859 USA.</t>
  </si>
  <si>
    <t>deric.learman@cmich.edu</t>
  </si>
  <si>
    <t>Halanych, Ken M/A-9480-2009; Santos, Scott R/A-7472-2009; Temperton, Ben/AAE-2785-2021</t>
  </si>
  <si>
    <t>Temperton, Ben/0000-0002-3667-8302; Henson, Michael/0000-0002-4351-797X; Brannock, Pamela/0000-0003-1677-453X; Learman, Deric/0000-0003-3809-296X; Mahon, Andrew/0000-0002-5074-8725</t>
  </si>
  <si>
    <t>NSF Antarctic Program [1043670, 1043745]; Central Michigan University Faculty Research and Creative Endeavors (FRCE) Committee; College of Science and Technology; Directorate For Geosciences; Office of Polar Programs (OPP) [1043745] Funding Source: National Science Foundation; Directorate For Geosciences; Office of Polar Programs (OPP) [1043670] Funding Source: National Science Foundation</t>
  </si>
  <si>
    <t>NSF Antarctic Program; Central Michigan University Faculty Research and Creative Endeavors (FRCE) Committee; College of Science and Technology; Directorate For Geosciences; Office of Polar Programs (OPP)(National Science Foundation (NSF)NSF - Directorate for Geosciences (GEO)); Directorate For Geosciences; Office of Polar Programs (OPP)(National Science Foundation (NSF)NSF - Directorate for Geosciences (GEO))</t>
  </si>
  <si>
    <t>Funds through NSF Antarctic Program: AM (CIVIU: Award Number 1043670), KH and SS (AU Award Number: 1043745) and from Central Michigan University Faculty Research and Creative Endeavors (FRCE) Committee and College of Science and Technology.</t>
  </si>
  <si>
    <t>10.3389/fmicb.2016.00284</t>
  </si>
  <si>
    <t>DH2BS</t>
  </si>
  <si>
    <t>WOS:000372589700001</t>
  </si>
  <si>
    <t>Turon, X; Cañete, JI; Sellanes, J; Rocha, RM; López-Legentil, S</t>
  </si>
  <si>
    <t>Turon, Xavier; Canete, Juan I.; Sellanes, Javier; Rocha, Rosana M.; Lopez-Legentil, Susanna</t>
  </si>
  <si>
    <t>Ascidian fauna (Tunicata, Ascidiacea) of subantarctic and temperate regions of Chile</t>
  </si>
  <si>
    <t>Chordata; Tunicata; Ascidiacea</t>
  </si>
  <si>
    <t>CIONA-INTESTINALIS; SOUTHERN-HEMISPHERE; CRYPTIC SPECIATION; BIOGEOGRAPHY; INVERTEBRATE; DIDEMNIDAE; GENETICS; FRANCE</t>
  </si>
  <si>
    <t>We studied the ascidian fauna from two zones located in subantarctic (Punta Arenas, latitude 53 degrees) and temperate Chile (Coquimbo, latitude 29 degrees). The different oceanographic features of the two zones, with influence of the Humboldt Current in the north and the Cape Horn Current System and freshwater inputs in the south, led to markedly different ascidian faunas. A total of 22 species were recorded, with no shared species across the two areas (11 species each). The new species Polyzoa iosune is described, Lissoclinum perforatum is found for the first time in the Pacific Ocean, and Synoicum georgianum and Polyzoa minor are new to the Chilean fauna. The populations of Ciona in the Coquimbo area (formerly attributed to Ciona intestinalis) correspond to the species Ciona robusta. A total of 35 Cytochrome oxidase (COI) sequences of the standard barcode region have been obtained for 17 of the 22 species reported.</t>
  </si>
  <si>
    <t>[Turon, Xavier] CSIC, CEAB, Ctr Adv Studies Blanes, Blanes, Girona, Spain; [Canete, Juan I.] Univ Magallanes, Fac Ciencias, Punta Arenas, Chile; [Sellanes, Javier] Univ Catolica Norte, Fac Ciencias Mar, Dept Biol Marina, Coquimbo, Chile; [Rocha, Rosana M.] Univ Fed Parana, Dept Zool, BR-80060000 Curitiba, Parana, Brazil; [Lopez-Legentil, Susanna] Univ N Carolina, Dept Biol &amp; Marine Biol, Wilmington, NC 28401 USA; [Lopez-Legentil, Susanna] Univ N Carolina, Ctr Marine Sci, Wilmington, NC 28401 USA</t>
  </si>
  <si>
    <t>Consejo Superior de Investigaciones Cientificas (CSIC); CSIC - Centre d'Estudis Avancats de Blanes (CEAB); Universidad de Magallanes; Universidad Catolica del Norte; Universidade Federal do Parana; University of North Carolina; University of North Carolina Wilmington; University of North Carolina; University of North Carolina Wilmington</t>
  </si>
  <si>
    <t>Turon, X (corresponding author), CSIC, CEAB, Ctr Adv Studies Blanes, Blanes, Girona, Spain.</t>
  </si>
  <si>
    <t>Lopez-Legentil, Susanna/B-8194-2008; Sellanes, Javier/P-4699-2019; Turon, Xavier/J-9211-2012; Canete, Juan/GRS-4620-2022; Sellanes, Javier/I-5722-2012; Rocha, Rosana M./H-7989-2012; da Rocha, Rosana Moreira/AAD-8390-2019</t>
  </si>
  <si>
    <t>Lopez-Legentil, Susanna/0000-0001-8737-6729; Sellanes, Javier/0000-0002-6942-0762; Turon, Xavier/0000-0002-9229-5541; Sellanes, Javier/0000-0002-6942-0762; Rocha, Rosana M./0000-0001-6712-7960; da Rocha, Rosana Moreira/0000-0001-6712-7960</t>
  </si>
  <si>
    <t>CONICYT Chile [80122006]; Spanish Government [CHALLENGEN CTM2013-48163]; University of Magallanes: UMAG/DIP Grant [PR-F2-01CRN-12]; University of Magallanes: CIMAR 18 Fjords Chilean Navy; University of Magallanes: CIMAR 20 Fjords Chilean Navy; GAIA-Antarctic Project (MINEDUC-UMAG); CNPq-National Counsel of Technological and Scientific Development [304768/2010-3]</t>
  </si>
  <si>
    <t>CONICYT Chile(Comision Nacional de Investigacion Cientifica y Tecnologica (CONICYT)); Spanish Government(Spanish Government); University of Magallanes: UMAG/DIP Grant; University of Magallanes: CIMAR 18 Fjords Chilean Navy; University of Magallanes: CIMAR 20 Fjords Chilean Navy; GAIA-Antarctic Project (MINEDUC-UMAG); CNPq-National Counsel of Technological and Scientific Development(Conselho Nacional de Desenvolvimento Cientifico e Tecnologico (CNPQ))</t>
  </si>
  <si>
    <t>We acknowledge Empresa Nacional del Petroleo, ENAP, for granting access to its docks in Cabo Negro. Marcelina Novoa for sharing samples from Bahia Tongoy. Martin Thiel helped with the sampling in Coquimbo. This research was funded by CONICYT Chile (Grant 80122006). Additional funding was obtained by XT from the Spanish Government (project CHALLENGEN CTM2013-48163) and by JIC from University of Magallanes: UMAG/DI&amp;P Grant PR-F2-01CRN-12, CIMAR 18 &amp; CIMAR 20 Fjords Chilean Navy, and GAIA-Antarctic Project (MINEDUC-UMAG). RMR received a research grant from CNPq-National Counsel of Technological and Scientific Development (304768/2010-3).</t>
  </si>
  <si>
    <t>250F Marua Road Mt Wellington, AUCKLAND, ST LUKES 1023, NEW ZEALAND</t>
  </si>
  <si>
    <t>MAR 22</t>
  </si>
  <si>
    <t>10.11646/zootaxa.4093.2.1</t>
  </si>
  <si>
    <t>DK9NW</t>
  </si>
  <si>
    <t>WOS:000375258700001</t>
  </si>
  <si>
    <t>Ramos, R; Ramírez, I; Paiva, VH; Militao, T; Biscoito, M; Menezes, D; Phillips, RA; Zino, F; González-Solís, J</t>
  </si>
  <si>
    <t>Ramos, Raul; Ramirez, Ivan; Paiva, Vitor H.; Militao, Teresa; Biscoito, Manuel; Menezes, Dilia; Phillips, Richard A.; Zino, Francis; Gonzalez-Solis, Jacob</t>
  </si>
  <si>
    <t>Global spatial ecology of three closely-related gadfly petrels</t>
  </si>
  <si>
    <t>POPULATION DIFFERENTIATION; PELAGIC SEABIRD; MIGRATION; ISLAND; BEHAVIOR; MACARONESIA; HYPOTHESIS; SEPARATION; SHEARWATER; MORTALITY</t>
  </si>
  <si>
    <t>The conservation status and taxonomy of the three gadfly petrels that breed in Macaronesia is still discussed partly due to the scarce information on their spatial ecology. Using geolocator and capture-mark-recapture data, we examined phenology, natal philopatry and breeding-site fidelity, year-round distribution, habitat usage and at-sea activity of the three closely-related gadfly petrels that breed in Macaronesia: Zino's petrel Pterodroma madeira, Desertas petrel P. deserta and Cape Verde petrel P. feae. All P. feae remained around the breeding area during their non-breeding season, whereas P. madeira and P. deserta dispersed far from their colony, migrating either to the Cape Verde region, further south to equatorial waters in the central Atlantic, or to the Brazil Current. The three taxa displayed a clear allochrony in timing of breeding. Habitat modelling and at-sea activity patterns highlighted similar environmental preferences and foraging behaviours of the three taxa. Finally, no chick or adult was recaptured away from its natal site and survival estimates were relatively high at all study sites, indicating strong philopatry and breeding-site fidelity for the three taxa. The combination of high philopatry, marked breeding asynchrony and substantial spatio-temporal segregation of their year-round distribution suggest very limited gene flow among the three taxa.</t>
  </si>
  <si>
    <t>[Ramos, Raul; Militao, Teresa; Gonzalez-Solis, Jacob] Univ Barcelona, Inst Recerca Biodiversitat IRBio, Av Diagonal 643, E-08028 Barcelona, Spain; [Ramos, Raul; Militao, Teresa; Gonzalez-Solis, Jacob] Univ Barcelona, Dept Biol Anim, Av Diagonal 643, E-08028 Barcelona, Spain; [Ramirez, Ivan] BirdLife Int, David Attenborough Bldg,Pembroke St, Cambridge CB2 3QZ, England; [Paiva, Vitor H.] Univ Coimbra, Dept Life Sci, Marine &amp; Environm Sci Ctr MARE, P-3004517 Coimbra, Portugal; [Biscoito, Manuel; Zino, Francis] Estacao Biol Marinha Funchal, Marine &amp; Environm Sci Ctr MARE, Rua Mouraria 31, P-9004546 Funchal, Madeira, Portugal; [Biscoito, Manuel; Zino, Francis] OOM Museu Hist Nat Funchal, Rua Mouraria 31, P-9004546 Funchal, Madeira, Portugal; [Menezes, Dilia] Quinta Bom Sucesso, Parque Nat Madeira, P-9050251 Funchal, Madeira, Portugal; [Phillips, Richard A.] British Antarctic Survey, Nat Environm Res Council, Madingley Rd, Cambridge CB3 0ET, England; [Biscoito, Manuel; Zino, Francis] FCP, Ave Infante 26, P-9000015 Funchal, Madeira, Portugal</t>
  </si>
  <si>
    <t>University of Barcelona; University of Barcelona; BirdLife International; Universidade de Coimbra; UK Research &amp; Innovation (UKRI); Natural Environment Research Council (NERC); NERC British Antarctic Survey</t>
  </si>
  <si>
    <t>Ramos, R (corresponding author), Univ Barcelona, Inst Recerca Biodiversitat IRBio, Av Diagonal 643, E-08028 Barcelona, Spain.;Ramos, R (corresponding author), Univ Barcelona, Dept Biol Anim, Av Diagonal 643, E-08028 Barcelona, Spain.</t>
  </si>
  <si>
    <t>ramos@ub.edu</t>
  </si>
  <si>
    <t>Paiva, Vitor H./J-1092-2019; Paiva, Vitor Hugo/GRX-9179-2022; Biscoito, Manuel/AAC-4390-2021; Militao, Teresa/AAA-6151-2019; Ramos, Raül/S-3112-2016; González-Solís, Jacob/AAB-1161-2019; Gonzalez-Solis, Jacob/C-3942-2008</t>
  </si>
  <si>
    <t>Paiva, Vitor H./0000-0001-6368-9579; Biscoito, Manuel/0000-0002-9347-0823; Militao, Teresa/0000-0002-2862-1592; Ramos, Raül/0000-0002-0551-8605; Gonzalez-Solis, Jacob/0000-0002-8691-9397; Ramirez, Ivan/0000-0001-7944-8710</t>
  </si>
  <si>
    <t>Ministerio de Economia y Competitividad (MINECO); Fondos FEDER [CGL2009-11278/BOS, CGL2013-42585-P]; British Ornithologists' Union (BOU); Beatriu de Pinos; Catalan AGAUR agency [2010-BPA-00173]; Spanish MINECO [JCI-2012-11848]; Portuguese Foundation for Science and Technology (FCT) [SFRH/BPD/85024/2012, SFRH/BD/47467/2008]; [LIFE06 NAT/P000184]; Natural Environment Research Council [bas0100035] Funding Source: researchfish; NERC [bas0100035] Funding Source: UKRI</t>
  </si>
  <si>
    <t>Ministerio de Economia y Competitividad (MINECO)(Spanish Government); Fondos FEDER(European Union (EU)); British Ornithologists' Union (BOU); Beatriu de Pinos; Catalan AGAUR agency; Spanish MINECO(Spanish Government); Portuguese Foundation for Science and Technology (FCT)(Fundacao para a Ciencia e a Tecnologia (FCT)); ; Natural Environment Research Council(UK Research &amp; Innovation (UKRI)Natural Environment Research Council (NERC)); NERC(UK Research &amp; Innovation (UKRI)Natural Environment Research Council (NERC))</t>
  </si>
  <si>
    <t>We thank the Direccao Nacional do Ambiente and the Parque Natural do Fogo from Cape Verde and the Natural Park of Madeira (PNM) for permission and support in conducting the respective fieldworks. We acknowledge the Ministerio de Economia y Competitividad (MINECO), the Fondos FEDER (CGL2009-11278/BOS, CGL2013-42585-P), the European Project LIFE06 NAT/P000184 and the British Ornithologists' Union (BOU) for funding. We also thank Herculano Dinis, Alexander Nevsky, Enric Batllori, Gaia Dell'Ariccia, Laura Zango, Antonio Hernandez-Matias, Denis Montrond, Pascual Calabuig, Silvana Roque, Isabel Fagundes as well as PNM wardens for helping at various stages of the work. RR was supported by postdoctoral contracts of the Beatriu de Pinos and Juan de la Cierva programs, from the Catalan AGAUR agency (2010-BPA-00173) and the Spanish MINECO (JCI-2012-11848), respectively. Portuguese Foundation for Science and Technology (FCT) supported VHP (post-doc grant SFRH/BPD/85024/2012) and TM (PhD grant SFRH/BD/47467/2008).</t>
  </si>
  <si>
    <t>10.1038/srep23447</t>
  </si>
  <si>
    <t>DH1GM</t>
  </si>
  <si>
    <t>WOS:000372532400001</t>
  </si>
  <si>
    <t>Letessier, TB; Cox, MJ; Meeuwig, JJ; Boersch-Supan, PH; Brierley, AS</t>
  </si>
  <si>
    <t>Letessier, Tom B.; Cox, Martin J.; Meeuwig, Jessica J.; Boersch-Supan, Philipp H.; Brierley, Andrew S.</t>
  </si>
  <si>
    <t>Enhanced pelagic biomass around coral atolls</t>
  </si>
  <si>
    <t>Oceanic; Acoustic scatterers; Seamount; Tuna; Reserve; Coral reefs</t>
  </si>
  <si>
    <t>OPEN-OCEAN; FISHES; ZOOPLANKTON; SEAMOUNTS; REEF</t>
  </si>
  <si>
    <t>Understanding the processes driving the distribution of mid-water prey such as euphausiids and lanternfish is important for effective management and conservation. In the vicinity of abrupt topographic features such as banks, seamounts and shelf-breaks, mid-water faunal biomass is often elevated, making these sites candidates for special protection. We investigated the spatial distribution of water column acoustic backscatter-a proxy for macrozoo plankton and fish biomass-in the 9 km transition zone between the pelagos and coral atolls in the Chagos Archipelago (6 degrees N, 72 degrees E). The purpose was to determine the magnitude and distance over which bathymetry may enhance biomass in the mid-water, and thereby identify the scale over which static topographic features could influence the open ocean. Two distinct sound scattering layers were identified, from the surface to 180 m and from 300 to 600 m, during daytime. Both layers exhibited significant increases in backscatter near features. Close to features, the shallow layer backscatter was ca. 100 times higher and was driven partly by increasing numbers of larger individuals, evident as single target echoes. We determine the regional scale of influence of features on pelagic biomass enhancement to be ca. 1.8 km in the Chagos Archipelago, and suggest possible ecological explanations that may support it. Our approach determining the scale of influence of bathymetry should be applied during the process of marine reserve design, in order to improve protection of mid-water fauna associated with topographical features, such as seamounts and coral reefs.</t>
  </si>
  <si>
    <t>[Letessier, Tom B.; Meeuwig, Jessica J.] Univ Western Australia, Ctr Marine Futures, Oceans Inst, M470,35 Stirling Highway, Crawley, WA 6009, Australia; [Letessier, Tom B.] Zool Soc London, Inst Zool, Regents Pk, London NW1 4RY, England; [Cox, Martin J.] Australian Antarctic Div, Channel Highway, Kingston, Tas 7050, Australia; [Meeuwig, Jessica J.] Univ Western Australia, Sch Anim Biol, M470,35 Stirling Highway, Crawley, WA 6009, Australia; [Boersch-Supan, Philipp H.; Brierley, Andrew S.] Univ St Andrews, Pelag Ecol Res Grp, Scottish Oceans Inst, St Andrews KY16 8LB, Fife, Scotland; [Boersch-Supan, Philipp H.] Univ Oxford, Dept Zool, Oxford OX1 3PS, England; [Boersch-Supan, Philipp H.] Univ S Florida, Dept Integrat Biol, Tampa, FL 33620 USA</t>
  </si>
  <si>
    <t>University of Western Australia; Zoological Society of London; Australian Antarctic Division; University of Western Australia; University of St Andrews; University of Oxford; State University System of Florida; University of South Florida</t>
  </si>
  <si>
    <t>Letessier, TB (corresponding author), Univ Western Australia, Ctr Marine Futures, Oceans Inst, M470,35 Stirling Highway, Crawley, WA 6009, Australia.;Letessier, TB (corresponding author), Zool Soc London, Inst Zool, Regents Pk, London NW1 4RY, England.</t>
  </si>
  <si>
    <t>tom.letessier@ioz.ac.uk</t>
  </si>
  <si>
    <t>Boersch-Supan, Philipp H/A-3040-2012; Letessier, Tom Bech/AAV-2759-2020; Brierley, Andrew/G-8019-2011</t>
  </si>
  <si>
    <t>Boersch-Supan, Philipp H/0000-0001-6723-6833; Letessier, Tom Bech/0000-0003-4011-0207; Meeuwig, Jessica/0000-0003-1169-8785; Brierley, Andrew/0000-0002-6438-6892</t>
  </si>
  <si>
    <t>Marine Biodiversity Hub through the Australian Government's National Environmental Research Program (NERP); Cusanuswerk doctoral fellowship; Lesley AMP; Charles Hilton-Brown Scholarship, University of St. Andrews; Fisheries Society of the British Isles; Australian Research Council [FS110200057]; NASA; Australian Research Council [FS110200057] Funding Source: Australian Research Council</t>
  </si>
  <si>
    <t>Marine Biodiversity Hub through the Australian Government's National Environmental Research Program (NERP)(Australian Government); Cusanuswerk doctoral fellowship; Lesley AMP; Charles Hilton-Brown Scholarship, University of St. Andrews; Fisheries Society of the British Isles; Australian Research Council(Australian Research Council); NASA(National Aeronautics &amp; Space Administration (NASA)); Australian Research Council(Australian Research Council)</t>
  </si>
  <si>
    <t>T.B.L. was supported by the Marine Biodiversity Hub through the Australian Government's National Environmental Research Program (NERP). P.H.B.-S. was supported by a Cusanuswerk doctoral fellowship, a Lesley &amp; Charles Hilton-Brown Scholarship, University of St. Andrews, and a grant from the Fisheries Society of the British Isles. M.J.C. was supported by Australian Research Council grant FS110200057. Millennium Coral Reef Mapping Project validated maps were provided by the Institute for Marine Remote Sensing, University of South Florida and Institut de Recherche pour le Developpement, Centre de Noumea, with support from NASA (http://imars.marine.usf.edu/MC/). Ship time was provided by the UK Foreign &amp; Commonwealth Office and BIOT Administration. We are indebted to the Master, Chief Engineer and crew of FPV 'Pacific Marlin' for their outstanding support.</t>
  </si>
  <si>
    <t>MAR 21</t>
  </si>
  <si>
    <t>10.3354/meps11675</t>
  </si>
  <si>
    <t>DJ5IQ</t>
  </si>
  <si>
    <t>Green Submitted, Green Accepted</t>
  </si>
  <si>
    <t>WOS:000374240800022</t>
  </si>
  <si>
    <t>Watanuki, Y; Yamashita, A; Ishizuka, M; Ikenaka, Y; Nakayama, SMM; Ishii, C; Yamamoto, T; Ito, M; Kuwae, T; Trathan, PN</t>
  </si>
  <si>
    <t>Watanuki, Yutaka; Yamashita, Ai; Ishizuka, Mayumi; Ikenaka, Yoshinori; Nakayama, Shouta M. M.; Ishii, Chihiro; Yamamoto, Takashi; Ito, Motohiro; Kuwae, Tomohiro; Trathan, Philip N.</t>
  </si>
  <si>
    <t>Feather mercury concentration in streaked shearwaters wintering in separate areas of southeast Asia</t>
  </si>
  <si>
    <t>Geolocator; Migration; delta N-15; Breeding</t>
  </si>
  <si>
    <t>CALONECTRIS-LEUCOMELAS; MOLTING STRATEGIES; MIGRATORY SEABIRD; CORYS SHEARWATERS; PELAGIC SEABIRD; STABLE-ISOTOPES; DIOMEDEA; BEHAVIOR; SEX; ALBATROSSES</t>
  </si>
  <si>
    <t>We measured mercury concentration ([Hg]) and nitrogen stable isotope values (delta N-15) in tail feathers that were replaced during the non-breeding period of streaked shearwaters Calonectris leucomelas that bred on 3 islands in Japan. The birds' year-round movements were tracked and their breeding status was monitored. [Hg] was greater in males than in females, and was greatest in those birds spending their non-breeding period in the South China Sea (3.1 +/- 1.5 mu g g(-1) dry weight), moderate in birds in the Arafura Sea (1.5 +/- 0.7 mu g g(-1)), and lowest in birds in the Pacific Ocean north of New Guinea (0.8 +/- 0.4 mu g g(-1)). Adverse effects of feather [Hg] on breeding status were not observed. This regional variation in feather [Hg] might partly reflect differences in the intake of Hg between these non-breeding areas in addition to accumulation during the late breeding period and the southward migration period.</t>
  </si>
  <si>
    <t>[Watanuki, Yutaka; Yamashita, Ai; Yamamoto, Takashi] Hokkaido Univ, Grad Sch Fisheries Sci, Minato Cho 3-1-1, Hakodate, Hokkaido 0418611, Japan; [Ishizuka, Mayumi; Ikenaka, Yoshinori; Nakayama, Shouta M. M.; Ishii, Chihiro] Hokkaido Univ, Grad Sch Vet Med, Kita 18 Nishi 9, Sapporo, Hokkaido 0600818, Japan; [Yamamoto, Takashi; Ito, Motohiro] Natl Inst Polar Res, Midori Cho 10-3, Tachikawa, Tokyo 1908518, Japan; [Kuwae, Tomohiro] Port &amp; Airport Res Inst, Nagase 3-1-1, Yokosuka, Kanagawa 2390826, Japan; [Trathan, Philip N.] British Antarctic Survey, Madingley Rd, Cambridge CB3 0ET, England</t>
  </si>
  <si>
    <t>Hokkaido University; Hokkaido University; Research Organization of Information &amp; Systems (ROIS); National Institute of Polar Research (NIPR) - Japan; Port &amp; Airport Research Institute; UK Research &amp; Innovation (UKRI); Natural Environment Research Council (NERC); NERC British Antarctic Survey</t>
  </si>
  <si>
    <t>Watanuki, Y (corresponding author), Hokkaido Univ, Grad Sch Fisheries Sci, Minato Cho 3-1-1, Hakodate, Hokkaido 0418611, Japan.</t>
  </si>
  <si>
    <t>ywata@fish.hokudai.ac.jp</t>
  </si>
  <si>
    <t>IKENAKA, Yoshinori/F-8529-2012</t>
  </si>
  <si>
    <t>Ikenaka, Yoshinori/0000-0002-6633-6637</t>
  </si>
  <si>
    <t>Japan Society for the Promotion of Science (JSPS) [20241001, 20519002, 24370016]; Fujiwara Natural History Foundation [19]; Cooperative Program of Atmosphere and Ocean Research Institute [110]; Grants-in-Aid for Scientific Research [16H01779, 15H02825, 20241001, 16K16197, 26304043, 15J07507, 13J06234, 20519002] Funding Source: KAKEN; Natural Environment Research Council [bas0100035] Funding Source: researchfish; NERC [bas0100035] Funding Source: UKRI</t>
  </si>
  <si>
    <t>Japan Society for the Promotion of Science (JSPS)(Ministry of Education, Culture, Sports, Science and Technology, Japan (MEXT)Japan Society for the Promotion of Science); Fujiwara Natural History Foundation; Cooperative Program of Atmosphere and Ocean Research Institute; Grants-in-Aid for Scientific Research(Ministry of Education, Culture, Sports, Science and Technology, Japan (MEXT)Japan Society for the Promotion of ScienceGrants-in-Aid for Scientific Research (KAKENHI)); Natural Environment Research Council(UK Research &amp; Innovation (UKRI)Natural Environment Research Council (NERC)); NERC(UK Research &amp; Innovation (UKRI)Natural Environment Research Council (NERC))</t>
  </si>
  <si>
    <t>We thank M. Yamamoto, N. Oka, K. Sato, A. Takahashi, K. Yoda, N. Katsumata, M. Shirai, S. Kurimoto, N. Miura, and T. Honbo for field assistance, and R. Yamashita for chemical analyses. The study was supported by the Japan Society for the Promotion of Science (JSPS) (grant nos. #20241001, #20519002, #24370016), the Fujiwara Natural History Foundation (No. 19), and the Cooperative Program of Atmosphere and Ocean Research Institute (No. 110, 2009). Three anonymous reviewers gave critical and constructive comments.</t>
  </si>
  <si>
    <t>10.3354/meps11669</t>
  </si>
  <si>
    <t>WOS:000374240800021</t>
  </si>
  <si>
    <t>See-Too, WS; Lim, YL; Ee, R; Convey, P; Pearce, DA; Yin, WF; Chan, KG</t>
  </si>
  <si>
    <t>See-Too, Wah Seng; Lim, Yan-Lue; Ee, Robson; Convey, Peter; Pearce, David A.; Yin, Wai-Fong; Chan, Kok Gan</t>
  </si>
  <si>
    <t>Complete genome of Pseudomonas sp strain L10.10, a psychrotolerant biofertilizer that could promote plant growth</t>
  </si>
  <si>
    <t>Plant disease control; Nitrogen fixing; Indole acetic acid; Hydrogen cyanide; Plant growth-promoting rhizobacteria</t>
  </si>
  <si>
    <t>SUBSYSTEMS TECHNOLOGY; RAST</t>
  </si>
  <si>
    <t>Pseudomonas sp. strain L10.10 (=DSM 101070) is a psychrotolerant bacterium which was isolated from Lagoon Island, Antarctica. Analysis of its complete genome sequence indicates its possible role as a plant growth promoting bacterium, including nitrogen-fixing ability and indole acetic acid (IAA)-producing trait, with additional suggestion of plant disease prevention attributes via hydrogen cyanide production. (c) 2016 Elsevier B.V. All rights reserved.</t>
  </si>
  <si>
    <t>[See-Too, Wah Seng; Lim, Yan-Lue; Ee, Robson; Yin, Wai-Fong; Chan, Kok Gan] Univ Malaya, Fac Sci, Inst Biol Sci, Div Genet &amp; Mol Biol, Kuala Lumpur 50603, Malaysia; [See-Too, Wah Seng; Convey, Peter; Pearce, David A.] Univ Malaya, Inst Postgrad Studies, Natl Antarctic Res Ctr, Kuala Lumpur 50603, Malaysia; [Convey, Peter; Pearce, David A.] British Antarctic Survey, NERC, Madingley Rd, Cambridge CB3 0ET, England; [Pearce, David A.] Northumbria Univ, Fac Hlth &amp; Life Sci, Newcastle Upon Tyne NE1 8ST, Tyne &amp; Wear, England; [Chan, Kok Gan] Univ Malaya, UM Omics Ctr, Kuala Lumpur 50603, Malaysia</t>
  </si>
  <si>
    <t>Universiti Malaya; Universiti Malaya; UK Research &amp; Innovation (UKRI); Natural Environment Research Council (NERC); NERC British Antarctic Survey; Northumbria University; Universiti Malaya</t>
  </si>
  <si>
    <t>Chan, KG (corresponding author), Univ Malaya, Fac Sci, Inst Biol Sci, Div Genet &amp; Mol Biol, Kuala Lumpur 50603, Malaysia.</t>
  </si>
  <si>
    <t>kokgan@um.edu.my</t>
  </si>
  <si>
    <t>See-Too, Wah-Seng/O-9330-2019; Chan, Kok-Gan/B-8347-2010; Convey, Peter/AAV-5728-2020; Ee, Robson/J-5589-2014; Yin, Wai-Fong/H-3376-2016</t>
  </si>
  <si>
    <t>See-Too, Wah-Seng/0000-0003-0843-1895; Chan, Kok-Gan/0000-0002-1883-1115; Convey, Peter/0000-0001-8497-9903; Ee, Robson/0000-0002-9181-1305; Yin, Wai-Fong/0000-0003-2177-6169; Pearce, David/0000-0001-5292-4596</t>
  </si>
  <si>
    <t>University of Malaya High Impact Research Grants (UM-MOHE HIR) [UM.C/625/1/HIR/MOHE/CHAN/14/1, H-50001-A000027, UM.C/625/1/HIR/MOHE/CHAN/01, A-000001-50001]; NERC; NERC [bas0100036] Funding Source: UKRI; Natural Environment Research Council [bas0100036] Funding Source: researchfish</t>
  </si>
  <si>
    <t>University of Malaya High Impact Research Grants (UM-MOHE HIR); NERC(UK Research &amp; Innovation (UKRI)Natural Environment Research Council (NERC)); NERC(UK Research &amp; Innovation (UKRI)Natural Environment Research Council (NERC)); Natural Environment Research Council(UK Research &amp; Innovation (UKRI)Natural Environment Research Council (NERC))</t>
  </si>
  <si>
    <t>This work was supported by the University of Malaya High Impact Research Grants (UM-MOHE HIR Grant UM.C/625/1/HIR/MOHE/CHAN/14/1, Grant No, H-50001-A000027; UM-MOHE HIR Grant UM.C/625/1/HIR/MOHE/CHAN/01, Grant No. A-000001-50001) awarded to Kok-Gan Chan, The British Antarctic Survey (BAS) provided logistic support for the collection of thc original soil sample from Lagoon Island, Peter Convey is supported by NERC core funding to the BAS 'Biodiversity, Evolution and Adaptation Team, and this paper also contributes to the Scientific Committee on Antarctic Research international programme 'Antarctic Thresholds - Ecosystem Resilience and Adaptation'.</t>
  </si>
  <si>
    <t>MAR 20</t>
  </si>
  <si>
    <t>10.1016/j.jbiotec.2016.02.017</t>
  </si>
  <si>
    <t>DF6IR</t>
  </si>
  <si>
    <t>WOS:000371459600017</t>
  </si>
  <si>
    <t>Anderson, OF</t>
  </si>
  <si>
    <t>Anderson, Owen F.</t>
  </si>
  <si>
    <t>A review of New Zealand and southeast Australian echinothurioids (Echinodermata: Echinothurioida)-excluding the subfamily Echinothuriinae-with a description of a new species of Tromikosoma</t>
  </si>
  <si>
    <t>Echinoid; tam o'shanter; Echinothurioida; Echinothuriidae; Phormosomatidae; Hygrosoma; Sperosoma; Tromikosoma; Kamptosoma; Phormosoma; new species; taxonomy; New Zealand; Australia</t>
  </si>
  <si>
    <t>SEA-URCHINS; PHYLOGENY; FORM</t>
  </si>
  <si>
    <t>An examination of a large collection of echinothurioid echinoids (excluding the subfamily Echinothuriinae Thomson) from museum collections in New Zealand and Australia has expanded the known diversity of the group in New Zealand from three species in two genera to seven species in five genera, and revealed a new species in the genus Tromikosoma Mortensen. New records for New Zealand and Australia are reported for Sperosoma obscurum Agassiz and Clark, 1907 and S. nudum Shigei, 1978 and new records for New Zealand are reported for Tromikosoma australe (Koehler, 1922) and Kamptosoma asterias (A. Agassiz, 1881). Tromikosoma rugosum sp. nov., remarkable for its unusual wrinkled appearance and exceedingly thin test, is described from deep water in the northeast of New Zealand. No evidence for the existence of Phormosoma rigidum A. Agassiz, 1881 as a species separate from P. bursarium A. Agassiz, 1881 was found, and synonymy with P. bursarium is proposed. Previous records of these echinoid species were rare, as they live mostly in deep water (&gt; 1000 m), and three species were previously known from the type material alone. Tromikosoma rugosum sp. nov. now falls into that category, but new material of the other species greatly expands both the number of known records and their geographical distribution. The majority of these new records are from the New Zealand region, with several additional records from south-east Australia. An updated key to the echinothurioids of New Zealand is provided.</t>
  </si>
  <si>
    <t>[Anderson, Owen F.] Natl Inst Water &amp; Atmospher Res Ltd, Private Bag 14 901, Wellington, New Zealand</t>
  </si>
  <si>
    <t>National Institute of Water &amp; Atmospheric Research (NIWA) - New Zealand</t>
  </si>
  <si>
    <t>Anderson, OF (corresponding author), Natl Inst Water &amp; Atmospher Res Ltd, Private Bag 14 901, Wellington, New Zealand.</t>
  </si>
  <si>
    <t>owen.anderson@niwa.co.nz</t>
  </si>
  <si>
    <t>NIWA under Coasts and Oceans Research Programme 2 Marine Biological Resources: Discovery and definition of the marine biota of New Zealand; New Zealand Ministry for Business, Innovation, and Employment (MBIE) (NIWA Core project) [COBR1502]; MBIE</t>
  </si>
  <si>
    <t>NIWA under Coasts and Oceans Research Programme 2 Marine Biological Resources: Discovery and definition of the marine biota of New Zealand; New Zealand Ministry for Business, Innovation, and Employment (MBIE) (NIWA Core project)(New Zealand Ministry of Business, Innovation and Employment (MBIE)); MBIE(New Zealand Ministry of Business, Innovation and Employment (MBIE))</t>
  </si>
  <si>
    <t>Thanks to NIWA colleagues Kareen Schnabel and Sadie Mills for their ongoing assistance in the NIWA Invertebrate Collection, Wendy Nelson and Michelle Kelly for their support for this research, and Janet Grieve for identification of the parasitic copepod in Sperosoma obscurum. Thanks to Tim O'Hara and Chris Rowley (Museum Victoria), Rick Webber (Te Papa), and Steven Keable (Australian Museum) for help with access to specimens. This research was supported by NIWA under Coasts and Oceans Research Programme 2 Marine Biological Resources: Discovery and definition of the marine biota of New Zealand and funded by the New Zealand Ministry for Business, Innovation, and Employment (MBIE) (NIWA Core project COBR1502). The images in Figures 19 and 23 were taken during the MBIE-funded 2010 Vulnerable Deep-Sea Communities and multi-agency funded 2008 International Polar Year-Census of Antarctic Marine Life surveys, respectively. I am especially grateful for the careful reviews by Rich Mooi and another anonymous reviewer, which improved this article considerably.</t>
  </si>
  <si>
    <t>MAR 18</t>
  </si>
  <si>
    <t>DK9NO</t>
  </si>
  <si>
    <t>WOS:000375257700001</t>
  </si>
  <si>
    <t>Yokoyama, Y; Maeda, Y; Okuno, J; Miyairi, Y; Kosuge, T</t>
  </si>
  <si>
    <t>Yokoyama, Yusuke; Maeda, Yasuo; Okuno, Jun'ichi; Miyairi, Yosuke; Kosuge, Takeharu</t>
  </si>
  <si>
    <t>Holocene Antarctic melting and lithospheric uplift history of the southern Okinawa trough inferred from mid- to late-Holocene sea level in Iriomote Island, Ryukyu, Japan</t>
  </si>
  <si>
    <t>QUATERNARY INTERNATIONAL</t>
  </si>
  <si>
    <t>Sea level; Ryukyu; Antarctica; Holocene; Tectonics; Glacio hydro isostasy</t>
  </si>
  <si>
    <t>LAST GLACIAL MAXIMUM; LUTZOW-HOLM BAY; ICE-AGE EARTH; MODEL; EAST; DEGLACIATION; ISOSTASY; VOLUMES; TSUNAMI; COAST</t>
  </si>
  <si>
    <t>Relative sea level deduced from fossil oysters and mangroves are reported for Iriomote Island, Ryukyus, southwestern Japan. Radiocarbon-dated fossil oysters, as well as previously analyzed mangrove muds, are compared to geophysical and glacio-hydro-isostatic adjustment (GIA) models that describe Earth deformation due to changing surface loading. The Holocene-high-stand (HHS) inferred from oyster fossils (Saccostrea echinata and Saccostrea malaboensis) is 2.7 m at ca. 3500 years ago, after which sea level gradually fell to present level. The HHS magnitude attributed to GIA for the last ca. 4000 is between 1 and 1.5 m above present day sea level, and the residual indicates the long-term lithospheric uplift rate of the island. The timing of peak HHS also indicates that late Holocene melting mainly from Antarctica ceased by approximately 4000 years ago. (C) 2015 Elsevier Ltd and INQUA. All rights reserved.</t>
  </si>
  <si>
    <t>[Yokoyama, Yusuke; Miyairi, Yosuke] Univ Tokyo, Atmosphere &amp; Ocean Res Inst, 5-1-5 Kashiwanoha, Kashiwa, Chiba 2778564, Japan; [Maeda, Yasuo] Univ Hyogo, Inst Environm Sci, Kobe, Hyogo 6512197, Japan; [Okuno, Jun'ichi] Natl Inst Polar Res, Tachikawa, Tokyo 1908518, Japan; [Kosuge, Takeharu] Univ Ryukyus, Int Soc Mangrove Ecosyst, Fac Agr, Nishihara, Okinawa 9030219, Japan; [Yokoyama, Yusuke] Japan Agcy Marine Earth Sci &amp; Technol, Dept Biogeochem, 2-15 Natsushima Cho, Yokosuka, Kanagawa 2370061, Japan</t>
  </si>
  <si>
    <t>University of Tokyo; University of Hyogo; Research Organization of Information &amp; Systems (ROIS); National Institute of Polar Research (NIPR) - Japan; University of the Ryukyus; Japan Agency for Marine-Earth Science &amp; Technology (JAMSTEC)</t>
  </si>
  <si>
    <t>Yokoyama, Y (corresponding author), Univ Tokyo, Atmosphere &amp; Ocean Res Inst, 5-1-5 Kashiwanoha, Kashiwa, Chiba 2778564, Japan.</t>
  </si>
  <si>
    <t>yokoyama@aori.u-tokyo.ac.jp</t>
  </si>
  <si>
    <t>Yokoyama, Yusuke/0000-0001-7869-5891</t>
  </si>
  <si>
    <t>JSPS [26247085]; Grants-in-Aid for Scientific Research [26247085] Funding Source: KAKEN</t>
  </si>
  <si>
    <t>JSPS(Ministry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</si>
  <si>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We thank Mitsugi and Chieko Matsumoto for supports at the field, Chikako Sawada and Takahiro Aze for laboratory assistance and Stephen Obrochta for discussions about the manuscript. We thank also A. Purcell and T. Esat forcomments on themanuscript. This work was partly supported from JSPS (26247085) to YY and Fukutake foundation to YM. This paper is a contribution to INQUA commission on Coastal and Marine Processes and PAGES PALSEA program.</t>
  </si>
  <si>
    <t>1040-6182</t>
  </si>
  <si>
    <t>1873-4553</t>
  </si>
  <si>
    <t>QUATERN INT</t>
  </si>
  <si>
    <t>Quat. Int.</t>
  </si>
  <si>
    <t>10.1016/j.quaint.2015.03.030</t>
  </si>
  <si>
    <t>DH7GH</t>
  </si>
  <si>
    <t>WOS:000372959900029</t>
  </si>
  <si>
    <t>de Cárcer, DA; Pedrós-Alió, C; Pearce, DA; Alcamí, A</t>
  </si>
  <si>
    <t>Aguirre de Carcer, Daniel; Pedros-Alio, Carlos; Pearce, David A.; Alcami, Antonio</t>
  </si>
  <si>
    <t>Composition and Interactions among Bacterial, Microeukaryotic, and T4-like Viral Assemblages in Lakes from Both Polar Zones</t>
  </si>
  <si>
    <t>bacteria; microeukaryotes; T4 phages; pyrosequencing; diversity; lakes; polar</t>
  </si>
  <si>
    <t>RNA GENE DATABASE; MARINE BACTERIAL; BETA-DIVERSITY; COMMUNITIES; BIOGEOGRAPHY; VIRUSES; SEQUENCE; DRIVERS; ARCHAEA</t>
  </si>
  <si>
    <t>In this study we assess global biogeography and correlation patterns among three components of microbial life: bacteria, microeukaryotes, and T4-like myoviruses. In addition to environmental and biogeographical considerations, we have focused our study on samples from high-latitude pristine lakes from both poles, since these simple island-like ecosystems represent ideal ecological models to probe the relationships among microbial components and with the environment. Bacterial assemblages were dominated by members of the same groups found to dominate freshwater ecosystems elsewhere, and microeukaryotic assemblages were dominated by photosynthetic microalgae. Despite inter-lake variations in community composition, the overall percentages of OTUs shared among sites was remarkable, indicating that many microeukaryotic, bacterial, and viral OTUs are globally-distributed. We observed an intriguing negative correlation between bacterial and microeukaryotic diversity values. Notably, our analyses show significant global correlations between bacterial and microeukaryotic community structures, and between the phylogenetic compositions of bacterial and T4-like virus assemblages. Overall, environmental filtering emerged as the main factor driving community structures.</t>
  </si>
  <si>
    <t>[Aguirre de Carcer, Daniel; Alcami, Antonio] Univ Autonoma Madrid, CSIC, Ctr Biol Mol Severo Ochoa, Madrid, Spain; [Pedros-Alio, Carlos] CSIC, Inst Ciencias Mar, Barcelona, Spain; [Pearce, David A.] British Antarctic Survey, NERC, Cambridge, England; [Pearce, David A.] Northumbria Univ, Fac Hlth &amp; Life Sci, Newcastle Upon Tyne NE1 8ST, Tyne &amp; Wear, England; [Pearce, David A.] Univ Ctr Svalbard, Lonyearbyen, Norway</t>
  </si>
  <si>
    <t>Autonomous University of Madrid; Consejo Superior de Investigaciones Cientificas (CSIC); CSIC - Centro de Biologia Molecular Severo Ochoa (CBM); Consejo Superior de Investigaciones Cientificas (CSIC); CSIC - Centro Mediterraneo de Investigaciones Marinas y Ambientales (CMIMA); CSIC - Instituto de Ciencias del Mar (ICM); UK Research &amp; Innovation (UKRI); Natural Environment Research Council (NERC); NERC British Antarctic Survey; Northumbria University; University Centre Svalbard (UNIS)</t>
  </si>
  <si>
    <t>Alcamí, A (corresponding author), Univ Autonoma Madrid, CSIC, Ctr Biol Mol Severo Ochoa, Madrid, Spain.</t>
  </si>
  <si>
    <t>aalcami@cbm.csic.es</t>
  </si>
  <si>
    <t>Pedrós-Alió, Carlos/H-1222-2011; Alcami, Antonio/F-8512-2015; Aguirre de Carcer, Daniel/C-7000-2011</t>
  </si>
  <si>
    <t>Alcami, Antonio/0000-0002-3333-6016; Aguirre de Carcer, Daniel/0000-0003-1104-9566</t>
  </si>
  <si>
    <t>Spanish Polar Programme; Spanish Ministry of Science and Innovation grants [CTM2008-05134-E/ANT, CTM2009-08644-E, CTIV12011-15091-E/ANT]; Roche; Marie Curie IIF grant [PlIF-GA-2012-328287]</t>
  </si>
  <si>
    <t>Spanish Polar Programme; Spanish Ministry of Science and Innovation grants; Roche(Roche Holding); Marie Curie IIF grant(Marie Curie Actions)</t>
  </si>
  <si>
    <t>This work was funded by the Spanish Polar Programme and the Spanish Ministry of Science and Innovation grants CTM2008-05134-E/ANT, CTM2009-08644-E, and CTIV12011-15091-E/ANT. We thank Roche for their support to the Antarctic expedition. DA was supported by the Marie Curie IIF grant PlIF-GA-2012-328287. We thank the logistic support from the Maritime Technology Unit (CSIC) and Las Palmas crew (Spanish Navy). We thank the Mapping and Geographic Information Centre and D. Hodgson (British Antarctic Survey, UK) for their help in identifying suitable water bodies along the Antarctic Peninsula. We thank A. Lopez-Bueno, J. M. Alonso-Lobo, M. L. Avila, L. Little and the students of the University Center in Svalbard Master Course AB -327 on Arctic Microbiology (2011-2012) for their help collecting and processing the freshwater samples.</t>
  </si>
  <si>
    <t>10.3382/finicb.2016.00337</t>
  </si>
  <si>
    <t>DH0QC</t>
  </si>
  <si>
    <t>WOS:000372487700001</t>
  </si>
  <si>
    <t>Hodgson, JC; Baylis, SM; Mott, R; Herrod, A; Clarke, RH</t>
  </si>
  <si>
    <t>Hodgson, Jarrod C.; Baylis, Shane M.; Mott, Rowan; Herrod, Ashley; Clarke, Rohan H.</t>
  </si>
  <si>
    <t>Precision wildlife monitoring using unmanned aerial vehicles</t>
  </si>
  <si>
    <t>Unmanned aerial vehicles (UAVs) represent a new frontier in environmental research. Their use has the potential to revolutionise the field if they prove capable of improving data quality or the ease with which data are collected beyond traditional methods. We apply UAV technology to wildlife monitoring in tropical and polar environments and demonstrate that UAV-derived counts of colony nesting birds are an order of magnitude more precise than traditional ground counts. The increased count precision afforded by UAVs, along with their ability to survey hard-to-reach populations and places, will likely drive many wildlife monitoring projects that rely on population counts to transition from traditional methods to UAV technology. Careful consideration will be required to ensure the coherence of historic data sets with new UAV-derived data and we propose a method for determining the number of duplicated (concurrent UAV and ground counts) sampling points needed to achieve data compatibility.</t>
  </si>
  <si>
    <t>[Hodgson, Jarrod C.; Baylis, Shane M.; Mott, Rowan; Herrod, Ashley; Clarke, Rohan H.] Monash Univ, Sch Biol Sci, Clayton, Vic 3800, Australia; [Hodgson, Jarrod C.] Univ Adelaide, Sch Biol Sci, Adelaide, SA 5005, Australia</t>
  </si>
  <si>
    <t>Monash University; University of Adelaide</t>
  </si>
  <si>
    <t>Hodgson, JC (corresponding author), Monash Univ, Sch Biol Sci, Clayton, Vic 3800, Australia.;Hodgson, JC (corresponding author), Univ Adelaide, Sch Biol Sci, Adelaide, SA 5005, Australia.</t>
  </si>
  <si>
    <t>jarrod.hodgson@adelaide.edu.au</t>
  </si>
  <si>
    <t>Mott, Rowan/ABA-9604-2021</t>
  </si>
  <si>
    <t>Mott, Rowan/0000-0002-3508-6479; Hodgson, Jarrod/0000-0003-0481-7360; Herrod, Ashley/0000-0002-3470-8088; Baylis, Shane/0000-0002-2373-1311</t>
  </si>
  <si>
    <t>Norman Wettenhall Foundation; Australian Antarctic Division</t>
  </si>
  <si>
    <t>This research was funded in part by the Norman Wettenhall Foundation and Macquarie Island access was via the Australian Antarctic Division. We recognise the support of the Tasmanian Department of Primary Industries, Parks, Water and Environment, particularly Rachael Alderman and Kris Carlyon. We appreciate the contribution of counters including George Swann and Amanda Lilleyman, as well as Lian Pin Koh, Keeyen Pang, Kate Lawrence and Andrea Turbett. We thank Brendan Hodgson and an anonymous reviewer for providing comments on an earlier draft of the manuscript.</t>
  </si>
  <si>
    <t>MAR 17</t>
  </si>
  <si>
    <t>10.1038/srep22574</t>
  </si>
  <si>
    <t>DG6AG</t>
  </si>
  <si>
    <t>WOS:000372163900001</t>
  </si>
  <si>
    <t>Le Bars, D; Viebahn, JP; Dijkstra, HA</t>
  </si>
  <si>
    <t>Le Bars, D.; Viebahn, J. P.; Dijkstra, H. A.</t>
  </si>
  <si>
    <t>A Southern Ocean mode of multidecadal variability</t>
  </si>
  <si>
    <t>multidecadal variability; intrinsic variability; baroclinic instability; Southern Ocean; mode of variability; ocean heat content</t>
  </si>
  <si>
    <t>LOW-FREQUENCY VARIABILITY; SURFACE-TEMPERATURE; HEAT UPTAKE; CIRCULATION; SYSTEM</t>
  </si>
  <si>
    <t>A 250year simulation of a strongly eddying global version of the Parallel Ocean Program (POP) model reveals a new mode of intrinsic multidecadal variability, the Southern Ocean Mode (SOM), with a period of 40-50year. The peak-to-peak difference in the global ocean heat content within a multidecadal cycle is up to 60ZJ. This change results from surface heat flux variations in the South Atlantic and propagation of temperature anomalies along the Antarctic Circumpolar Current and into the Weddell gyre around 30 degrees E. The temperature anomalies propagate as deep as 5000m along the isopycnals between 50 degrees S and 30 degrees S and induce multidecadal changes in the Atlantic Meridional Overturning Circulation. A positive feedback loop between the generation of eddies through baroclinic instability and the dynamics of the mean circulation is essential for the existence of the SOM. The dominant physics appears similar to that responsible for variability found in a three-layer quasi-geostrophic eddy-resolving model. This combined with the fact that the SOM is not found in a noneddying version of the same global POP model further suggests that eddy processes are crucial for its existence and/or excitation.</t>
  </si>
  <si>
    <t>[Le Bars, D.; Viebahn, J. P.; Dijkstra, H. A.] Univ Utrecht, Inst Marine &amp; Atmospher Res Utrecht, Dept Phys &amp; Astron, Utrecht, Netherlands</t>
  </si>
  <si>
    <t>Le Bars, D (corresponding author), Univ Utrecht, Inst Marine &amp; Atmospher Res Utrecht, Dept Phys &amp; Astron, Utrecht, Netherlands.</t>
  </si>
  <si>
    <t>dewi.le.bars@knmi.nl</t>
  </si>
  <si>
    <t>Dijkstra, Henk A./H-2559-2016; Le Bars, Dewi/AAK-8631-2020</t>
  </si>
  <si>
    <t>Le Bars, Dewi/0000-0002-1175-4225</t>
  </si>
  <si>
    <t>Netherlands eScience Center [027.012.901]; Utrecht University through its strategic theme Sustainability, sub-theme Water, Climate and Ecosystems; Cartesius supercomputer at SURFsara [SH-284-15]</t>
  </si>
  <si>
    <t>Netherlands eScience Center; Utrecht University through its strategic theme Sustainability, sub-theme Water, Climate and Ecosystems; Cartesius supercomputer at SURFsara</t>
  </si>
  <si>
    <t>The authors would like to acknowledge two anonymous reviewers for improving the quality of the manuscript. D. Le Bars was funded by the Netherlands eScience Center through the grant 027.012.901 and by the Utrecht University through its strategic theme Sustainability, sub-theme Water, Climate and Ecosystems. The simulations have been performed on the Cartesius supercomputer at SURFsara (https://www.surfsara.nl) through the project SH-284-15. Michael Kliphuis (IMAU-UU) is thanked for his assistance in carrying out the numerical computations with the POP model. The data from the ocean models used in this work are available upon request to the authors.</t>
  </si>
  <si>
    <t>MAR 16</t>
  </si>
  <si>
    <t>10.1002/2016GL068177</t>
  </si>
  <si>
    <t>DH9IN</t>
  </si>
  <si>
    <t>WOS:000373109800039</t>
  </si>
  <si>
    <t>Zhang, QH; Zong, QG; Lockwood, M; Heelis, RA; Hairston, M; Liang, J; McCrea, I; Zhang, BC; Moen, J; Zhang, SR; Zhang, YL; Ruohoniemi, JM; Lester, M; Thomas, EG; Liu, RY; Dunlop, MW; Liu, YCM; Ma, YZ</t>
  </si>
  <si>
    <t>Zhang, Qing-He; Zong, Qiu-Gang; Lockwood, Michael; Heelis, Roderick A.; Hairston, Marc; Liang, Jun; McCrea, Ian; Zhang, Bei-Chen; Moen, Joran; Zhang, Shun-Rong; Zhang, Yong-Liang; Ruohoniemi, J. Michael; Lester, Mark; Thomas, Evan G.; Liu, Rui-Yuan; Dunlop, Malcolm W.; Liu, Yong C. -M.; Ma, Yu-Zhang</t>
  </si>
  <si>
    <t>Earth's ion upflow associated with polar cap patches: Global and in situ observations</t>
  </si>
  <si>
    <t>ion upflow; polar cap patches; polar ionosphere; magnetosphere-ionosphere coupling</t>
  </si>
  <si>
    <t>INTERPLANETARY MAGNETIC-FIELD; IONOSPHERE; CONVECTION; WIND; SUPERDARN; MAGNETOSPHERE; RECONNECTION; MAGNETOPAUSE; SIGNATURES; MECHANISM</t>
  </si>
  <si>
    <t>We report simultaneous global monitoring of a patch of ionization and in situ observation of ion upflow at the center of the polar cap region during a geomagnetic storm. Our observations indicate strong fluxes of upwelling O+ ions originating from frictional heating produced by rapid antisunward flow of the plasma patch. The statistical results from the crossings of the central polar cap region by Defense Meteorological Satellite Program F16-F18 from 2010 to 2013 confirm that the field-aligned flow can turn upward when rapid antisunward flows appear, with consequent significant frictional heating of the ions, which overcomes the gravity effect. We suggest that such rapidly moving patches can provide an important source of upwelling ions in a region where downward flows are usually expected. These observations give new insight into the processes of ionosphere-magnetosphere coupling.</t>
  </si>
  <si>
    <t>[Zhang, Qing-He; Ma, Yu-Zhang] Shandong Univ, Inst Space Sci, Shandong Prov Key Lab Opt Astron &amp; Solar Terr Env, Weihai, Peoples R China; [Zong, Qiu-Gang] Peking Univ, Sch Earth &amp; Space Sci, Beijing 100871, Peoples R China; [Lockwood, Michael] Univ Reading, Dept Meteorol, Reading, Berks, England; [Heelis, Roderick A.; Hairston, Marc] Univ Texas Dallas, William B Hanson Ctr Space Sci, Richardson, TX 75083 USA; [Liang, Jun] Univ Calgary, Dept Phys &amp; Astron, Calgary, AB T2N 1N4, Canada; [McCrea, Ian; Dunlop, Malcolm W.] Rutherford Appleton Lab, Div Space Sci, Didcot OX11 0QX, Oxon, England; [Zhang, Bei-Chen; Liu, Rui-Yuan] Polar Res Inst China, SOA Key Lab Polar Sci, Shanghai, Peoples R China; [Moen, Joran] Univ Oslo, Dept Phys, Oslo, Norway; [Zhang, Shun-Rong] MIT, Haystack Observ, Westford, MA 01886 USA; [Zhang, Yong-Liang] Johns Hopkins Univ, Appl Phys Lab, Laurel, MD USA; [Ruohoniemi, J. Michael; Thomas, Evan G.] Virginia Polytech Inst &amp; State Univ, Bradley Dept Elect &amp; Comp Engn, Blacksburg, VA 24061 USA; [Lester, Mark] Univ Leicester, Dept Phys &amp; Astron, Leicester LE1 7RH, Leics, England; [Liu, Yong C. -M.] Chinese Acad Sci, Ctr Space Sci &amp; Appl Res, State Key Lab Space Weather, Beijing, Peoples R China</t>
  </si>
  <si>
    <t>Shandong University; Peking University; University of Reading; University of Texas System; University of Texas Dallas; University of Calgary; UK Research &amp; Innovation (UKRI); Science &amp; Technology Facilities Council (STFC); STFC Rutherford Appleton Laboratory; Polar Research Institute of China; University of Oslo; Massachusetts Institute of Technology (MIT); Johns Hopkins University; Johns Hopkins University Applied Physics Laboratory; Virginia Polytechnic Institute &amp; State University; University of Leicester; Chinese Academy of Sciences</t>
  </si>
  <si>
    <t>Zhang, QH (corresponding author), Shandong Univ, Inst Space Sci, Shandong Prov Key Lab Opt Astron &amp; Solar Terr Env, Weihai, Peoples R China.</t>
  </si>
  <si>
    <t>zhangqinghe@sdu.edu.cn</t>
  </si>
  <si>
    <t>dunlop, malcolm w/F-1347-2010; Moen, Joeran I/I-1349-2017; Zhang, Yongliang/C-2180-2016; Liu, Ruiyuan/GWC-4730-2022; Lockwood, Mike/G-1030-2011; Zong, Qiugang/L-1920-2018; Zhang, Qing-He/G-4572-2014; Lester, Mark/C-9657-2016; Zhang, Shun-Rong/G-7593-2015; Thomas, Evan/B-3921-2017; Ma, Yu-Zhang/HGC-6987-2022</t>
  </si>
  <si>
    <t>dunlop, malcolm w/0000-0002-8195-5137; Zhang, Yongliang/0000-0003-4851-1662; Liu, Ruiyuan/0000-0002-1678-3500; Lockwood, Mike/0000-0002-7397-2172; Zong, Qiugang/0000-0002-6414-3794; Zhang, Qing-He/0000-0003-2429-4050; Heelis, Roderick/0000-0002-5543-5357; Lester, Mark/0000-0001-7353-5549; Zhang, Beichen/0000-0002-0927-9568; Zhang, Shun-Rong/0000-0002-1946-3166; Thomas, Evan/0000-0001-8036-8793; Hairston, Marc/0000-0003-4524-4837; Ma, Yu-Zhang/0000-0001-5767-4346</t>
  </si>
  <si>
    <t>National Basic Research Program [2012CB825603]; National Natural Science Foundation [41574138, 41274149, 41274148]; Shandong Provincial Natural Science Foundation [JQ201412]; International Collaboration Supporting Project, Chinese Arctic and Antarctic Administration [IC201511]; STFC [ST/M000885/1]; Research Council of Norway [230996]; national scientific funding agency in Australia; national scientific funding agency in Canada; national scientific funding agency in China; national scientific funding agency in France; national scientific funding agency in Japan; national scientific funding agency in South Africa; national scientific funding agency in United Kingdom; national scientific funding agency in United States of America; NSF [AGS-0946900, AGS-0838219]; Virginia Space Grant Consortium; NERC [NE/K011766/1]; Natural Environment Research Council [NE/K011766/1] Funding Source: researchfish; Science and Technology Facilities Council [ST/M000885/1, ST/M001083/1, ST/K001000/1] Funding Source: researchfish; Div Atmospheric &amp; Geospace Sciences; Directorate For Geosciences [1242204] Funding Source: National Science Foundation; NERC [NE/K011766/1] Funding Source: UKRI; STFC [ST/M001083/1, ST/K001000/1, ST/M000885/1] Funding Source: UKRI</t>
  </si>
  <si>
    <t>National Basic Research Program(National Basic Research Program of China); National Natural Science Foundation(National Natural Science Foundation of China (NSFC)); Shandong Provincial Natural Science Foundation(Natural Science Foundation of Shandong Province); International Collaboration Supporting Project, Chinese Arctic and Antarctic Administration; STFC(UK Research &amp; Innovation (UKRI)Science &amp; Technology Facilities Council (STFC)); Research Council of Norway(Research Council of Norway); national scientific funding agency in Australia; national scientific funding agency in Canada; national scientific funding agency in China; national scientific funding agency in France; national scientific funding agency in Japan; national scientific funding agency in South Africa; national scientific funding agency in United Kingdom; national scientific funding agency in United States of America; NSF(National Science Foundation (NSF)); Virginia Space Grant Consortium; NERC(UK Research &amp; Innovation (UKRI)Natural Environment Research Council (NERC)); Natural Environment Research Council(UK Research &amp; Innovation (UKRI)Natural Environment Research Council (NERC)); Science and Technology Facilities Council(UK Research &amp; Innovation (UKRI)Science &amp; Technology Facilities Council (STFC)); Div Atmospheric &amp; Geospace Sciences; Directorate For Geosciences(National Science Foundation (NSF)NSF - Directorate for Geosciences (GEO)); NERC(UK Research &amp; Innovation (UKRI)Natural Environment Research Council (NERC)); STFC(UK Research &amp; Innovation (UKRI)Science &amp; Technology Facilities Council (STFC))</t>
  </si>
  <si>
    <t>This work in China was supported by the National Basic Research Program (grant 2012CB825603), the National Natural Science Foundation (grants 41574138, 41274149, and 41274148), the Shandong Provincial Natural Science Foundation (grant JQ201412), and the International Collaboration Supporting Project, Chinese Arctic and Antarctic Administration (IC201511). The work at Reading University was supported by STFC consolidated grant ST/M000885/1. The Norwegian contribution was supported by the Research Council of Norway grant 230996. We are grateful to C.Y. Tu for his helpful discussions. SuperDARN is a collection of radars funded by national scientific funding agencies in Australia, Canada, China, France, Japan, South Africa, United Kingdom, and United States of America. The Virginia Tech authors acknowledge the support of NSF awards AGS-0946900 and AGS-0838219 and a graduate research fellowship from the Virginia Space Grant Consortium. The work at the University of Leicester is supported by NERC grant NE/K011766/1. The GPS TEC acquisition effort is led by A.J. Coster at MIT Haystack Observatory. The GPS TEC and SuperDARN data are available on the public database: http://vt.superdarn.org/tiki-index.php?page=DaViT+TEC. We also thank the NOAA FTP and JHU/APL formaking available the DMSP data (ftp://ftp.ngdc.noaa.gov/STP/satellite_data/) and the NASA OMNIWeb for the solar wind, IMF (http://omniweb.gsfc.nasa.gov/html/sc_merge_data1.html).</t>
  </si>
  <si>
    <t>10.1002/2016GL067897</t>
  </si>
  <si>
    <t>WOS:000373109800007</t>
  </si>
  <si>
    <t>King, MA; Santamaría-Gómez, A</t>
  </si>
  <si>
    <t>King, Matt A.; Santamaria-Gomez, Alvaro</t>
  </si>
  <si>
    <t>Ongoing deformation of Antarctica following recent Great Earthquakes</t>
  </si>
  <si>
    <t>postseismic deformation; glacial isostatic adjustment; GPS; DORIS; viscoelastic deformation</t>
  </si>
  <si>
    <t>GLACIAL ISOSTATIC-ADJUSTMENT; LAYERED SPHERICAL EARTH; SEA-LEVEL CHANGE; POSTSEISMIC RELAXATION; GEODETIC OBSERVATIONS; PLATE EARTHQUAKE; GPS DATA; MARCH 25; MODEL; CONSTRAINTS</t>
  </si>
  <si>
    <t>Antarctica's secular motion is thought to be almost everywhere governed by horizontal rigid plate rotation plus three-dimensional deformations due to past and present changes in ice ocean loading, known as glacial isostatic adjustment (GIA). We use geodetic data to investigate deformation following the 1998 M similar to 8.2 Antarctic intraplate Earthquake and show sustained three-dimensional deformation along East Antarctica's coastline, 600km from the rupture location. Using a model of viscoelastic deformation, we are able to match observed northward velocity changes, and either east or height, but not all three directions simultaneously, apparently partly due to lateral variations in mantle rheology. Our modeling predicts that much of Antarctica may still be deforming, with further deformation possible from the 2004 M 8 Macquarie Ridge Earthquake. This previously unconsidered mode of Antarctic deformation affects geodetic estimates of plate motion and GIA; its viscous nature raises the prospect of further present-day deformation due to earlier Great Earthquakes.</t>
  </si>
  <si>
    <t>[King, Matt A.; Santamaria-Gomez, Alvaro] Univ Tasmania, Sch Land &amp; Food, Surveying &amp; Spatial Sci, Hobart, Tas, Australia; [Santamaria-Gomez, Alvaro] Univ La Rochelle CNRS, LIENSs, La Rochelle, France</t>
  </si>
  <si>
    <t>University of Tasmania; Centre National de la Recherche Scientifique (CNRS)</t>
  </si>
  <si>
    <t>King, MA (corresponding author), Univ Tasmania, Sch Land &amp; Food, Surveying &amp; Spatial Sci, Hobart, Tas, Australia.</t>
  </si>
  <si>
    <t>Matt.King@utas.edu.au</t>
  </si>
  <si>
    <t>King, Matt/B-4622-2008; Santamaria-Gomez, Alvaro/E-4573-2013</t>
  </si>
  <si>
    <t>King, Matt/0000-0001-5611-9498; Santamaria-Gomez, Alvaro/0000-0002-1655-3414</t>
  </si>
  <si>
    <t>Australian Research Council [FT110100207]; Special Research Initiative for Antarctic Gateway Partnership [SR140300001]; FP7 Marie Curie International Outgoing Fellowship [330103]; Australian Research Council [FT110100207] Funding Source: Australian Research Council</t>
  </si>
  <si>
    <t>Australian Research Council(Australian Research Council); Special Research Initiative for Antarctic Gateway Partnership; FP7 Marie Curie International Outgoing Fellowship; Australian Research Council(Australian Research Council)</t>
  </si>
  <si>
    <t>This research was supported by Australian Research Council Future Fellowship (Project ID FT110100207) and Special Research Initiative for Antarctic Gateway Partnership (Project ID SR140300001). A.S.G. is a recipient of a FP7 Marie Curie International Outgoing Fellowship (project 330103). M.A.K. conceived the study and performed the modeling and postprocessing analysis. A.S.G. produced the GPS time series. GPS time series may be obtained from the first author. Raw GPS data were obtained from the IGS, SCAR Epoch Crustal Movement Campaigns database (http://tpg.geo.tu-dresden.de/ipg/forschung/scargps/scarstation.htm), and Luca Vittuari. DORIS time series are available from the International DORIS Service (http://ids-doris.org/). NASA JPL kindly provided GIPSY software and associated products. Simon Williams, Fred Pollitz, and Sylvain Barbot are thanked for making CATS, STATIC1D/VISCO1D, and RELAX available, respectively. RELAX was obtained from Computational Infrastructure for Geodynamics. We thank the International GNSS and DORIS services for making data available, Jean-Paul Boy for providing the atmospheric pressure loading displacement service (http://loading.u-strasbg.fr/), and Reed Burgette for providing GPS coseismic displacements. The work benefitted from discussions with Tim Wright and Pascal Willis. We thank Christopher Watson, Jo Whittaker, Editor Andrew Newmann, and anonymous reviewers for very helpful comments.</t>
  </si>
  <si>
    <t>10.1002/2016GL067773</t>
  </si>
  <si>
    <t>WOS:000373109800016</t>
  </si>
  <si>
    <t>Winter, K; Woodward, J; Dunning, SA; Turney, CSM; Fogwill, CJ; Hein, AS; Golledge, NR; Bingham, RG; Marrero, SM; Sugden, DE; Ross, N</t>
  </si>
  <si>
    <t>Winter, Kate; Woodward, John; Dunning, Stuart A.; Turney, Chris S. M.; Fogwill, Christopher J.; Hein, Andrew S.; Golledge, Nicholas R.; Bingham, Robert G.; Marrero, Shasta M.; Sugden, David E.; Ross, Neil</t>
  </si>
  <si>
    <t>Assessing the continuity of the blue ice climate record at Patriot Hills, Horseshoe Valley, West Antarctica</t>
  </si>
  <si>
    <t>climate record; Blue Ice Area; ground-penetrating radar; katabatic winds; Antarctica; unconformities</t>
  </si>
  <si>
    <t>LAST GLACIAL MAXIMUM; EAST ANTARCTICA; ENGLACIAL STRATIGRAPHY; WEDDELL SEA; SHEET; RADAR; STREAM; FLOW; DYNAMICS; AREAS</t>
  </si>
  <si>
    <t>We use high-resolution ground-penetrating radar (GPR) to assess the continuity of the Blue Ice Area (BIA) horizontal climate record at Patriot Hills, Horseshoe Valley, West Antarctica. The sequence contains three pronounced changes in deuterium isotopic values at similar to 18calka, similar to 12calka, and similar to 8calka. GPR surveys along the climate sequence reveal continuous, conformable dipping isochrones, separated by two unconformities in the isochrone layers, which correlate with the two older deuterium shifts. We interpret these unconformities as discontinuities in the sequence, rather than direct measures of climate change. Ice sheet models and Internal Layer Continuity Index plots suggest that the unconformities represent periods of erosion occurring, as the former ice surface was scoured by katabatic winds in front of mountains at the head of Horseshoe Valley. This study demonstrates the importance of high-resolution GPR surveys for investigating both paleoflow dynamics and interpreting BIA climate records.</t>
  </si>
  <si>
    <t>[Winter, Kate; Woodward, John] Northumbria Univ, Fac Engn &amp; Environm, Dept Geog, Newcastle Upon Tyne NE1 8ST, Tyne &amp; Wear, England; [Dunning, Stuart A.; Ross, Neil] Newcastle Univ, Sch Geog Polit &amp; Sociol, Newcastle Upon Tyne, Tyne &amp; Wear, England; [Turney, Chris S. M.; Fogwill, Christopher J.] Univ New S Wales, Sch Biol Earth &amp; Environm Sci, Climate Change Res Ctr, POB 1, Kensington, NSW 2033, Australia; [Hein, Andrew S.; Bingham, Robert G.; Marrero, Shasta M.; Sugden, David E.] Univ Edinburgh, Sch GeoSci, Edinburgh, Midlothian, Scotland; [Golledge, Nicholas R.] Victoria Univ Wellington, Antarctic Res Ctr, Wellington, New Zealand</t>
  </si>
  <si>
    <t>Northumbria University; Newcastle University - UK; University of New South Wales Sydney; University of Edinburgh; Victoria University Wellington</t>
  </si>
  <si>
    <t>Winter, K (corresponding author), Northumbria Univ, Fac Engn &amp; Environm, Dept Geog, Newcastle Upon Tyne NE1 8ST, Tyne &amp; Wear, England.</t>
  </si>
  <si>
    <t>kate.winter@northumbria.ac.uk</t>
  </si>
  <si>
    <t>Hein, Andrew/JWO-3756-2024; Fogwill, Chris/AAW-3502-2021; Woodward, John/I-1046-2013; Fogwill, Christopher/HPF-1150-2023; Bingham, Robert G/G-3576-2017; Dunning, Stuart/A-1820-2010; Turney, Chris/P-8701-2018</t>
  </si>
  <si>
    <t>Fogwill, Chris/0000-0002-6471-1106; Bingham, Robert G/0000-0002-0630-2021; Winter, Kate/0000-0003-2389-8637; Golledge, Nicholas/0000-0001-7676-8970; Dunning, Stuart/0000-0002-2310-7367; Turney, Chris/0000-0001-6733-0993; Marrero, Shasta/0000-0003-2917-0292; Hein, Andrew/0000-0003-3397-3813; Woodward, John/0000-0002-4980-4080</t>
  </si>
  <si>
    <t>NERC [NE/I027576/1, NE/I025840/1, NE/I024194/1, NE/I025263/1, NE/G013071/1]; Australian Research Council [FL100100195, FT120100004, LP120300724]; Natural Environment Research Council [NE/I024194/1, NE/I025840/1, NE/G013071/1, NE/I025263/1, NE/I027576/1] Funding Source: researchfish; NERC [NE/I027576/1, NE/I025840/1, NE/I024194/1, NE/I025263/1, NE/G013071/1] Funding Source: UKRI</t>
  </si>
  <si>
    <t>NERC(UK Research &amp; Innovation (UKRI)Natural Environment Research Council (NERC)); Australian Research Council(Australian Research Council); Natural Environment Research Council(UK Research &amp; Innovation (UKRI)Natural Environment Research Council (NERC)); NERC(UK Research &amp; Innovation (UKRI)Natural Environment Research Council (NERC))</t>
  </si>
  <si>
    <t>Project work was funded by NERC-standard grants NE/I027576/1, NE/I025840/1, NE/I024194/1, and NE/I025263/1 and Australian Research Council grants FL100100195, FT120100004, and LP120300724. Airborne radar data used for the ILCI analysis were acquired by NERC Antarctic Funding Initiative grant NE/G013071/1. We thank the British Antarctic Survey and Antarctic Logistics and Expeditions (ALE) for field and logistics support. The useful comments and advice of the referees and Editor are also gratefully acknowledged. Data used in this article will be made available on the NERC Geophysics Data Portal (geoportal.nerc-bas.ac.uk/GDP) and Northumbria University's institutional repository (nrl.northumbria.ac.uk) upon publication.</t>
  </si>
  <si>
    <t>10.1002/2015GL066476</t>
  </si>
  <si>
    <t>WOS:000373109800029</t>
  </si>
  <si>
    <t>Borstad, C; Khazendar, A; Scheuchl, B; Morlighem, M; Larour, E; Rignot, E</t>
  </si>
  <si>
    <t>Borstad, Chris; Khazendar, Ala; Scheuchl, Bernd; Morlighem, Mathieu; Larour, Eric; Rignot, Eric</t>
  </si>
  <si>
    <t>A constitutive framework for predicting weakening and reduced buttressing of ice shelves based on observations of the progressive deterioration of the remnant Larsen B Ice Shelf</t>
  </si>
  <si>
    <t>ice shelf buttressing; damage mechanics; glaciology</t>
  </si>
  <si>
    <t>WEST ANTARCTICA; WIDESPREAD; DAMAGE; CREEP; DEFORMATION; TEMPERATURE; PROPAGATION; MECHANICS; GLACIERS; THWAITES</t>
  </si>
  <si>
    <t>The increasing contribution of the Antarctic Ice Sheet to sea level rise is linked to reductions in ice shelf buttressing, driven in large part by basal melting of ice shelves. These ocean-driven buttressing losses are being compounded as ice shelves weaken and fracture. To date, model projections of ice sheet evolution have not accounted for weakening ice shelves. Here we present the first constitutive framework for ice deformation that explicitly includes mechanical weakening, based on observations of the progressive degradation of the remnant Larsen B Ice Shelf from 2000 to 2015. We implement this framework in an ice sheet model and are able to reproduce most of the observed weakening of the ice shelf. In addition to predicting ice shelf weakening and reduced buttressing, this new framework opens the door for improved understanding and predictions of iceberg calving, meltwater routing and hydrofracture, and ice shelf collapse.</t>
  </si>
  <si>
    <t>[Borstad, Chris] Univ Ctr Svalbard, Dept Arctic Geophys, Longyearbyen, Norway; [Khazendar, Ala; Larour, Eric; Rignot, Eric] CALTECH, Jet Prop Lab, Pasadena, CA USA; [Scheuchl, Bernd; Morlighem, Mathieu; Rignot, Eric] Univ Calif Irvine, Dept Earth Syst Sci, Irvine, CA USA</t>
  </si>
  <si>
    <t>University Centre Svalbard (UNIS); California Institute of Technology; National Aeronautics &amp; Space Administration (NASA); NASA Jet Propulsion Laboratory (JPL); University of California System; University of California Irvine</t>
  </si>
  <si>
    <t>Borstad, C (corresponding author), Univ Ctr Svalbard, Dept Arctic Geophys, Longyearbyen, Norway.</t>
  </si>
  <si>
    <t>chris.borstad@unis.no</t>
  </si>
  <si>
    <t>Morlighem, Mathieu/O-9942-2014; Rignot, Eric/A-4560-2014</t>
  </si>
  <si>
    <t>Morlighem, Mathieu/0000-0001-5219-1310; Rignot, Eric/0000-0002-3366-0481; Borstad, Christopher/0000-0001-6992-1770</t>
  </si>
  <si>
    <t>NASA's Cryospheric Sciences Program</t>
  </si>
  <si>
    <t>NASA's Cryospheric Sciences Program(National Aeronautics &amp; Space Administration (NASA))</t>
  </si>
  <si>
    <t>This work was performed at the University Centre in Svalbard, the University of California, Irvine, and the Jet Propulsion Laboratory-California Institute of Technology, under a contract with NASA. A.K., B.S., E.L., E.R., and M.M. were supported by grants from NASA's Cryospheric Sciences Program. SAR data acquisitions were coordinated through the Polar Space Task Group. The source code for the model used in this study, the Ice Sheet System Model (ISSM), is freely available via issm.jpl.nasa.gov. The input files and data necessary to reproduce the results using ISSM are available from the authors upon request (chris.borstad@unis.no).</t>
  </si>
  <si>
    <t>10.1002/2015GL067365</t>
  </si>
  <si>
    <t>WOS:000373109800030</t>
  </si>
  <si>
    <t>Li, Y; Ji, RB; Jenouvrier, S; Jin, MB; Stroeve, J</t>
  </si>
  <si>
    <t>Li, Yun; Ji, Rubao; Jenouvrier, Stephanie; Jin, Meibing; Stroeve, Julienne</t>
  </si>
  <si>
    <t>Synchronicity between ice retreat and phytoplankton bloom in circum-Antarctic polynyas</t>
  </si>
  <si>
    <t>phenology; synchronicity; phytoplankton; ice retreat; Antarctic polynya</t>
  </si>
  <si>
    <t>CLIMATE-CHANGE; SEA-ICE; PHENOLOGY; ZONE; WEST</t>
  </si>
  <si>
    <t>Phytoplankton in Antarctic coastal polynyas has a temporally short yet spatially variant growth window constrained by ice cover and day length. Using 18-year satellite measurements (1997-2015) of sea ice and chlorophyll concentrations, we assessed the synchronicity between the spring phytoplankton bloom and light availability, taking into account the ice cover and the incident solar irradiance, for 50 circum-Antarctic coastal polynyas. The synchronicity was strong (i.e., earlier ice-adjusted light onset leads to earlier bloom and vice versa) in most of the western Antarctic polynyas but weak in a majority of the eastern Antarctic polynyas. The west-east asymmetry is related to sea ice production rate: the formation of many eastern Antarctic polynyas is associated with strong katabatic wind and high sea ice production rate, leading to stronger water column mixing that could damp phytoplankton blooms and weaken the synchronicity.</t>
  </si>
  <si>
    <t>[Li, Yun] Univ S Florida, Coll Marine Sci, St Petersburg, FL 33701 USA; [Li, Yun; Ji, Rubao; Jenouvrier, Stephanie] Woods Hole Oceanog Inst, Dept Biol, Woods Hole, MA 02543 USA; [Jenouvrier, Stephanie] Univ La Rochelle, UMR CNRS 7372, Ctr Etud Biolog Chize, F-79360 Villiers En Bois, France; [Jin, Meibing] Univ Alaska Fairbanks, Int Arctic Res Ctr, Fairbanks, AK USA; [Stroeve, Julienne] Univ Colorado, Natl Snow &amp; Ice Data Ctr, Boulder, CO 80309 USA; [Stroeve, Julienne] UCL, Ctr Polar Observat &amp; Modelling, London, England</t>
  </si>
  <si>
    <t>State University System of Florida; University of South Florida; Woods Hole Oceanographic Institution; La Rochelle Universite; University of Alaska System; University of Alaska Fairbanks; University of Colorado System; University of Colorado Boulder; University of London; University College London</t>
  </si>
  <si>
    <t>Li, Y (corresponding author), Univ S Florida, Coll Marine Sci, St Petersburg, FL 33701 USA.;Li, Y (corresponding author), Woods Hole Oceanog Inst, Dept Biol, Woods Hole, MA 02543 USA.</t>
  </si>
  <si>
    <t>yli@whoi.edu</t>
  </si>
  <si>
    <t>Stroeve, Julienne/ABE-7227-2020; Jin, Meibing/F-7666-2010; Ji, Rubao/I-1970-2015; Li, Yun/F-5944-2015</t>
  </si>
  <si>
    <t>Li, Yun/0000-0002-4766-4723; jenouvrier, stephanie/0000-0003-3324-2383</t>
  </si>
  <si>
    <t>NASA [NNX14AH74G]; U.S. National Science Foundation [PLR-1341558]; Directorate For Geosciences; Office of Polar Programs (OPP) [1341440, 1341558] Funding Source: National Science Foundation; Directorate For Geosciences; Office of Polar Programs (OPP) [1341547] Funding Source: National Science Foundation; Natural Environment Research Council [cpom30001] Funding Source: researchfish; NERC [cpom30001] Funding Source: UKRI; NASA [NNX14AH74G, 683299] Funding Source: Federal RePORTER</t>
  </si>
  <si>
    <t>NASA(National Aeronautics &amp; Space Administration (NASA)); U.S. National Science Foundation(National Science Foundation (NSF)); Directorate For Geosciences; Office of Polar Programs (OPP)(National Science Foundation (NSF)NSF - Directorate for Geosciences (GEO)); Directorate For Geosciences; Office of Polar Programs (OPP)(National Science Foundation (NSF)NSF - Directorate for Geosciences (GEO)); Natural Environment Research Council(UK Research &amp; Innovation (UKRI)Natural Environment Research Council (NERC)); NERC(UK Research &amp; Innovation (UKRI)Natural Environment Research Council (NERC)); NASA(National Aeronautics &amp; Space Administration (NASA))</t>
  </si>
  <si>
    <t>The sea ice data derived from the NASA Team algorithm are available at http://nsidc.org/data/nsidc-0051 and http://nsidc.org/data/nsidc-0081, and the sea ice data derived from the Bootstrap algorithm are available at http://nsidc.org/data/nsidc-0079. Ocean surface chlorophyll data were from the GlobColour Project (http://www.globcolour.info/). Land topography and ocean bathymetry were interpolated from ETOPO1 Global Relief (http://www.ngdc.noaa.gov/mgg/global/global.html). Monthly climatology of sea ice production was published by Nihashi and Ohshima [2015]. This research was funded by NASA (grant NNX14AH74G) and U.S. National Science Foundation (grant PLR-1341558). The authors thank Nihashi and Ohshima for willing to share the sea ice production data. This work was motivated by a group discussion with all the coauthors, Marika Holland and Heather Lynch.</t>
  </si>
  <si>
    <t>10.1002/2016GL067937</t>
  </si>
  <si>
    <t>WOS:000373109800037</t>
  </si>
  <si>
    <t>Pedro, JB; Martin, T; Steig, EJ; Jochum, M; Park, W; Rasmussen, SO</t>
  </si>
  <si>
    <t>Pedro, J. B.; Martin, T.; Steig, E. J.; Jochum, M.; Park, W.; Rasmussen, S. O.</t>
  </si>
  <si>
    <t>Southern Ocean deep convection as a driver of Antarctic warming events</t>
  </si>
  <si>
    <t>Southern Ocean; internal variability; Weddell Sea Polynya; deep convection; sea ice; Antarctic climate</t>
  </si>
  <si>
    <t>LAST GLACIAL MAXIMUM; SURFACE-TEMPERATURE VARIABILITY; SEA-ICE; ATMOSPHERIC CO2; NORTH-ATLANTIC; WATER FORMATION; CLIMATE; CARBON; CIRCULATION; RECORD</t>
  </si>
  <si>
    <t>Simulations with a free-running coupled climate model show that heat release associated with Southern Ocean deep convection variability can drive centennial-scale Antarctic temperature variations of up to 2.0 degrees C. The mechanism involves three steps: Preconditioning: heat accumulates at depth in the Southern Ocean; Convection onset: wind and/or sea ice changes tip the buoyantly unstable system into the convective state; and Antarctic warming: fast sea ice-albedo feedbacks (on annual-decadal time scales) and slow Southern Ocean frontal and sea surface temperature adjustments to convective heat release (on multidecadal-century time scales) drive an increase in atmospheric heat and moisture transport toward Antarctica. We discuss the potential of this mechanism to help drive and amplify climate variability as observed in Antarctic ice core records.</t>
  </si>
  <si>
    <t>[Pedro, J. B.; Jochum, M.; Rasmussen, S. O.] Univ Copenhagen, Niels Bohr Inst, Ctr Ice &amp; Climate, Blegdamsvej 17, DK-2100 Copenhagen, Denmark; [Martin, T.; Park, W.] GEOMAR Helmholtz Ctr Ocean Res Kiel, Kiel, Germany; [Steig, E. J.] Univ Washington, Quaternary Res Ctr, Seattle, WA 98195 USA; [Steig, E. J.] Univ Washington, Dept Earth &amp; Space Sci, Seattle, WA 98195 USA</t>
  </si>
  <si>
    <t>University of Copenhagen; Niels Bohr Institute; Helmholtz Association; GEOMAR Helmholtz Center for Ocean Research Kiel; University of Washington; University of Washington Seattle; University of Washington; University of Washington Seattle</t>
  </si>
  <si>
    <t>Pedro, JB (corresponding author), Univ Copenhagen, Niels Bohr Inst, Ctr Ice &amp; Climate, Blegdamsvej 17, DK-2100 Copenhagen, Denmark.;Martin, T (corresponding author), GEOMAR Helmholtz Ctr Ocean Res Kiel, Kiel, Germany.</t>
  </si>
  <si>
    <t>jpedro@nbi.ku.dk; torge.martin@gmail.com</t>
  </si>
  <si>
    <t>jochum, markus/F-8237-2013; Pedro, Joel/M-5632-2014; Martin, Torge/H-2613-2017; jochum, markus/C-2960-2015; Rasmussen, Sune/B-5560-2008; Rasmussen, Sune Olander/AAA-3190-2021; Steig, Eric J/G-9088-2015; jochum, markus/AAQ-7967-2020; Pedro, Joel Benjamin/L-8918-2019; Park, Wonsun/J-8097-2012</t>
  </si>
  <si>
    <t>Pedro, Joel/0000-0002-0728-2712; jochum, markus/0000-0003-2690-3139; Rasmussen, Sune Olander/0000-0002-4177-3611; jochum, markus/0000-0003-2690-3139; Pedro, Joel Benjamin/0000-0002-0728-2712; Park, Wonsun/0000-0002-6345-8428; Martin, Torge/0000-0002-0882-8780</t>
  </si>
  <si>
    <t>European Research Council under the European Community's Seventh Framework Programme (FP7)/ ERC [610055]; Joint Institute for the Study of the Atmosphere and Ocean (JISAO) [2461]; Marie Curie International Incoming Fellowship; GEOMAR; Office of Polar Programs (OPP); Directorate For Geosciences [0944348] Funding Source: National Science Foundation</t>
  </si>
  <si>
    <t>European Research Council under the European Community's Seventh Framework Programme (FP7)/ ERC(European Research Council (ERC)); Joint Institute for the Study of the Atmosphere and Ocean (JISAO); Marie Curie International Incoming Fellowship(European Union (EU)); GEOMAR; Office of Polar Programs (OPP); Directorate For Geosciences(National Science Foundation (NSF)NSF - Directorate for Geosciences (GEO))</t>
  </si>
  <si>
    <t>T.M. and J.B.P. have equally contributed to this study. J.B.P. and E.J.S. conceived the original idea. T.M. led the analysis and made the figures with feedback from all authors. M.J. provided guidance on the energy balance calculations. W.P. ran the KCM simulations. S.O.R provided input on Dansgaard-Oeschger variability and ice core dating. J.B.P and T.M. wrote the paper with contributions from all authors. We thank L. Herraiz-Borreguero and participants of the Ice2Ice Southern Ocean and MIS3 workshop (funded by the European Research Council under the European Community's Seventh Framework Programme (FP7/2007-2013)/ ERC grant agreement 610055) for stimulating discussions. J.B.P. acknowledges support from the Joint Institute for the Study of the Atmosphere and Ocean (JISAO contribution 2461) and from a Marie Curie International Incoming Fellowship. T.M and W.P acknowledge support from GEOMAR. The model integration was performed at the computing center of Kiel University, and model output is available upon request by contacting T.M. or W.P. We thank two anonymous reviewers for their good advice that greatly strengthened the manuscript.</t>
  </si>
  <si>
    <t>10.1002/2016GL067861</t>
  </si>
  <si>
    <t>WOS:000373109800050</t>
  </si>
  <si>
    <t>Gili, S; Gaiero, DM; Goldstein, SL; Chemale, F; Koester, E; Jweda, J; Vallelonga, P; Kaplan, MR</t>
  </si>
  <si>
    <t>Gili, Stefania; Gaiero, Diego M.; Goldstein, Steven L.; Chemale, Farid, Jr.; Koester, Edinei; Jweda, Jason; Vallelonga, Paul; Kaplan, Michael R.</t>
  </si>
  <si>
    <t>Provenance of dust to Antarctica: A lead isotopic perspective</t>
  </si>
  <si>
    <t>Pb isotopes; dust; Patagonia; Puna-Altiplano; Antarctica</t>
  </si>
  <si>
    <t>C ICE-CORE; EAST ANTARCTICA; DOME C; AEOLIAN DUST; DEPOSITION; RECORD; LOESS; SNOW; CONSTRAINTS; VARIABILITY</t>
  </si>
  <si>
    <t>Antarctic ice preserves an similar to 800kyr record of dust activity in the Southern Hemisphere. Major efforts have been dedicated to elucidate the origin of this material in order to gain greater insight into the atmospheric dust cycle. On the basis of Pb isotopes in Antarctic dust samples and potential sources, this contribution demonstrates for the first time that Patagonia is the main contributor of dust to Antarctica during interglacial periods as well as glacials, although the potential importance of Tierra del Fuego remains unclear because of its geochemical similarities to Patagonia. An important new finding is that the Puna-Altiplano sector of the continent is a second important dust source to eastern Antarctica during both glacials and interglacials, being more prominent during interglacials. The data indicate South America is the primary dust source to Antarctica during both glacials and interglacials.</t>
  </si>
  <si>
    <t>[Gili, Stefania; Gaiero, Diego M.] Univ Nacl Cordoba, CONICET, CICTERRA, RA-5000 Cordoba, Argentina; [Goldstein, Steven L.; Jweda, Jason; Kaplan, Michael R.] Columbia Univ, Lamont Doherty Earth Observ, Palisades, NY USA; [Goldstein, Steven L.; Jweda, Jason] Columbia Univ, Dept Earth &amp; Environm Sci, New York, NY USA; [Chemale, Farid, Jr.] Univ Vale Rio dos Sinos, Sao Leopoldo, Brazil; [Koester, Edinei] Univ Fed Rio Grande do Sul, Inst Geociencias, Porto Alegre, RS, Brazil; [Vallelonga, Paul] Univ Copenhagen, Niels Bohr Inst, Ctr Ice &amp; Climate, Blegdamsvej 17, DK-2100 Copenhagen, Denmark</t>
  </si>
  <si>
    <t>Consejo Nacional de Investigaciones Cientificas y Tecnicas (CONICET); National University of Cordoba; Columbia University; Columbia University; Universidade do Vale do Rio dos Sinos (Unisinos); Universidade Federal do Rio Grande do Sul; University of Copenhagen; Niels Bohr Institute</t>
  </si>
  <si>
    <t>Gili, S; Gaiero, DM (corresponding author), Univ Nacl Cordoba, CONICET, CICTERRA, RA-5000 Cordoba, Argentina.</t>
  </si>
  <si>
    <t>sgili@unc.edu.ar; diego.gaiero@unc.edu.ar</t>
  </si>
  <si>
    <t>Chemale, Farid/D-1798-2013; Koester, Edinei/L-3684-2017; Kaplan, Michael R/D-4720-2011; Vallelonga, Paul/I-9650-2016</t>
  </si>
  <si>
    <t>Koester, Edinei/0000-0002-4424-4782; Gaiero, Diego Marcelo/0000-0003-1029-2265; Goldstein, Steven L/0000-0001-7252-8064; Vallelonga, Paul/0000-0003-1055-7235; Chemale Junior, Farid/0000-0001-5003-5824</t>
  </si>
  <si>
    <t>PICT-Raices [0625]; CONICET; SeCyT-UNC; Antorchas; FONCyT; IAI; Weizmann Institute; Storke Endowment of the Department of Earth and Environmental Sciences, Columbia University</t>
  </si>
  <si>
    <t>PICT-Raices; CONICET(Consejo Nacional de Investigaciones Cientificas y Tecnicas (CONICET)); SeCyT-UNC(Secretaria de Ciencia y Tecnologia (SECYT)); Antorchas; FONCyT(FONCyT); IAI; Weizmann Institute; Storke Endowment of the Department of Earth and Environmental Sciences, Columbia University</t>
  </si>
  <si>
    <t>S.G. stay at LDEO was financed by PICT-Raices 0625. The authors express their deep thanks to O. Cabrera (Universidad San Juan Bosco de la Patagonia, San Julian), J. Balderrama (Ministerio de Hidrocarburos, Tierra del Fuego), F.F. Gonzales, and J.N. Bustos (Base Aeronaval Almirante Zar, Trelew) who collected the dust samples. We also thank Louise Bolge for her efforts running the LDEO ICP-MS Lab. The authors wish to acknowledge CONICET, SeCyT-UNC, Antorchas, FONCyT, IAI, Weizmann Institute and the Storke Endowment of the Department of Earth and Environmental Sciences, Columbia University for the financial support. We are especially grateful to the two anonymous reviewers and the Editor K. Cobb, for suggesting significant improvements to this manuscript. This is LDEO contribution 7981.</t>
  </si>
  <si>
    <t>10.1002/2016GL068244</t>
  </si>
  <si>
    <t>WOS:000373109800062</t>
  </si>
  <si>
    <t>[Anonymous]</t>
  </si>
  <si>
    <t>Antarctic study identifies melting ice sheet's role in sea level rise</t>
  </si>
  <si>
    <t>MAR 15</t>
  </si>
  <si>
    <t>DJ4SK</t>
  </si>
  <si>
    <t>WOS:000374198100005</t>
  </si>
  <si>
    <t>Ryan, PG; de Bruyn, PJN; Bester, MN</t>
  </si>
  <si>
    <t>Ryan, Peter G.; de Bruyn, P. J. Nico; Bester, Marthan N.</t>
  </si>
  <si>
    <t>Regional differences in plastic ingestion among Southern Ocean fur seals and albatrosses</t>
  </si>
  <si>
    <t>Marine debris; Arctocephalus; Diomedea; Thalassarche; Marion Island; Tristan da Cunha</t>
  </si>
  <si>
    <t>ARCTOCEPHALUS-GAZELLA; LONGLINE FISHERY; MACQUARIE ISLAND; MARION ISLAND; SEABIRDS; PARTICLES; ATLANTIC; LITTER; POLLUTION; AFRICA</t>
  </si>
  <si>
    <t>We provide data on regional differences in plastic ingestion for two,Southern Ocean top predators: Arctocephalus fur seals and albatrosses (Diomedeidae). Fur seals breeding on Macquarie Island in the 1990s excreted small (mainly 2-5 mm) plastic fragments, probably derived secondarily from myctophid fish. No plastic was found in the scats of these seals breeding on three islands in the southwest Indian and central South Atlantic Oceans, despite myctophids dominating their diets at these locations. Compared to recent reports of plastic ingestion by albatrosses off the east coast of South America, we confirm that plastic is seldom found in the stomachs of Thalassarche albatrosses off South Africa, but found no Diomedea albatrosses to contain plastic, compared to 26% off South America. The reasons for such regional differences are unclear, but emphasize the importance of reporting negative as well as positive records of plastic ingestion by marine biota. (C) 2016 Elsevier Ltd. All rights reserved.</t>
  </si>
  <si>
    <t>[Ryan, Peter G.] Univ Cape Town, DST NRF Ctr Excellence, Percy Fitzpatrick Inst African Ornithol, ZA-7701 Rondebosch, South Africa; [de Bruyn, P. J. Nico; Bester, Marthan N.] Univ Pretoria, Mammal Res Inst, Dept Zool &amp; Entomol, Private Bag X20, ZA-0028 Pretoria, South Africa</t>
  </si>
  <si>
    <t>University of Cape Town; National Research Foundation - South Africa; University of Pretoria</t>
  </si>
  <si>
    <t>Ryan, PG (corresponding author), Univ Cape Town, DST NRF Ctr Excellence, Percy Fitzpatrick Inst African Ornithol, ZA-7701 Rondebosch, South Africa.</t>
  </si>
  <si>
    <t>pryan31@gmail.com</t>
  </si>
  <si>
    <t>Bester, Marthán N/E-5387-2010; de Bruyn, P. J. Nico/E-4176-2010</t>
  </si>
  <si>
    <t>de Bruyn, P. J. Nico/0000-0002-9114-9569; Ryan, Peter/0000-0002-3356-2056</t>
  </si>
  <si>
    <t>National Research Foundation; Universities of Cape Town and Pretoria</t>
  </si>
  <si>
    <t>We thank the many laboratory and field assistants and fishery observers who collected samples and examined faecal contents or assisted with seabird autopsies. The project was part of the South African National Antarctic Programme, with financial support from the National Research Foundation and the Universities of Cape Town and Pretoria.</t>
  </si>
  <si>
    <t>10.1016/j.marpolbul.2016.01.032</t>
  </si>
  <si>
    <t>WOS:000374198100036</t>
  </si>
  <si>
    <t>Mansilla, GA; Zossi, MM</t>
  </si>
  <si>
    <t>Mansilla, Gustavo A.; Zossi, Marta M.</t>
  </si>
  <si>
    <t>Some ionospheric storm effects at an antarctic station</t>
  </si>
  <si>
    <t>ADVANCES IN SPACE RESEARCH</t>
  </si>
  <si>
    <t>Geomagnetic storms; Ionospheric storms; High latitudes</t>
  </si>
  <si>
    <t>MAGNETIC STORM; F2-REGION RESPONSE; HIGH-LATITUDES; THERMOSPHERE; MIDDLE; PHASE; SCINTILLATION; ENHANCEMENTS; FLUCTUATIONS; VALIDATION</t>
  </si>
  <si>
    <t>In this paper, the ionospheric response of a high latitude station to some intense geomagnetic storms occurred in 2000 and 2001 is analyzed. For that, data of the critical frequency of the F2-layer foF2 and the virtual height measured at Base Gral. San Martin (68 degrees 08'S; 67 degrees 06'W) during the storms of April 6, 2000; May 23, 2000; March 31, 2001 and April 11, 2001 (high solar activity) are considered. In order to obtain the features of the disturbances, a comparison of the foF2 data with the outputs of the IRI-2001 model during quiet conditions is made. The results show in general negative storm effects (decreases of foF2 with respect to quiet conditions) following the storm commencement irrespective of the local time. Also, increases in foF2 prior to intense storms are sometimes observed. The h F data show increases in association with the negative storm effects. The role of some physical mechanisms acting during the phases of the storms is analyzed. (C) 2015 COSPAR. Published by Elsevier Ltd. All rights reserved.</t>
  </si>
  <si>
    <t>[Mansilla, Gustavo A.] Univ Nacl Tucuman, Fac Ciencias Exactas &amp; Tecnol, Dept Fis, Ave Independencia 1800, RA-4000 San Miguel De Tucuman, Tucuman, Argentina; Consejo Nacl Invest Cient &amp; Tecn, Buenos Aires, DF, Argentina</t>
  </si>
  <si>
    <t>Universidad Nacional de Tucuman; Consejo Nacional de Investigaciones Cientificas y Tecnicas (CONICET)</t>
  </si>
  <si>
    <t>Mansilla, GA (corresponding author), Univ Nacl Tucuman, Fac Ciencias Exactas &amp; Tecnol, Dept Fis, Ave Independencia 1800, RA-4000 San Miguel De Tucuman, Tucuman, Argentina.</t>
  </si>
  <si>
    <t>gmansilla@herrera.unt.edu.ar</t>
  </si>
  <si>
    <t>0273-1177</t>
  </si>
  <si>
    <t>1879-1948</t>
  </si>
  <si>
    <t>ADV SPACE RES</t>
  </si>
  <si>
    <t>Adv. Space Res.</t>
  </si>
  <si>
    <t>10.1016/j.asr.2015.05.028</t>
  </si>
  <si>
    <t>Engineering, Aerospace; Astronomy &amp; Astrophysics; Geosciences, Multidisciplinary; Meteorology &amp; Atmospheric Sciences</t>
  </si>
  <si>
    <t>Engineering; Astronomy &amp; Astrophysics; Geology; Meteorology &amp; Atmospheric Sciences</t>
  </si>
  <si>
    <t>DH3IX</t>
  </si>
  <si>
    <t>WOS:000372681800006</t>
  </si>
  <si>
    <t>Flores, PA; Foppiano, AJ</t>
  </si>
  <si>
    <t>Flores, P. A.; Foppiano, A. J.</t>
  </si>
  <si>
    <t>Meridional thermo spheric winds over Concepcion for the 1979-1989 interval derived from ionosonde observations</t>
  </si>
  <si>
    <t>Thermosphere; Concepcion Chile; Neutral winds; Ionosonde data</t>
  </si>
  <si>
    <t>SOLAR-CYCLE; ELECTRON-CONCENTRATION; THERMOSPHERIC WINDS; NEUTRAL WINDS; HIGH-LATITUDE; F2 PEAK; MIDLATITUDES; F2-LAYER; HEIGHT; MODEL</t>
  </si>
  <si>
    <t>The geomagnetic meridian component of thermospheric neutral winds has been determined for the first time using ionosonde observations made at Concepcion (36.8 degrees S; 73.0 degrees W) over a decade long interval (January 1979-December 1989). Observations correspond to conditions of low geomagnetic activity (Ap &lt;= 20). Winds have been estimated using a servo theory based algorithm including effects of electric fields. Input values are F-region peak heights determined from ionosonde data. Monthly mean diurnal variations were calculated for every month of the interval so as to estimate month-to-month variability. Then seasonal mean diurnal variations were computed and Fourier components of these variations were derived. Seasonal mean winds clearly show a seasonal dependence and the amplitude of the seasonal mean diurnal variation exhibits seasonal and solar cycle dependencies. Fourier analysis shows that harmonic components are significant up to the terdiurnal one in most cases. Servo winds are found to show little resemblance to winds derived using a well-known empirical model. It is concluded that the seasonal mean diurnal variations have common features with those corresponding to three locations on the Antarctic Peninsula, locations in the same longitude sector. Systematic latitude dependences of winds seem to exist when Concepcion and Antarctic Peninsula winds are combined with lower and higher latitude winds derived from FPI observations. Concepcion winds are also generally similar to those for a location in the northern hemisphere, also in the same longitude sector. Somewhat larger differences are found when compared with those for HWM90. (C) 2015 COSPAR. Published by Elsevier Ltd. All rights reserved.</t>
  </si>
  <si>
    <t>[Flores, P. A.] Univ Bio Bio, Dept Fis, Concepcion, Chile; [Foppiano, A. J.] Univ Concepcion, Dept Geofis, Concepcion, Chile</t>
  </si>
  <si>
    <t>Universidad del Bio-Bio; Universidad de Concepcion</t>
  </si>
  <si>
    <t>Foppiano, AJ (corresponding author), Univ Concepcion, Dept Geofis, Concepcion, Chile.</t>
  </si>
  <si>
    <t>foppiano@udec.cl</t>
  </si>
  <si>
    <t>10.1016/j.asr.2015.08.020</t>
  </si>
  <si>
    <t>WOS:000372681800007</t>
  </si>
  <si>
    <t>Ovalle, EM; Foppiano, AJ; Stepanova, MV; Weatherwax, AT</t>
  </si>
  <si>
    <t>Ovalle, E. M.; Foppiano, A. J.; Stepanova, M. V.; Weatherwax, A. T.</t>
  </si>
  <si>
    <t>Intermittency on simultaneous observations of riometer at several Antarctic locations</t>
  </si>
  <si>
    <t>Intermittency; Riometer radio-wave absorption</t>
  </si>
  <si>
    <t>AURORAL ABSORPTION; SPATIAL STRUCTURE; COMPLEXITY</t>
  </si>
  <si>
    <t>It is well known that auroral radio wave absorption, as measured by riometers, consists of periods of relative quiescence which are interrupted by short bursts of activity. Such patterns in activity are observed in systems ranging from the stock market to turbulence, i.e. they exhibit intermittency. In the case of the auroral absorption it has also been found that intermittency strongly depends on the magnetic local time, being largest in the night-time sector. This can be interpreted as indicating that the precipitating particles responsible of the absorption exhibit intermittency, especially near the substorm eye, where the level of turbulence increases. Here, we analyse simultaneous observations of riometer absorption at seven Antarctic locations, to determine whether they exhibit intermittency. We determine the Probability Distribution Functions of the fluctuations of riometer absorption for absorption events larger than 0.1 dB, as well as those for the time-intervals between absorption events. Observations are for locations within the austral auroral absorption zone and on the polar cap. It is found that the parameters of a power law used to describe the calculated PDFs are consistent with the formation of coherent structures being more frequent within the auroral zone, as a manifestation of intermittency. (C) 2015 COSPAR. Published by Elsevier Ltd. All rights reserved.</t>
  </si>
  <si>
    <t>[Ovalle, E. M.; Foppiano, A. J.] Univ Concepcion, Dept Geofis, Casilla 160-C, Concepcion, Chile; [Stepanova, M. V.] Univ Santiago Chile, Dept Fis, Ave Ecuador 3493, Santiago, Chile; [Weatherwax, A. T.] Merrimack Coll, Sch Sci &amp; Engn, N Andover, MA 01845 USA</t>
  </si>
  <si>
    <t>Universidad de Concepcion; Universidad de Santiago de Chile; Merrimack College</t>
  </si>
  <si>
    <t>Ovalle, EM (corresponding author), Univ Concepcion, Dept Geofis, Casilla 160-C, Concepcion, Chile.</t>
  </si>
  <si>
    <t>eo@dgeo.udec.cl</t>
  </si>
  <si>
    <t>Stepanova, Marina V/D-6329-2011</t>
  </si>
  <si>
    <t>Stepanova, Marina V/0000-0002-1053-3375; Weatherwax, Allan/0000-0003-4732-358X</t>
  </si>
  <si>
    <t>National Science Foundation - USA [PLR-1248062, PLR-1247975, AGS-1229541]; FONDECYT - Chile [1110729]; Directorate For Geosciences; Office of Polar Programs (OPP) [1248062] Funding Source: National Science Foundation; Office of Polar Programs (OPP); Directorate For Geosciences [1716192] Funding Source: National Science Foundation</t>
  </si>
  <si>
    <t>National Science Foundation - USA(National Science Foundation (NSF)); FONDECYT - Chile(Comision Nacional de Investigacion Cientifica y Tecnologica (CONICYT)CONICYT FONDECYT); Directorate For Geosciences; Office of Polar Programs (OPP)(National Science Foundation (NSF)NSF - Directorate for Geosciences (GEO)); Office of Polar Programs (OPP); Directorate For Geosciences(National Science Foundation (NSF)NSF - Directorate for Geosciences (GEO))</t>
  </si>
  <si>
    <t>The riometer program at South Pole station is managed by Siena College, Merrimack College, and the New Jersey Institute of Technology with the support of National Science Foundation - USA, Grants PLR-1248062, PLR-1247975, and AGS-1229541. Support for this study was provided by FONDECYT - Chile, Grant 1110729. Comments received from two referees, which led to a significant revision of the text, are greatly appreciated.</t>
  </si>
  <si>
    <t>10.1016/j.asr.2015.08.038</t>
  </si>
  <si>
    <t>WOS:000372681800008</t>
  </si>
  <si>
    <t>Volpov, BL; Rosen, DAS; Hoskins, AJ; Lourie, HJ; Dorville, N; Baylis, AMM; Wheatley, KE; Marshall, G; Abernathy, K; Semmens, J; Hindell, MA; Arnould, JPY</t>
  </si>
  <si>
    <t>Volpov, Beth L.; Rosen, David A. S.; Hoskins, Andrew J.; Lourie, Holly J.; Dorville, Nicole; Baylis, Alastair M. M.; Wheatley, Kathryn E.; Marshall, Greg; Abernathy, Kyler; Semmens, Jayson; Hindell, Mark A.; Arnould, John P. Y.</t>
  </si>
  <si>
    <t>Dive characteristics can predict foraging success in Australian fur seals (Arctocephalus pusillus doriferus) as validated by animalborne video</t>
  </si>
  <si>
    <t>BIOLOGY OPEN</t>
  </si>
  <si>
    <t>Crittercam; Foraging behaviour; Animal-borne video; Dive profile analysis</t>
  </si>
  <si>
    <t>STOMACH TEMPERATURE TELEMETRY; SOUTHERN ELEPHANT SEALS; BORNE VIDEO; LEPTONYCHOTES-WEDDELLII; PREY CONSUMPTION; MIROUNGA-LEONINA; MARINE PREDATOR; BEHAVIOR; CLASSIFICATION; ACCELERATION</t>
  </si>
  <si>
    <t>Dive characteristics and dive shape are often used to infer foraging success in pinnipeds. However, these inferences have not been directly validated in the field with video, and it remains unclear if this method can be applied to benthic foraging animals. This study assessed the ability of dive characteristics from time-depth recorders (TDR) to predict attempted prey capture events (APC) that were directly observed on animal-borne video in Australian fur seals (Arctocephalus pusillus doriferus, n = 11). The most parsimonious model predicting the probability of a dive with = 1 APC on video included only descent rate as a predictor variable. The majority (94%) of the 389 total APC were successful, and the majority of the dives (68%) contained at least one successful APC. The best model predicting these successful dives included descent rate as a predictor. Comparisons of the TDR model predictions to video yielded a maximum accuracy of 77.5% in classifying dives as either APC or non-APC or 77.1% in classifying dives as successful verses unsuccessful. Foraging intensity, measured as either total APC per dive or total successful APC per dive, was best predicted by bottom duration and ascent rate. The accuracy in predicting total APC per dive varied based on the number of APC per dive with maximum accuracy occurring at 1 APC for both total (54%) and only successful APC (52%). Results from this study linking verified foraging dives to dive characteristics potentially opens the door to decades of historical TDR datasets across several otariid species.</t>
  </si>
  <si>
    <t>[Volpov, Beth L.; Hoskins, Andrew J.; Lourie, Holly J.; Dorville, Nicole; Baylis, Alastair M. M.; Wheatley, Kathryn E.; Arnould, John P. Y.] Deakin Univ, Sch Life &amp; Environm Sci, Burwood, Vic 3125, Australia; [Rosen, David A. S.] Univ British Columbia, Inst Oceans &amp; Fisheries, Marine Mammal Res Unit, Vancouver, BC V6T 1Z4, Canada; [Marshall, Greg; Abernathy, Kyler] Natl Geog, Remote Imaging Dept, Washington, DC 20036 USA; [Semmens, Jayson; Hindell, Mark A.] Univ Tasmania, Inst Marine &amp; Antarctic Studies, Hobart, Tas 7001, Australia; [Hoskins, Andrew J.] CSIRO Land &amp; Water Flagship, Canberra, ACT, Australia; [Lourie, Holly J.] CLS Argos Aust NZ South Pacific, South Yarra, Vic 3141, Australia</t>
  </si>
  <si>
    <t>Deakin University; University of British Columbia; National Geographic Society; University of Tasmania; Commonwealth Scientific &amp; Industrial Research Organisation (CSIRO)</t>
  </si>
  <si>
    <t>Volpov, BL (corresponding author), Deakin Univ, Sch Life &amp; Environm Sci, Burwood, Vic 3125, Australia.</t>
  </si>
  <si>
    <t>byou@deakin.edu.au</t>
  </si>
  <si>
    <t>Hoskins, Andrew/T-2694-2019; Hindell, Mark A/K-1131-2013; Baylis, Alastair/H-9471-2019; Dorville, Nicole/IQX-1084-2023</t>
  </si>
  <si>
    <t>Hoskins, Andrew/0000-0001-8907-6682; Baylis, Alastair/0000-0002-5167-0472; Semmens, Jayson/0000-0003-1742-6692; Hindell, Mark/0000-0002-7823-7185</t>
  </si>
  <si>
    <t>Office of Naval Research (USA); Australian Research Council; M. A. Ingram Trust; Holsworth Wildlife Research Endowment; Deakin University Postgraduate Research Scholarship</t>
  </si>
  <si>
    <t>Office of Naval Research (USA)(Office of Naval Research); Australian Research Council(Australian Research Council); M. A. Ingram Trust; Holsworth Wildlife Research Endowment; Deakin University Postgraduate Research Scholarship</t>
  </si>
  <si>
    <t>Financial support for this project was provided by the Office of Naval Research (USA), the Australian Research Council, M. A. Ingram Trust and the Holsworth Wildlife Research Endowment. Graduate support to B. Volpov was provided by Deakin University Postgraduate Research Scholarship.</t>
  </si>
  <si>
    <t>2046-6390</t>
  </si>
  <si>
    <t>BIOL OPEN</t>
  </si>
  <si>
    <t>Biol. Open</t>
  </si>
  <si>
    <t>10.1242/bio.016659</t>
  </si>
  <si>
    <t>DG8AJ</t>
  </si>
  <si>
    <t>WOS:000372304500008</t>
  </si>
  <si>
    <t>Leane, E; Winter, T; Salazar, JF</t>
  </si>
  <si>
    <t>Leane, Elizabeth; Winter, Tim; Salazar, Juan Francisco</t>
  </si>
  <si>
    <t>Caught between nationalism and internationalism: replicating histories of Antarctica in Hobart</t>
  </si>
  <si>
    <t>INTERNATIONAL JOURNAL OF HERITAGE STUDIES</t>
  </si>
  <si>
    <t>Antarctica; Hobart; urban heritage; replica; diplomacy</t>
  </si>
  <si>
    <t>AUTHENTICITY</t>
  </si>
  <si>
    <t>In December 2013, a replica of Mawson's Hut' (a historic structure in Antarctica) joined a growing list of polar tourist attractions in the Australian city of Hobart, Tasmania. Initially promoted as the city's latest tourist hotspot,' the replica museum' quickly took its place in Hobart's newly redeveloped waterfront, reinforcing the city's identity as an Antarctic Gateway'. The hut forms part of a heritage cluster, an urban assemblage that weaves together the local and national, the past and present, the familiar and remote. In this article, we examine the replica hut in relation to the complex temporal and spatial relations that give it meaning, and to which it gives meaning. Our focus is the hut as a point of convergence between memory, material culture and the histories - and possible futures - of nationalism and internationalism. We argue that the replica hut, as a key site of Hobart's Antarctic heritage tourism industry, reproduces and prioritises domestic readings of exploration and colonisation over a reading of Antarctic engagement as a transnational endeavour. However, like other gateway city' heritage sites, it has the potential for aligning with a larger trend in international heritage conservation and heritage diplomacy, that of prioritising narratives of the past that weave together transnational connections and associations.</t>
  </si>
  <si>
    <t>[Leane, Elizabeth] Univ Tasmania, Inst Marine &amp; Antarctic Studies, Sch Humanities, Hobart, Tas, Australia; [Salazar, Juan Francisco] Univ Western Sydney, Sch Humanities &amp; Commun Arts, Penrith, NSW 1797, Australia; [Winter, Tim] Alfred Deakin Inst Citizenship &amp; Globalisat, Cultural Heritage Ctr Asia &amp; Pacific, Burwood, Australia</t>
  </si>
  <si>
    <t>University of Tasmania; Western Sydney University</t>
  </si>
  <si>
    <t>Leane, E (corresponding author), Univ Tasmania, Inst Marine &amp; Antarctic Studies, Sch Humanities, Hobart, Tas, Australia.</t>
  </si>
  <si>
    <t>elizabeth.leane@utas.edu.au</t>
  </si>
  <si>
    <t>Leane, Elizabeth M/J-7138-2014</t>
  </si>
  <si>
    <t>Leane, Elizabeth/0000-0002-7954-6529; Winter, Tim/0000-0002-5825-6012</t>
  </si>
  <si>
    <t>Australian Research Council [FT120100402]; Australian Research Council [FT120100402] Funding Source: Australian Research Council</t>
  </si>
  <si>
    <t>This work was supported by the Australian Research Council [project FT120100402].</t>
  </si>
  <si>
    <t>ROUTLEDGE JOURNALS, TAYLOR &amp; FRANCIS LTD</t>
  </si>
  <si>
    <t>2-4 PARK SQUARE, MILTON PARK, ABINGDON OX14 4RN, OXON, ENGLAND</t>
  </si>
  <si>
    <t>1352-7258</t>
  </si>
  <si>
    <t>1470-3610</t>
  </si>
  <si>
    <t>INT J HERIT STUD</t>
  </si>
  <si>
    <t>Int. J. Herit. Stud.</t>
  </si>
  <si>
    <t>10.1080/13527258.2015.1114010</t>
  </si>
  <si>
    <t>Humanities, Multidisciplinary; Social Sciences, Interdisciplinary</t>
  </si>
  <si>
    <t>Social Science Citation Index (SSCI); Arts &amp; Humanities Citation Index (A&amp;HCI)</t>
  </si>
  <si>
    <t>Arts &amp; Humanities - Other Topics; Social Sciences - Other Topics</t>
  </si>
  <si>
    <t>DG1IZ</t>
  </si>
  <si>
    <t>WOS:000371821500003</t>
  </si>
  <si>
    <t>Prebble, JG; Crouch, EM; Cortese, G; Carter, L; Neil, H; Bostock, H</t>
  </si>
  <si>
    <t>Prebble, Joseph G.; Crouch, Erica M.; Cortese, Giuseppe; Carter, Lionel; Neil, Helen; Bostock, Helen</t>
  </si>
  <si>
    <t>Southwest Pacific sea surface conditions during Marine Isotope Stage 11-Results from dinoflagellate cysts</t>
  </si>
  <si>
    <t>MIS11; Dinoflagellate cysts; Sea surface temperature; Productivity; Subtropical Front; SW Pacific</t>
  </si>
  <si>
    <t>EASTERN NEW-ZEALAND; SOUTHEASTERN NEW-ZEALAND; SOUTHERN-HEMISPHERE MIDLATITUDES; SUBTROPICAL CONVERGENCE REGION; RED-TIDE DINOFLAGELLATE; TASMAN SEA; AUSTRALIAN CURRENT; INDIAN-OCEAN; CHATHAM RISE; DEEP-OCEAN</t>
  </si>
  <si>
    <t>Dinoflagellate cyst (dinocyst) assemblages are examined from three SW Pacific marine sediment cores covering Marine Isotope Stage 11 (MIS11, 423 Ica-380 Ica). MDO6-2988 and MDO6-2989 are in the east Tasman Sea, north of the Subtropical Front (STF), whilst DSDP594 is in Subantarctic surface waters (SAW) off eastern New Zealand. Sea surface temperature (SST) estimates from dinocyst assemblages indicate that the east Tasman Sea was similar to 2.5 degrees C warmer than present during the peak warmth of MIS11. In the east Tasman Sea, north of the STF, there is a two-step warming into MIS11 in cores MD06-2988 and MDOG-2989. East of New Zealand and south of the STF, at core site DSDP594, dinocyst SST estimates suggest that MIS11 was an extended warm period similar to, or slightly warmer than, present conditions, although data from the early phase (prior to 417 ka) may be compromised due to insufficient modern analogues. At all sites, glacial/interglacial climatic fluctuations were accompanied by large assemblage changes. Glacial intervals were characterised by higher abundances of assemblages typical of SAW (Nematosphaeropsis labyrinthus, Selenopemphix antarctica +/- Brigantedinium spp). Subtropical surface water (STW) assemblages dominated during the interglacial in the east Tasman Sea (including Impagidinium aculeatum, I. patulum, and Spiniferites mirabilis), whilst assemblages consistent with continued SAW influence remained during the interglacial at core site DSDP594, albeit with reduced cold water indicators such as S. antarctica. The changes are particularly pronounced in the east Tasman Sea, where the STF is inferred to have been located further north during glacials MIS12 and MIS10. The influence of STW at DSDP594 during MIS11 and the Holocene is inferred to have been less than during MIS5e. A qualitative dinocyst-based index likely reflecting primary productivity (also influenced by oxygen concentration on the sea floor) is broadly anti-phased with SST on glacial-interglacial timescales at all sites. (C) 2016 Elsevier B.V. All rights reserved.</t>
  </si>
  <si>
    <t>[Prebble, Joseph G.; Crouch, Erica M.; Cortese, Giuseppe] GNS Sci, POB 30 368, Lower Hutt 5040, New Zealand; [Carter, Lionel] Victoria Univ Wellington, Antarctic Res Ctr, Wellington, New Zealand; [Neil, Helen; Bostock, Helen] Natl Inst Water &amp; Atmospher Res NIWA, Wellington, New Zealand</t>
  </si>
  <si>
    <t>GNS Science - New Zealand; Victoria University Wellington; National Institute of Water &amp; Atmospheric Research (NIWA) - New Zealand</t>
  </si>
  <si>
    <t>Prebble, JG (corresponding author), GNS Sci, POB 30 368, Lower Hutt 5040, New Zealand.</t>
  </si>
  <si>
    <t>j.prebble@gns.cri.nz</t>
  </si>
  <si>
    <t>Bostock, Helen/A-6834-2013; Crouch, Erica M/C-2820-2013</t>
  </si>
  <si>
    <t>Bostock, Helen/0000-0002-8903-8958; Cortese, Giuseppe/0000-0003-1780-3371; Prebble, Joseph/0000-0002-7268-4187</t>
  </si>
  <si>
    <t>New Zealand government Bright Futures graduate scholarship; GNS Science through its Global Change through Time (GCT) Programme; FRST funded Antarctica New Zealand Interglacial Climate Extremes (ANZICE) programme; Consequences of Earth, Ocean Change (CEOC) Programme; NIWA core funding</t>
  </si>
  <si>
    <t>We thank the crew and science party of the RN Marion Dufresne MD152 (MATACORE) cruise, and those involved with DSDP Leg 90. Sonja Fry and Roger Tremain at GNS Science assisted with palynological processing. Bruce Hayward shared five unpublished foraminifera census counts from MD06-2989, and Matt Ryan and Brent Alloway shared unpublished data on their identification of tephra at DSDP594. JP was supported by a New Zealand government Bright Futures graduate scholarship. JP, EC and GC acknowledge support from GNS Science through its Global Change through Time (GCT) Programme, LC was supported by the FRST funded Antarctica New Zealand Interglacial Climate Extremes (ANZICE) programme. HN and HB were supported by the Consequences of Earth, Ocean Change (CEOC) Programme and NIWA core funding. We thank the three anonymous reviewers for their constructive comments that have improved this manuscript.</t>
  </si>
  <si>
    <t>10.1016/j.palaeo.2016.01.007</t>
  </si>
  <si>
    <t>DF7QP</t>
  </si>
  <si>
    <t>WOS:000371553000003</t>
  </si>
  <si>
    <t>Mahaney, WC; Schwartz, S</t>
  </si>
  <si>
    <t>Mahaney, W. C.; Schwartz, Stephane</t>
  </si>
  <si>
    <t>Paleoclimate of Antarctica reconstructed from clast weathering rind analysis</t>
  </si>
  <si>
    <t>Antarctic paleosols; XRF/SEM/EDS sediment analysis; Antarctic temperate/polar ice transition</t>
  </si>
  <si>
    <t>MOUNT KENYA; TRANSANTARCTIC MOUNTAINS; BEACON SUPERGROUP; GLACIAL HISTORY; CLIMATE-CHANGE; VICTORIA LAND; DRY VALLEYS; ICE-SHEET; IN-SITU; PALEOSOLS</t>
  </si>
  <si>
    <t>Previous analysis of extractable Fe/Al in paleosols near New Mountain, Antarctica, suggests a pre-Middle Miocene, possibly Late Oligocene-Early Miocene age for paleosol 831 emplaced during the alpine event prior to the growth of the Inland Ice Sheet. Recent analysis of weathering zones in clasts with encrusted Fe/salts from the pebble pavement overlying the 831 paleosol reveals a succession of three weathering zones in a sandstone clast that record a paleoclimate transitioning from warm/wet (temperate) to cold/dry (polar). The first zone corresponds to an association of quartz cemented with berthierine (smectite-serpentine) and illite clay minerals. The second zone transitional from weathered clast to Na-encrusted rind contains smaller amounts of berthierine and illite formed in grains of partially dissolved quartz with minor salt content. Zone three corresponds to an similar to 3 mm (3 x 10(6) nm) thick mass of porous nitrate and gypsum. The contact between zones 2 and 3 appears to be correlative with the transition from temperate to polar ice which is considered to have occurred prior to or coincident with the Middle Miocene Climatic Optimum. (C) 2016 Elsevier B.V. All rights reserved.</t>
  </si>
  <si>
    <t>[Mahaney, W. C.] Quaternary Surveys, 26 Thornhill Ave, Thornhill, ON L4J 1J4, Canada; [Schwartz, Stephane] Univ Grenoble Alpes, ISTerre UMR 5275, F-38041 Grenoble, France</t>
  </si>
  <si>
    <t>Communaute Universite Grenoble Alpes; Universite Grenoble Alpes (UGA); Centre National de la Recherche Scientifique (CNRS); CNRS - National Institute for Earth Sciences &amp; Astronomy (INSU)</t>
  </si>
  <si>
    <t>Mahaney, WC (corresponding author), Quaternary Surveys, 26 Thornhill Ave, Thornhill, ON L4J 1J4, Canada.;Schwartz, S (corresponding author), Univ Grenoble Alpes, ISTerre UMR 5275, F-38041 Grenoble, France.</t>
  </si>
  <si>
    <t>arkose41@gmail.com; stephane.schwartz@ujf-grenoble.fr</t>
  </si>
  <si>
    <t>SCHWARTZ, Stéphane/F-6787-2011</t>
  </si>
  <si>
    <t>SCHWARTZ, Stéphane/0000-0001-7942-7071</t>
  </si>
  <si>
    <t>Quaternary Surveys, Toronto; New Zealand Antarctic Programme; Antarctic NZ Programme [K-105]</t>
  </si>
  <si>
    <t>Quaternary Surveys, Toronto; New Zealand Antarctic Programme; Antarctic NZ Programme</t>
  </si>
  <si>
    <t>This research was funded by Quaternary Surveys, Toronto and the New Zealand Antarctic Programme. We thank Event K-105, Antarctic NZ Programme for support. We gratefully acknowledge reviews by Dustin Sweet (Texas Tech University, Lubbock, Texas) and one anonymous reviewer.</t>
  </si>
  <si>
    <t>10.1016/j.palaeo.2016.01.026</t>
  </si>
  <si>
    <t>WOS:000371553000019</t>
  </si>
  <si>
    <t>Petrenko, VV; Severinghaus, JP; Schaefer, H; Smith, AM; Kuhl, T; Baggenstos, D; Hua, Q; Brook, EJ; Rose, P; Kulin, R; Bauska, T; Harth, C; Buizert, C; Orsi, A; Emanuele, G; Lee, JE; Brailsford, G; Keeling, R; Weiss, RF</t>
  </si>
  <si>
    <t>Petrenko, Vasilii V.; Severinghaus, Jeffrey P.; Schaefer, Hinrich; Smith, Andrew M.; Kuhl, Tanner; Baggenstos, Daniel; Hua, Quan; Brook, Edward J.; Rose, Paul; Kulin, Robb; Bauska, Thomas; Harth, Christina; Buizert, Christo; Orsi, Anais; Emanuele, Guy; Lee, James E.; Brailsford, Gordon; Keeling, Ralph; Weiss, Ray F.</t>
  </si>
  <si>
    <t>Measurements of 14C in ancient ice from Taylor Glacier, Antarctica constrain in situ cosmogenic 14CH4 and 14CO production rates</t>
  </si>
  <si>
    <t>ABRUPT CLIMATE-CHANGE; ATMOSPHERIC METHANE; SOLAR-ACTIVITY; RADIOCARBON ANALYSIS; NUCLIDE PRODUCTION; ABLATION RATES; DOME ICE; CORE; GREENLAND; FIRN</t>
  </si>
  <si>
    <t>Carbon-14 (C-14) is incorporated into glacial ice by trapping of atmospheric gases as well as direct near-surface in situ cosmogenic production. C-14 of trapped methane ((CH4)-C-14) is a powerful tracer for past CH4 emissions from old carbon sources such as permafrost and marine CH4 clathrates. C-14 in trapped carbon dioxide ((CO2)-C-14) can be used for absolute dating of ice cores. In situ produced cosmogenic C-14 in carbon monoxide ((CO)-C-14) can potentially be used to reconstruct the past cosmic ray flux and past solar activity. Unfortunately, the trapped atmospheric and in situ cosmogenic components of C-14 in glacial ice are difficult to disentangle and a thorough understanding of the in situ cosmogenic component is needed in order to extract useful information from ice core C-14. We analyzed very large (approximate to 1000 kg) ice samples in the 2.26-19.53 m depth range from the ablation zone of Taylor Glacier, Antarctica, to study in situ cosmogenic production of (CH4)-C-14 and (CO)-C-14. All sampled ice is &gt;50 ka in age, allowing for the assumption that most of the measured C-14 originates from recent in situ cosmogenic production as ancient ice is brought to the surface via ablation. Our results place the first constraints on cosmogenic (CH4)-C-14 production rates and improve on prior estimates of (CO)-C-14 production rates in ice. We find a constant (CH4)-C-14/(CO)-C-14 production ratio (0.0076 +/- 0.0003) for samples deeper than 3 m, which allows the use of (CO)-C-14 for correcting the (CH4)-C-14 signals for the in situ cosmogenic component. Our results also provide the first unambiguous confirmation of C-14 production by fast muons in a natural setting (ice or rock) and suggest that the C-14 production rates in ice commonly used in the literature may be too high. (C) 2016 Elsevier Ltd. All rights reserved.</t>
  </si>
  <si>
    <t>[Petrenko, Vasilii V.] Univ Rochester, Dept Earth &amp; Environm Sci, Rochester, NY 14627 USA; [Severinghaus, Jeffrey P.; Baggenstos, Daniel; Harth, Christina; Orsi, Anais; Emanuele, Guy; Keeling, Ralph; Weiss, Ray F.] Univ Calif San Diego, SIO, La Jolla, CA 92093 USA; [Schaefer, Hinrich; Brailsford, Gordon] Natl Inst Water &amp; Atmospher Res Ltd NIWA, POB 14901,301 Evans Bay Parade, Wellington, New Zealand; [Smith, Andrew M.; Hua, Quan] ANSTO, Locked Bag 2001, Kirrawee Dc, NSW 2232, Australia; [Kuhl, Tanner; Kulin, Robb] Univ Wisconsin, Ice Drilling Design &amp; Operat, Madison, WI USA; [Brook, Edward J.; Bauska, Thomas; Buizert, Christo; Lee, James E.] OSU, Coll Earth Ocean &amp; Atmospher Sci, Corvallis, OR 97331 USA; [Rose, Paul] Natl Geog Soc, Pristine Seas Project, 1145 17th St NW, Washington, DC USA; [Orsi, Anais] CEA, CNRS, IPSL LSCE, F-91191 Gif Sur Yvette, France</t>
  </si>
  <si>
    <t>University of Rochester; University of California System; University of California San Diego; National Institute of Water &amp; Atmospheric Research (NIWA) - New Zealand; Australian Nuclear Science &amp; Technology Organisation; University of Wisconsin System; University of Wisconsin Madison; National Geographic Society; Universite Paris Saclay; CEA; Centre National de la Recherche Scientifique (CNRS)</t>
  </si>
  <si>
    <t>Petrenko, VV (corresponding author), Univ Rochester, Dept Earth &amp; Environm Sci, Rochester, NY 14627 USA.</t>
  </si>
  <si>
    <t>vpetrenk@ur.rochester.edu</t>
  </si>
  <si>
    <t>Hua, Quan/F-9593-2014; , Andrew/HLX-8550-2023; Baggenstos, Daniel/AAK-5751-2021; Brook, Edward/AAB-7807-2021; Rose, Paul/AAY-2506-2020</t>
  </si>
  <si>
    <t>Baggenstos, Daniel/0000-0001-9756-6884; Rose, Paul/0000-0002-5375-8267; Schaefer, Hinrich/0000-0002-1163-2818; Lee, James/0000-0002-9137-1530; Buizert, Christo/0000-0002-2227-1747; Bauska, Thomas/0000-0003-1901-0367; Petrenko, Vasilii/0000-0002-0263-8759; Smith, Andrew/0000-0002-9193-2617</t>
  </si>
  <si>
    <t>US NSF Award [0839031, 0838936, 1245659]; NOAA Climate and Global Change Postdoctoral Fellowship; Packard Fellowship for Science and Engineering; Marsden Fund Council from New Zealand Government - Royal Society of New Zealand; ANSTO Cosmogenic Climate Archives of the Southern Hemisphere project; NIWA under Climate and Atmosphere Research Programme [CAAC1504 (2014/15 SCI)]; Directorate For Geosciences; Office of Polar Programs (OPP) [1245659, 1246148] Funding Source: National Science Foundation</t>
  </si>
  <si>
    <t>US NSF Award; NOAA Climate and Global Change Postdoctoral Fellowship(National Oceanic Atmospheric Admin (NOAA) - USA); Packard Fellowship for Science and Engineering; Marsden Fund Council from New Zealand Government - Royal Society of New Zealand; ANSTO Cosmogenic Climate Archives of the Southern Hemisphere project; NIWA under Climate and Atmosphere Research Programme; Directorate For Geosciences; Office of Polar Programs (OPP)(National Science Foundation (NSF)NSF - Directorate for Geosciences (GEO))</t>
  </si>
  <si>
    <t>This work was supported by US NSF Awards 0839031 (Severinghaus), 0838936 (Brook), 1245659 (Petrenko), the NOAA Climate and Global Change Postdoctoral Fellowship (Petrenko, Buizert), the Packard Fellowship for Science and Engineering (Petrenko), the Marsden Fund Council from New Zealand Government funding administered by the Royal Society of New Zealand (Schaefer), and by the ANSTO Cosmogenic Climate Archives of the Southern Hemisphere project (Smith). Further support came from NIWA under Climate and Atmosphere Research Programme CAAC1504 (2014/15 SCI). We thank the US Antarctic Program for field support, Philip Place for ice core [CO] analyses, Rowena Moss for delta13CO analyses and Andrew Dickson for helpful discussions. The manuscript was improved by constructive reviews from Nat Lifton and an anonymous reviewer, and subsequent helpful discussions with Nat Lifton.</t>
  </si>
  <si>
    <t>10.1016/j.gca.2016.01.004</t>
  </si>
  <si>
    <t>DE9PH</t>
  </si>
  <si>
    <t>Green Published, hybrid, Green Submitted</t>
  </si>
  <si>
    <t>WOS:000370969700004</t>
  </si>
  <si>
    <t>Freidman, BL; Gras, SL; Snape, I; Stevens, GW; Mumford, KA</t>
  </si>
  <si>
    <t>Freidman, Benjamin L.; Gras, Sally L.; Snape, Ian; Stevens, Geoff W.; Mumford, Kathryn A.</t>
  </si>
  <si>
    <t>Application of controlled nutrient release to permeable reactive barriers</t>
  </si>
  <si>
    <t>Controlled release; Flow velocity; Petroleum hydrocarbon; Groundwater</t>
  </si>
  <si>
    <t>ORGANIC-COMPOUNDS; CASEY STATION; NITROGEN; BIOREMEDIATION; REMEDIATION; ADSORPTION</t>
  </si>
  <si>
    <t>The application of controlled release nutrient (CRN) materials to permeable reactive barriers to promote biodegradation of petroleum hydrocarbons in groundwater was investigated. The longevity of release, influence of flow velocity and petroleum hydrocarbon concentration on nutrient release was assessed using soluble and ion exchange CRN materials; namely Polyon (TM) and Zeopro (TM). Both CRN materials, assessed at 4 degrees C and 23 degrees C, demonstrated continuing release of nitrogen, phosphorus and potassium (N-P-K) at 3500 bed volumes passing, with longer timeframes of N-P-K release at 4 degrees C. Zeopro (TM) activated carbon mixtures demonstrated depletion of N-P-K prior to 3500 bed volumes passing. Increased flow velocity was shown to lower nutrient concentrations in Polyon (TM) flow cells while nutrient release from Zeopro (TM) was largely unchanged. The presence of petroleum hydrocarbons, at 1.08 mmol/L and 3.25 mmol/L toluene, were not shown to alter nutrient release from Polyon (TM) and Zeopro (TM) across 14 days. These findings suggest that Polyon (TM) and Zeopro (TM) may be suitable CRN materials for application to PRBs in low nutrient environments. (C) 2015 Elsevier Ltd. All rights reserved.</t>
  </si>
  <si>
    <t>[Freidman, Benjamin L.; Gras, Sally L.; Stevens, Geoff W.; Mumford, Kathryn A.] Univ Melbourne, Dept Chem &amp; Biomol Engn, Particulate Fluids Proc Ctr, Melbourne, Vic 3010, Australia; [Freidman, Benjamin L.; Gras, Sally L.] Univ Melbourne, Mol Sci &amp; Biotechnol Inst Bio21, Melbourne, Vic 3010, Australia; [Snape, Ian] Australian Antarctic Div, Channel Highway, Kingston, Tas 7050, Australia; [Gras, Sally L.] Univ Melbourne, ARC Dairy Innovat Hub, Melbourne, Vic 3010, Australia</t>
  </si>
  <si>
    <t>University of Melbourne; Melbourne Bioinformatics; University of Melbourne; Melbourne Bioinformatics; Australian Antarctic Division; University of Melbourne; Melbourne Genomics Health Alliance</t>
  </si>
  <si>
    <t>Mumford, KA (corresponding author), Univ Melbourne, Bldg 165, Parkville, Vic 3010, Australia.</t>
  </si>
  <si>
    <t>mumfordk@unimelb.edu.au</t>
  </si>
  <si>
    <t>Mumford, Kathryn A/M-6566-2015; Gras, Sally L/G-2025-2014</t>
  </si>
  <si>
    <t>Gras, Sally L/0000-0002-4660-1245; Stevens, Geoffrey/0000-0002-5788-4682</t>
  </si>
  <si>
    <t>Australian Antarctic Science Project [4029]; Particulate Fluids Processing Centre; ARC Dairy Innovation Hub [IH120100005]</t>
  </si>
  <si>
    <t>Australian Antarctic Science Project; Particulate Fluids Processing Centre; ARC Dairy Innovation Hub(Australian Research Council)</t>
  </si>
  <si>
    <t>The authors gratefully acknowledge the financial support of Australian Antarctic Science Project 4029 and The Particulate Fluids Processing Centre. We extend our thanks to Dr Simon Crawford of the Melbourne Advanced Microscopy Facility, The University of Melbourne for his assistance with particle imaging. Sally Gras is supported by The ARC Dairy Innovation Hub (IH120100005).</t>
  </si>
  <si>
    <t>10.1016/j.jenvman.2015.12.002</t>
  </si>
  <si>
    <t>DE8TL</t>
  </si>
  <si>
    <t>WOS:000370909500016</t>
  </si>
  <si>
    <t>Xu, SQ; Chen, LQ; Chen, HY; Li, J; Lin, WH; Qi, D</t>
  </si>
  <si>
    <t>Xu, Suqing; Chen, Liqi; Chen, Haiying; Li, Jonathan; Lin, Wuhui; Qi, Di</t>
  </si>
  <si>
    <t>Sea-air CO2 fluxes in the Southern Ocean for the late spring and early summer in 2009</t>
  </si>
  <si>
    <t>Sea-air CO2 fluxes; Extrapolation method; Remote sensing; The Southern Ocean; CHINARE</t>
  </si>
  <si>
    <t>GAS-EXCHANGE; WIND-SPEED; ROSS SEA; PCO(2); SEQUESTRATION; ANTARCTICA; CYCLE; FCO2</t>
  </si>
  <si>
    <t>The Southern Ocean is an important sink of atmospheric carbon dioxide (CO2). However, the magnitude of the CO2 sink is uncertain because of the scarcity of in-situ observations due to its remote and rough waters. Empirical relationships were deduced based on the in-situ partial pressure of carbon dioxide (pCO(2)) in surface seawater and its main controls including Chlorophyll a (Chl-a) and Sea Surface Temperature (SST) obtained during the 26th CHINARE cruise in late spring (November) and early summer (December) 2009. An extrapolation method based on multiple linear regressions was set up for combining the empirical relationship with satellite data to compute the sea-air carbon fluxes and carbon uptake in the Southern Ocean (south of 50 degrees S). The empirical relationships are validated with independent measurements from SOCATv2 database. The mean standard deviation differences (Std) between extrapolated and measured pCO(2) from SOCATv2 database (13.8 to 18.1 mu atm) are consistent with the precision of our regressions (13.6 to 213 mu atm). Including the effects of sea ice, we estimate a Southern Ocean CO2 source to the atmosphere in November 2009 about 1.65 Tg C with an uncertainty of +/- 0.73 Tg C by uncertainty propagation formula. While in December 2009, we estimated a CO2 sink of -2.34 Tg C with an uncertainty of +/- 1.03 Tg C. The carbon source and sink of the South Atlantic Ocean, the South Indian Ocean and the South Pacific Ocean were estimated. For the austral summer, the South Atlantic Ocean and the South Pacific Ocean are still strong carbon sink. When compared to the climatological monthly results of Takahashi et al. (2012), our results showed a similar distribution of sea-air carbon flux. (c) 2016 Elsevier Inc. All rights reserved.</t>
  </si>
  <si>
    <t>[Xu, Suqing; Chen, Liqi; Lin, Wuhui; Qi, Di] State Ocean Adm, Inst Oceanog 3, Key Lab Global Change &amp; Marine Atmospher Chem, Xiamen 361005, Peoples R China; [Xu, Suqing] State Ocean Adm, Inst Oceanog 2, State Key Lab Satellite Ocean Environm Dynam, Hangzhou 310012, Zhejiang, Peoples R China; [Chen, Haiying] State Ocean Adm, Inst Oceanog 3, Lab Marine Acoust &amp; Remote Sensing Technol, Xiamen 361005, Peoples R China; [Li, Jonathan] Xiamen Univ, Sch Informat Sci &amp; Engn, MOE Key Lab Underwater Acoust Commun &amp; Marine Inf, 422 Siming Rd South, Xiamen 361005, Peoples R China; [Li, Jonathan] Univ Waterloo, Dept Geog &amp; Environm Management, 200 Univ Ave West, Waterloo, ON N2L 3G1, Canada; [Lin, Wuhui] Tsinghua Univ, Dept Engn Phys, Beijing 100084, Peoples R China</t>
  </si>
  <si>
    <t>Third Institute of Oceanography, Ministry of Natural Resources; Third Institute of Oceanography, Ministry of Natural Resources; Xiamen University; University of Waterloo; Tsinghua University</t>
  </si>
  <si>
    <t>Xu, SQ (corresponding author), 178 Daxue Rd, Xiamen 361005, Fujian, Peoples R China.</t>
  </si>
  <si>
    <t>Li, Jonathan/AAA-7712-2021</t>
  </si>
  <si>
    <t>National Natural Science Foundation of China [41230529, 41476172, 41506209]; Open Fund of the State Key Laboratory of Satellite Ocean Environment Dynamics [SOED1506]; Chinese Projects for Investigations and Assessments of the Arctic and Antarctic [CHINARE2012-15, 01-04-02, 02-01, 03-04-02]; Chinese International Cooperation Projects [2015DFG22010, ISOCORE2011-2015, IC201201, IC201308, IC201513]</t>
  </si>
  <si>
    <t>National Natural Science Foundation of China(National Natural Science Foundation of China (NSFC)); Open Fund of the State Key Laboratory of Satellite Ocean Environment Dynamics; Chinese Projects for Investigations and Assessments of the Arctic and Antarctic; Chinese International Cooperation Projects</t>
  </si>
  <si>
    <t>This work was partially supported by the National Natural Science Foundation of China under grants 41230529, 41476172 and 41506209, the Open Fund of the State Key Laboratory of Satellite Ocean Environment Dynamics under contract SOED1506, the Chinese Projects for Investigations and Assessments of the Arctic and Antarctic under grants CHINARE2012-15 for 01-04-02, 02-01, and 03-04-02, and the Chinese International Cooperation Projects under grants 2015DFG22010, ISOCORE2011-2015, IC201201, IC201308, and IC201513. We would like to thank the Institute of Oceanology, Chinese Academy of Sciences for providing the Chl-a data. We also thank Rik Wanninkhof of the NOAA/AOML, Miami, USA for his suggestions and comments.</t>
  </si>
  <si>
    <t>10.1016/j.rse.2015.12.049</t>
  </si>
  <si>
    <t>DF0AC</t>
  </si>
  <si>
    <t>WOS:000371000000014</t>
  </si>
  <si>
    <t>Younger, JL; van den Hoff, J; Wienecke, B; Hindell, M; Miller, KJ</t>
  </si>
  <si>
    <t>Younger, Jane L.; van den Hoff, John; Wienecke, Barbara; Hindell, Mark; Miller, Karen J.</t>
  </si>
  <si>
    <t>Contrasting responses to a climate regime change by sympatric, ice-dependent predators</t>
  </si>
  <si>
    <t>BMC EVOLUTIONARY BIOLOGY</t>
  </si>
  <si>
    <t>Climate change ecology; Bayesian skyline plot; Demographic history; Ecological niche; Resilience; Holocene; Aptenodytes forsteri; Leptonychotes weddellii</t>
  </si>
  <si>
    <t>WEDDELL SEALS; MITOCHONDRIAL-DNA; EMPEROR PENGUINS; SOUTHERN-OCEAN; ADELIE LAND; ROSS SEA; EVOLUTION; DYNAMICS; HOLOCENE; HISTORY</t>
  </si>
  <si>
    <t>Background: Models that predict changes in the abundance and distribution of fauna under future climate change scenarios often assume that ecological niche and habitat availability are the major determinants of species' responses to climate change. However, individual species may have very different capacities to adapt to environmental change, as determined by intrinsic factors such as their dispersal ability, genetic diversity, generation time and rate of evolution. These intrinsic factors are usually excluded from forecasts of species' abundance and distribution changes. We aimed to determine the importance of these factors by comparing the impact of the most recent climate regime change, the late Pleistocene glacial-interglacial transition, on two sympatric, ice-dependent meso-predators, the emperor penguin (Aptenodytes forsteri) and Weddell seal (Leptonychotes weddellii). Methods: We reconstructed the population trend of emperor penguins and Weddell seals in East Antarctica over the past 75,000 years using mitochondrial DNA sequences and an extended Bayesian skyline plot method. We also assessed patterns of contemporary population structure and genetic diversity. Results: Despite their overlapping distributions and shared dependence on sea ice, our genetic data revealed very different responses to climate warming between these species. The emperor penguin population grew rapidly following the glacial-interglacial transition, but the size of the Weddell seal population did not change. The expansion of emperor penguin numbers during the warm Holocene may have been facilitated by their higher dispersal ability and gene flow among colonies, and fine-scale differences in preferred foraging locations. Conclusions: The vastly different climate change responses of two sympatric ice-dependent predators suggests that differing adaptive capacities and/or fine-scale niche differences can play a major role in species' climate change responses, and that adaptive capacity should be considered alongside niche and distribution in future species forecasts.</t>
  </si>
  <si>
    <t>[Younger, Jane L.; Hindell, Mark] Univ Tasmania, Inst Marine &amp; Antarctic Studies, Private Bag 129, Hobart, Tas 7001, Australia; [van den Hoff, John; Wienecke, Barbara] Australian Antarctic Div, 203 Channel Highway, Kingston, Tas 7050, Australia; [Miller, Karen J.] Australian Inst Marine Sci, UWA Oceans Inst, 35 Stirling Highway, Crawley, WA 6009, Australia; [Miller, Karen J.] Univ Tasmania, Sch Biol Sci, Private Bag 5, Hobart, Tas 7001, Australia</t>
  </si>
  <si>
    <t>University of Tasmania; Australian Antarctic Division; University of Western Australia; Australian Institute of Marine Science; University of Tasmania</t>
  </si>
  <si>
    <t>Younger, JL (corresponding author), Univ Tasmania, Inst Marine &amp; Antarctic Studies, Private Bag 129, Hobart, Tas 7001, Australia.</t>
  </si>
  <si>
    <t>Jane.Younger@utas.edu.au</t>
  </si>
  <si>
    <t>Miller, Karen/A-7902-2011; Miller, Karen/V-4098-2019; Hindell, Mark A/K-1131-2013</t>
  </si>
  <si>
    <t>Hindell, Mark/0000-0002-7823-7185; Younger, Jane/0000-0001-5974-7350</t>
  </si>
  <si>
    <t>Australian Antarctic Division [4184]; Holsworth Wildlife Research Endowment; Sea World Research and Rescue Foundation</t>
  </si>
  <si>
    <t>Australian Antarctic Division; Holsworth Wildlife Research Endowment; Sea World Research and Rescue Foundation</t>
  </si>
  <si>
    <t>We thank Jean-Benoit Charrassin, Francoise Amelineau, James Bumac, Kim Goetz, Dan Costa, Jo-Ann Mellish and Roger Kirkwood for genetic sampling, Simon Foote and David Lambert for providing facilities, and Leon Huynen for generously sharing his expertise in ancient DNA techniques. We would also like to thank Simon Griffith, Adriana Verges, Natasha Hardy and two anonymous reviewers for helpful feedback that improved this manuscript. Our research was funded by the Australian Antarctic Division (4184: KM/BW/JVH/JY), Holsworth Wildlife Research Endowment (JY) and Sea World Research and Rescue Foundation (KM/JY).</t>
  </si>
  <si>
    <t>1471-2148</t>
  </si>
  <si>
    <t>BMC EVOL BIOL</t>
  </si>
  <si>
    <t>BMC Evol. Biol.</t>
  </si>
  <si>
    <t>10.1186/s12862-016-0630-3</t>
  </si>
  <si>
    <t>Evolutionary Biology; Genetics &amp; Heredity</t>
  </si>
  <si>
    <t>DG3JO</t>
  </si>
  <si>
    <t>WOS:000371965700001</t>
  </si>
  <si>
    <t>Hendry, KR; Gong, X; Knorr, G; Pike, J; Hall, IR</t>
  </si>
  <si>
    <t>Hendry, Katharine R.; Gong, Xun; Knorr, Gregor; Pike, Jennifer; Hall, Ian R.</t>
  </si>
  <si>
    <t>Deglacial diatom production in the tropical North Atlantic driven by enhanced silicic acid supply</t>
  </si>
  <si>
    <t>spicule; silicon isotope; Younger Dryas; Heinrich Stadial; upwelling</t>
  </si>
  <si>
    <t>MERIDIONAL OVERTURNING CIRCULATION; ANTARCTIC INTERMEDIATE WATER; LAST GLACIAL MAXIMUM; SOUTHERN-OCEAN; IBERIAN MARGIN; ABRUPT CHANGES; CLIMATE; ISOTOPES; AFRICA; NUTRIENTS</t>
  </si>
  <si>
    <t>Major shifts in ocean circulation are thought to be responsible for abrupt changes in temperature and atmospheric CO2 during the last deglaciation, linked to variability in meridional heat transport and deep ocean carbon storage. There is also widespread evidence for shifts in biological production during these times of deglacial CO2 rise, including enhanced diatom production in regions such as the tropical Atlantic. However, it remains unclear as to whether this diatom production was driven by enhanced wind-driven upwelling or density-driven vertical mixing, or by elevated thermocline concentrations of silicic acid supplied to the surface at a constant rate. Here, we demonstrate that silicic acid supply at depth in the NE Atlantic was enhanced during the abrupt climate events of the deglaciation. We use marine sediment archives to show that an increase in diatom production during abrupt climate shifts could only occur in regions of the NE Atlantic where the deep supply of silicic acid could reach the surface. The associated changes are indicative of enhanced regional wind-driven upwelling and/or weakened stratification due to circulation changes during phases of weakened Atlantic meridional overturning. Globally near-synchronous pulses of diatom production and enhanced thermocline concentrations of silicic acid suggest that widespread deglacial surface-driven breakdown of stratification, linked to changes in atmospheric circulation, had major consequences for biological productivity and carbon cycling. (C) 2016 Elsevier B.V. All rights reserved.</t>
  </si>
  <si>
    <t>[Hendry, Katharine R.] Univ Bristol, Sch Earth Sci, Wills Mem Bldg,Queens Rd, Bristol BS8 1RJ, Avon, England; [Gong, Xun; Knorr, Gregor; Pike, Jennifer; Hall, Ian R.] Cardiff Univ, Sch Earth &amp; Ocean Sci, Main Bldg,Pk Pl, Cardiff CF10 3AT, S Glam, Wales; [Gong, Xun; Knorr, Gregor] Alfred Wegener Inst, Bussestr 24, D-27570 Bremerhaven, Germany</t>
  </si>
  <si>
    <t>University of Bristol; Cardiff University; Helmholtz Association; Alfred Wegener Institute, Helmholtz Centre for Polar &amp; Marine Research</t>
  </si>
  <si>
    <t>Hendry, KR (corresponding author), Univ Bristol, Sch Earth Sci, Wills Mem Bldg,Queens Rd, Bristol BS8 1RJ, Avon, England.</t>
  </si>
  <si>
    <t>K.Hendry@bristol.ac.uk</t>
  </si>
  <si>
    <t>Pike, Jennifer/D-2589-2009; Hall, Ian/C-2755-2009; Hendry, Katharine/E-4793-2011</t>
  </si>
  <si>
    <t>Pike, Jennifer/0000-0001-9415-6003; Knorr, Gregor/0000-0002-8317-5046; Hall, Ian/0000-0001-6960-1419; Gong, Xun/0000-0001-9308-4431; Hendry, Katharine/0000-0002-0790-5895</t>
  </si>
  <si>
    <t>NERC New Investigators Grant [NE/J00474X/1]; Royal Society University Research Fellowship [UF120084]; Cardiff Undergraduate Research Opportunities grant; NERC [NE/J00474X/2, NE/J00474X/1] Funding Source: UKRI; Royal Society [UF120084] Funding Source: Royal Society; Natural Environment Research Council [NE/J00474X/1, NE/J00474X/2] Funding Source: researchfish</t>
  </si>
  <si>
    <t>NERC New Investigators Grant; Royal Society University Research Fellowship(Royal Society); Cardiff Undergraduate Research Opportunities grant; NERC(UK Research &amp; Innovation (UKRI)Natural Environment Research Council (NERC)); Royal Society(Royal Society); Natural Environment Research Council(UK Research &amp; Innovation (UKRI)Natural Environment Research Council (NERC))</t>
  </si>
  <si>
    <t>The authors would like to thank I.N. McCave and D.J. Thornalley for samples and sample preparation; A. Clarke for benthic foraminifera analyses; C.D. Coath and A. Nederbragt for assistance with mass spectrometry. This study was funded by a NERC New Investigators Grant (NE/J00474X/1), a Royal Society University Research Fellowship UF120084, and A. Clarke was funded by a Cardiff Undergraduate Research Opportunities grant. Thank you to L.F. Robinson and L. Bradtmiller, R.C. Xie, and two anonymous reviewers for their constructive comments.</t>
  </si>
  <si>
    <t>10.1016/j.epsl.2016.01.016</t>
  </si>
  <si>
    <t>DE8UV</t>
  </si>
  <si>
    <t>WOS:000370913100013</t>
  </si>
  <si>
    <t>Sikes, EL; Cook, MS; Guilderson, TP</t>
  </si>
  <si>
    <t>Sikes, Elisabeth L.; Cook, Mea S.; Guilderson, Thomas P.</t>
  </si>
  <si>
    <t>Reduced deep ocean ventilation in the Southern Pacific Ocean during the last glaciation persisted into the deglaciation</t>
  </si>
  <si>
    <t>radiocarbon; reservoir ages; Southern Ocean; last glaciation; CO2; climate change</t>
  </si>
  <si>
    <t>ATMOSPHERIC CO2 CONCENTRATIONS; WESTERN NORTH-ATLANTIC; AGE CALIBRATION CURVES; GLOBAL CARBON-CYCLE; ANTARCTIC SEA-ICE; RADIOCARBON-AGE; NEW-ZEALAND; YOUNGER DRYAS; FORAMINIFERA SHELLS; TEPHRA</t>
  </si>
  <si>
    <t>Marine radiocarbon (C-14) is widely used to trace ocean circulation and the C-14 levels of interior ocean water masses can provide insight into atmosphere-ocean exchange of CO2 the since the last glaciation. Using tephras as stratigraphic tie points with which to estimate past atmospheric Delta C-14, we reconstructed a series of deep radiocarbon ages for several time slices from the last glaciation through the deglaciation and Holocene in the Southwestern Pacific. Glacial ventilation ages were much greater in magnitude than modern and had a strong mid-depth Delta C-14 minimum centered on similar to 2500 m. Glacial radiocarbon ages of intermediate depth waters (600-1200 m) were similar to 800 to 1600 C-14 years, about twice modern and persisted through the early deglaciation. Notably, in the glaciation shallower depths were significantly more enriched in C-14 than waters between 1600 and 3800 m, which were similar to 4000 to 6200 C-14 years, or about 3-5 times older than modern. Abyssal waters deeper than 4000 m were also more C-14 rich than the overlying deep water. With radiocarbon ages of 1800-2300 C-14 years, this was similar to modern values. In the early deglaciation, Delta C-14 depleted waters were flushed from shallower depths first and replaced with progressively younger waters such that by 18 ka, the deep to intermediate age difference was reduced by half, and by similar to 14 ka a modern-type Delta C-14 profile for deep ocean water masses was in place. Our results 1) confirm a deep C-14 depleted water mass during the LGM and early deglaciation, and 2) constrain the extent of this old water in the Southern Pacific as between 1600 m and 3800 m. The availability of atmospheric ages from tephras reveals that the presence of older surface reservoir ages in the glaciation caused the estimation of ventilation ages from simple benthic-planktonic offsets to significantly underestimate the depletion of Delta C-14 in deep waters. This may have had a role in masking the large change in reservoir ages since the glaciation when using benthic-planktonic reservoir age estimates. (C) 2016 Elsevier B.V. All rights reserved.</t>
  </si>
  <si>
    <t>[Sikes, Elisabeth L.] Rutgers State Univ, Inst Marine &amp; Coastal Sci, 71 Dudley Rd, New Brunswick, NJ 08903 USA; [Cook, Mea S.] Williams Coll, Dept Geosci, 947 Main St, Williamstown, MA 01267 USA; [Guilderson, Thomas P.] Univ Calif Santa Cruz, Dept Ocean Sci, Santa Cruz, CA 95064 USA; [Guilderson, Thomas P.] Lawrence Livermore Natl Lab, Livermore, CA USA</t>
  </si>
  <si>
    <t>Rutgers University System; Rutgers University New Brunswick; Williams College; University of California System; University of California Santa Cruz; United States Department of Energy (DOE); Lawrence Livermore National Laboratory</t>
  </si>
  <si>
    <t>Sikes, EL (corresponding author), Rutgers State Univ, Inst Marine &amp; Coastal Sci, 71 Dudley Rd, New Brunswick, NJ 08903 USA.</t>
  </si>
  <si>
    <t>sikes@marine.rutgers.edu</t>
  </si>
  <si>
    <t>Sikes, Elisabeth/HPE-8194-2023</t>
  </si>
  <si>
    <t>Guilderson, Thomas/0000-0001-9371-7059; Sikes, Elisabeth/0000-0003-2900-3283; Cook, Mea/0000-0003-3786-6353</t>
  </si>
  <si>
    <t>NSF [OCE-0136651, OCE-0425053, OCE 0823487]; Hanse Wischenschaftkollege</t>
  </si>
  <si>
    <t>NSF(National Science Foundation (NSF)); Hanse Wischenschaftkollege</t>
  </si>
  <si>
    <t>We thank the crew of the R/V Roger Revelle for assistance in obtaining the RR0503 cores. We thank NIWA for providing cores from their collection. NSF grants OCE-0136651, OCE-0425053, OCE 0823487 to ELS, TPG and MYC funded this work. A fellowship from the Hanse Wischenschaftkollege to ELS supported writing of the manuscript.</t>
  </si>
  <si>
    <t>10.1016/j.epsl.2015.12.039</t>
  </si>
  <si>
    <t>WOS:000370913100014</t>
  </si>
  <si>
    <t>Andrewartha, SJ; Munns, SL; Edwards, A</t>
  </si>
  <si>
    <t>Andrewartha, Sarah J.; Munns, Suzanne L.; Edwards, Ashley</t>
  </si>
  <si>
    <t>Calibration of the HemoCue point-of-care analyser for determining haemoglobin concentration in a lizard and a fish</t>
  </si>
  <si>
    <t>CONSERVATION PHYSIOLOGY</t>
  </si>
  <si>
    <t>Diploid; fish; HemoCue; haemoglobin concentration; reptile; triploid</t>
  </si>
  <si>
    <t>ATLANTIC SALMON; BLOOD; HEMATOLOGY; CHEMISTRY</t>
  </si>
  <si>
    <t>Haemoglobin concentration ([Hb]) is measured for a wide variety of animal studies. The use of point-of-care devices, such as the HemoCue, is becoming increasingly common because of their portability, relative ease of use and low cost. In this study, we aimed to determine whether the [Hb] of blue-tongued skink (Tiliqua nigrolutea) blood can be determined accurately using the HemoCue and whether the HemoCue overestimates the [Hb] of reptile blood in a similar manner to fish blood. Additionally, we aimed to test whether ploidy affected [Hb] determined by the HemoCue using blood from diploid and triploid Atlantic salmon (Salmo salar). The HemoCue Hb 201(+) systematically overestimated [Hb] in both blue-tongued skinks and Atlantic salmon, and there was no difference between calibration equations determined for diploid or triploid salmon. The overestimation was systematic in both species and, as such, [Hb] determined by the HemoCue can be corrected using appropriate calibration equations.</t>
  </si>
  <si>
    <t>[Andrewartha, Sarah J.] CSIRO Agr Integrated &amp; Sustainable Aquaculture Pr, Hobart, Tas 7000, Australia; [Andrewartha, Sarah J.] Univ Tasmania, Inst Marine &amp; Antarctic Sci, Hobart, Tas 7000, Australia; [Munns, Suzanne L.] James Cook Univ, Coll Publ Hlth Med &amp; Vet Sci, Biomed Sci, Townsville, Qld 4812, Australia; [Edwards, Ashley] Univ Tasmania, Sch Biol Sci, Private Bag 55, Hobart, Tas 7001, Australia</t>
  </si>
  <si>
    <t>Commonwealth Scientific &amp; Industrial Research Organisation (CSIRO); University of Tasmania; James Cook University; University of Tasmania</t>
  </si>
  <si>
    <t>Andrewartha, SJ (corresponding author), CSIRO Agr Integrated &amp; Sustainable Aquaculture Pr, Hobart, Tas 7000, Australia.</t>
  </si>
  <si>
    <t>sarah.andrewartha@csiro.au</t>
  </si>
  <si>
    <t>Andrewartha, Sarah/K-4189-2012; Munns, Suzy/B-8276-2013</t>
  </si>
  <si>
    <t>Andrewartha, Sarah/0000-0003-1973-9502; Munns, Suzy/0000-0002-5688-4680; Edwards, Ashley/0000-0001-7268-9255</t>
  </si>
  <si>
    <t>R. Lobb endowment; Commonwealth Scientific and Industrial Research Organisation (CSIRO); Salmon enterprises of Tasmania Pty Ltd</t>
  </si>
  <si>
    <t>R. Lobb endowment; Commonwealth Scientific and Industrial Research Organisation (CSIRO)(Commonwealth Scientific &amp; Industrial Research Organisation (CSIRO)); Salmon enterprises of Tasmania Pty Ltd</t>
  </si>
  <si>
    <t>This study was funded by the R. Lobb endowment to S.L.M. and by the Commonwealth Scientific and Industrial Research Organisation (CSIRO) and Salmon enterprises of Tasmania Pty Ltd funding to S.J.A.</t>
  </si>
  <si>
    <t>2051-1434</t>
  </si>
  <si>
    <t>CONSERV PHYSIOL</t>
  </si>
  <si>
    <t>Conserv. Physiol.</t>
  </si>
  <si>
    <t>MAR 14</t>
  </si>
  <si>
    <t>cow006</t>
  </si>
  <si>
    <t>10.1093/conphys/cow006</t>
  </si>
  <si>
    <t>Biodiversity Conservation; Ecology; Environmental Sciences; Physiology</t>
  </si>
  <si>
    <t>Biodiversity &amp; Conservation; Environmental Sciences &amp; Ecology; Physiology</t>
  </si>
  <si>
    <t>DK8VP</t>
  </si>
  <si>
    <t>WOS:000375206700001</t>
  </si>
  <si>
    <t>Fuentes-Lillo, E; Troncoso-Castro, JM; Cuba-Díaz, M; Rondanelli-Reyes, MJ</t>
  </si>
  <si>
    <t>Fuentes-Lillo, Eduardo; Max Troncoso-Castro, J.; Cuba-Diaz, Marely; Rondanelli-Reyes, Mauricio J.</t>
  </si>
  <si>
    <t>Pollen record of disturbed topsoil as an indirect measurement of the potential risk of the introduction of non-native plants in maritime Antarctica</t>
  </si>
  <si>
    <t>Pollen rain; Climate change; Anthropization; Ice-free zones; Fildes Peninsula; South Shetland Islands</t>
  </si>
  <si>
    <t>CLIMATE-CHANGE</t>
  </si>
  <si>
    <t>Background: This is a study of current pollen rain on soil disturbed by human use on the Fildes Peninsula, King George Island, South Shetland Islands. A sector strongly affected by human activity, an area between the Eduardo Frei Montalva Chilean Air Force (FACH) base and the Professor Julio Escudero base of the Chilean Antarctic Institute (INACH) were sampled. A less used sector associated with scientific activity and controlled tourism, Ardley Island, and an area of low human activity, the terminal moraine of the Collins glacier, were also sampled. The samples were collected in the southern summer of 2015 and kept in the Palynology and Plant Ecology Laboratory of the Los Angeles Campus of the Universidad de Concepcion, Chile. Findings: The area of greatest human activity concentrated the greatest diversity (12 taxa) of pollen grains. Three taxa are considered native to the region. Non-native taxa determined for this sector in turn had the greatest invasion (INV) factor. The dominant families were Brassicaceae and Asteraceae. The results for Ardley and Collins represent the cryptogamic flora and grasses typical of the ecosystem. Conclusion: Under the current climate change scenario, the pollen rain in Antarctic soil, in addition to obeying the random patterns of its natural dispersion, could be interpreted as an indirect measurement of the potential risk of the passive transport of propagules to Antarctica mediated by human beings.</t>
  </si>
  <si>
    <t>[Fuentes-Lillo, Eduardo; Cuba-Diaz, Marely] Univ Concepcion, Lab Biotecnol &amp; Estudios Ambientales, Dept Ciencia &amp; Tecnol Vegetal, Campus Los Angeles,Juan Antonio Coloma 0201, Los Angeles, Bio Bio, Chile; [Fuentes-Lillo, Eduardo; Max Troncoso-Castro, J.; Rondanelli-Reyes, Mauricio J.] Univ Concepcion, Lab Palinol &amp; Ecol Vegetal, Dept Ciencia &amp; Tecnol Vegetal, Campus Los Angeles,Juan Antonio Coloma 0201, Los Angeles, Bio Bio, Chile</t>
  </si>
  <si>
    <t>Universidad de Concepcion; Universidad de Concepcion</t>
  </si>
  <si>
    <t>Rondanelli-Reyes, MJ (corresponding author), Univ Concepcion, Lab Palinol &amp; Ecol Vegetal, Dept Ciencia &amp; Tecnol Vegetal, Campus Los Angeles,Juan Antonio Coloma 0201, Los Angeles, Bio Bio, Chile.</t>
  </si>
  <si>
    <t>mrondane@udec.cl</t>
  </si>
  <si>
    <t>Cuba-Diaz, Marely/V-3109-2019</t>
  </si>
  <si>
    <t>Cuba-Diaz, Marely/0000-0002-2981-0328; Fuentes-Lillo, Eduardo/0000-0001-5657-954X</t>
  </si>
  <si>
    <t>[INACH PR_05-14]; [INACH RG_02-13]</t>
  </si>
  <si>
    <t>;</t>
  </si>
  <si>
    <t>This study was supported through the projects INACH PR_05-14 and INACH RG_02-13. The authors are grateful for the logistical support offered by the Air Force of Chile (FACH) and Correos de Chile. MJRR wishes to thank the Academic Vice-Rectory of the Universidad of Concepcion for the authorized sabbatical leave that permitted, among other things, the implementation of this study. We also thank H. Lowry for her assistance in revising the English.</t>
  </si>
  <si>
    <t>10.1186/s40693-016-0055-9</t>
  </si>
  <si>
    <t>DG5NM</t>
  </si>
  <si>
    <t>WOS:000372125100001</t>
  </si>
  <si>
    <t>Ely, JC; Clark, CD</t>
  </si>
  <si>
    <t>Ely, Jeremy C.; Clark, Chris D.</t>
  </si>
  <si>
    <t>Flow-stripes and foliations of the Antarctic ice sheet</t>
  </si>
  <si>
    <t>JOURNAL OF MAPS</t>
  </si>
  <si>
    <t>ice sheet; ice stream; flow-stripes; foliations; Antarctica</t>
  </si>
  <si>
    <t>WEST ANTARCTICA; STREAM-B; SHELF; SURFACE; PENINSULA; GLACIERS; TOPOGRAPHY; MILLENNIUM; STABILITY; COLLAPSE</t>
  </si>
  <si>
    <t>Longitudinal surface structures (LSSs) are flow parallel curvilineations visible on satellite imagery which are commonly observed on ice shelves, ice streams and glaciers. Their distribution and genesis has the ability to inform us about ice sheet history and glacial processes. Multiple hypotheses have been proposed for their formation. Here, we present continental-scale mapping of these features across the entire Antarctic ice sheet. The accompanying map details 42,311 polylines representing LSSs identified on satellite imagery (Landsat, RADARSAT and MODIS). The subtlety of these features provides many challenges for their identification and mapping. This work will provide the basis for future research on the morphology and formative conditions of these features in order to shed light on their genesis.</t>
  </si>
  <si>
    <t>[Ely, Jeremy C.; Clark, Chris D.] Univ Sheffield, Dept Geog, Sheffield S10 2TN, S Yorkshire, England</t>
  </si>
  <si>
    <t>University of Sheffield</t>
  </si>
  <si>
    <t>Ely, JC (corresponding author), Univ Sheffield, Dept Geog, Sheffield S10 2TN, S Yorkshire, England.</t>
  </si>
  <si>
    <t>j.ely@sheffield.ac.uk</t>
  </si>
  <si>
    <t>clark, chris/C-3830-2009</t>
  </si>
  <si>
    <t>clark, chris/0000-0002-1021-6679; Ely, Jeremy/0000-0003-4007-1500</t>
  </si>
  <si>
    <t>L. R. Moore, University of Sheffield Alumni Scholarship</t>
  </si>
  <si>
    <t>J. C. E. would like to thank Chris and Kathy Denison for funding his Ph. D., and acknowledges additional support from the L. R. Moore, University of Sheffield Alumni Scholarship.</t>
  </si>
  <si>
    <t>1744-5647</t>
  </si>
  <si>
    <t>J MAPS</t>
  </si>
  <si>
    <t>J. Maps</t>
  </si>
  <si>
    <t>10.1080/17445647.2015.1010617</t>
  </si>
  <si>
    <t>Geography; Geography, Physical</t>
  </si>
  <si>
    <t>Geography; Physical Geography</t>
  </si>
  <si>
    <t>DA1BJ</t>
  </si>
  <si>
    <t>WOS:000367531000006</t>
  </si>
  <si>
    <t>Velázquez, D; López-Bueno, A; de Cárcer, DA; de los Ríos, A; Alcamí, A; Quesada, A</t>
  </si>
  <si>
    <t>Velazquez, David; Lopez-Bueno, Alberto; Aguirre de Carcer, Daniel; de los Rios, Asuncion; Alcami, Antonio; Quesada, Antonio</t>
  </si>
  <si>
    <t>Ecosystem function decays by fungal outbreaks in Antarctic microbial mats</t>
  </si>
  <si>
    <t>COMMUNITY; DIVERSITY; VIRUSES</t>
  </si>
  <si>
    <t>Antarctica harbours a remarkably diverse range of freshwater bodies and terrestrial ecosystems, where microbial mats are considered the most important systems in terms of biomass and metabolic capabilities. We describe the presence of lysis plaque-like macroscopic blighted patches within the predominant microbial mats on Livingston Island (Antarctic Peninsula). Those blighting circles are associated with decay in physiological traits as well as nitrogen depletion and changes in the spatial microstructure; these alterations were likely related to disruption of the biogeochemical gradients within the microbial ecosystem caused by an unusually high fungal abundance and consequent physical alterations. This phenomenon has been evidenced at a time of unprecedented rates of local warming in the Antarctic Peninsula area, and decay of these ecosystems is potentially stimulated by warmer temperatures.</t>
  </si>
  <si>
    <t>[Velazquez, David; Quesada, Antonio] Univ Autonoma Madrid, Dept Biol, Madrid, Spain; [Lopez-Bueno, Alberto; Aguirre de Carcer, Daniel; Alcami, Antonio] Univ Autonoma Madrid, CSIC, Ctr Biol Mol Severo Ochoa, Madrid, Spain; [de los Rios, Asuncion] CSIC, Museo Nacl Ciencias Nat, E-28006 Madrid, Spain</t>
  </si>
  <si>
    <t>Autonomous University of Madrid; Consejo Superior de Investigaciones Cientificas (CSIC); CSIC - Centro de Biologia Molecular Severo Ochoa (CBM); Autonomous University of Madrid; Consejo Superior de Investigaciones Cientificas (CSIC); CSIC - Museo Nacional de Ciencias Naturales (MNCN)</t>
  </si>
  <si>
    <t>Quesada, A (corresponding author), Univ Autonoma Madrid, Dept Biol, Madrid, Spain.</t>
  </si>
  <si>
    <t>antonio.quesada@uam.es</t>
  </si>
  <si>
    <t>de los Rios, Asuncion/L-3694-2014; Velazquez, David/M-2309-2017; Alcami, Antonio/F-8512-2015; Quesada, Antonio/L-2430-2013; Aguirre de Carcer, Daniel/C-7000-2011</t>
  </si>
  <si>
    <t>de los Rios, Asuncion/0000-0002-0266-3516; Velazquez, David/0000-0002-4127-8370; Alcami, Antonio/0000-0002-3333-6016; Lopez-Bueno, Alberto/0000-0002-6324-8623; Quesada, Antonio/0000-0002-8913-5993; Aguirre de Carcer, Daniel/0000-0003-1104-9566</t>
  </si>
  <si>
    <t>Spanish Ministry of Science and Innovation [BES-2006-14027]; Ramon y Cajal [RYC-2010-06300]; Marie Curie IIF grant [PIIF-GA-2012-328287]; [CGL2005-06549-CO2-1]; [POL2006-06635]; [CTM2011-28736]; [CTM2008-05134-E/ANT]; [CTM2009-08644-E]; [CTM2012-38222-C02-02]</t>
  </si>
  <si>
    <t>Spanish Ministry of Science and Innovation(Spanish Government); Ramon y Cajal(Spanish Government); Marie Curie IIF grant(Marie Curie Actions); ; ; ; ; ;</t>
  </si>
  <si>
    <t>We thank the LIMNOPOLAR team members for their assistance in collecting samples and the UTM and Las Palmas Navy crew for logistical support. We are grateful to Warwick F. Vincent for comments that improved the final manuscript. This study was supported by grants CGL2005-06549-CO2-1, POL2006-06635 and CTM2011-28736 to A.Q. CTM2008-05134-E/ANT and CTM2009-08644-E to A. A., and CTM2012-38222-C02-02 to A. dR. D.V. was supported by the Spanish Ministry of Science and Innovation grant BES-2006-14027, A.LB. by the Ramon y Cajal contract RYC-2010-06300, and D.AdC. by the Marie Curie IIF grant PIIF-GA-2012-328287. In memoriam: We are grateful to Fernando Pinto for technical assistance with LTSEM.</t>
  </si>
  <si>
    <t>10.1038/srep22954</t>
  </si>
  <si>
    <t>DG2DZ</t>
  </si>
  <si>
    <t>WOS:000371877800001</t>
  </si>
  <si>
    <t>Bierma, J; Kingsley, C; Martin, R</t>
  </si>
  <si>
    <t>Bierma, Jan; Kingsley, Carolyn; Martin, Rachel</t>
  </si>
  <si>
    <t>Determination of cold adaptation in Antarctic toothfish lens proteins by structural comparison</t>
  </si>
  <si>
    <t>ABSTRACTS OF PAPERS OF THE AMERICAN CHEMICAL SOCIETY</t>
  </si>
  <si>
    <t>[Bierma, Jan] Univ Calif Irvine, Mol Biol &amp; Biochem, Irvine, CA USA; [Kingsley, Carolyn; Martin, Rachel] Univ Calif Irvine, Irvine, CA USA</t>
  </si>
  <si>
    <t>University of California System; University of California Irvine; University of California System; University of California Irvine</t>
  </si>
  <si>
    <t>jbierma@uci.edu</t>
  </si>
  <si>
    <t>0065-7727</t>
  </si>
  <si>
    <t>ABSTR PAP AM CHEM S</t>
  </si>
  <si>
    <t>Abstr. Pap. Am. Chem. Soc.</t>
  </si>
  <si>
    <t>MAR 13</t>
  </si>
  <si>
    <t>Chemistry, Multidisciplinary</t>
  </si>
  <si>
    <t>VC1WO</t>
  </si>
  <si>
    <t>WOS:000431903800818</t>
  </si>
  <si>
    <t>Strong, M; Tigges, M</t>
  </si>
  <si>
    <t>Strong, Molly; Tigges, Michelle</t>
  </si>
  <si>
    <t>Thriving in the cold: The link between cryotolerance and Antarctic bacterial membranes</t>
  </si>
  <si>
    <t>[Strong, Molly] Minnesota State Univ Moorhead, Biochem, Moorhead, MN USA; [Tigges, Michelle] Minnesota State Univ Moorhead, Chem &amp; Biochem, Moorhead, MN USA</t>
  </si>
  <si>
    <t>Minnesota State Colleges &amp; Universities; Minnesota State University Moorhead; Minnesota State Colleges &amp; Universities; Minnesota State University Moorhead</t>
  </si>
  <si>
    <t>strongmo@mnstate.edu</t>
  </si>
  <si>
    <t>WOS:000431903803281</t>
  </si>
  <si>
    <t>Brazil starts work on Antarctic station</t>
  </si>
  <si>
    <t>MAR 11</t>
  </si>
  <si>
    <t>DZ8YI</t>
  </si>
  <si>
    <t>WOS:000386158400003</t>
  </si>
  <si>
    <t>Segovia-Rivera, V; Valdivia, N</t>
  </si>
  <si>
    <t>Segovia-Rivera, V.; Valdivia, N.</t>
  </si>
  <si>
    <t>Independent effects of grazing and tide pool habitats on the early colonisation of an intertidal community on western Antarctic Peninsula</t>
  </si>
  <si>
    <t>Antarctica; Environmental stress model; Grazing; Herbivory; Intertidal; Nacella polaris; Periphyton</t>
  </si>
  <si>
    <t>KING-GEORGE-ISLAND; LIMPET NACELLA-CONCINNA; ENVIRONMENTAL-STRESS; POTTER COVE; BOTTOM-UP; TOP-DOWN; HERBIVORES; REPRODUCTION; DISTURBANCE; ASSEMBLAGE</t>
  </si>
  <si>
    <t>Background: Prevailing environmental conditions can modulate the structuring role of biotic interactions. In intertidal habitats, less stressful environmental conditions and/or higher grazer densities may allow grazing effects to be stronger in tide pools than on emergent rocks. To test this hypothesis, we conducted a manipulative experiment on an intertidal rocky shore in Fildes Bay, King George Island, in which the effect of the dominant grazer Nacella polaris on the structure of benthic periphyton communities was compared between emergent rock and tide pool habitats. Also, we determined the spatial variation in density, weight, and maximum length of individuals of N. polaris in both habitats. Results: The density of N. polaris was significantly larger in tide pools than on emergent rocks. Contrarily, we observed no significant differences in morphological parameters of N. polaris between both habitats or between intertidal elevations. In the manipulative study, we observed a greater taxonomic richness, diversity, and abundance of periphyton on emergent rocks than in tide pools. These variables also showed, in comparison with control areas, significantly higher values in experimental areas where herbivores were excluded by means of stainless-steel fences. The effects of habitat and grazer exclusion treatments were independent of each other, as no statistically significant interaction between both factors was observed. Conclusions: Our results showed significant, but independent, effects of tide pool habitats and grazing on the early colonisation of these assemblages. Albeit the grazing effects of other herbivores such as amphipods and small gastropods cannot be ruled out, we suggest that traits of N. polaris, such as high mobility and circadian activity, allow this species to exert a firm control on the intertidal Antarctic assemblages across local environmental conditions.</t>
  </si>
  <si>
    <t>[Segovia-Rivera, V.; Valdivia, N.] Univ Austral Chile, Fac Ciencias, Inst Ciencias Marinas &amp; Limnol, Lab Ecol Litoral, Valdivia, Chile; [Valdivia, N.] Univ Austral Chile, Ctr Invest Dinam Ecosistemas Marinos Altas Latitu, Campus Isla Teja, Valdivia, Chile</t>
  </si>
  <si>
    <t>Valdivia, N (corresponding author), Univ Austral Chile, Fac Ciencias, Inst Ciencias Marinas &amp; Limnol, Lab Ecol Litoral, Valdivia, Chile.;Valdivia, N (corresponding author), Univ Austral Chile, Ctr Invest Dinam Ecosistemas Marinos Altas Latitu, Campus Isla Teja, Valdivia, Chile.</t>
  </si>
  <si>
    <t>nelson.valdivia@uach.cl</t>
  </si>
  <si>
    <t>Valdivia, Nelson/C-3613-2009</t>
  </si>
  <si>
    <t>Valdivia, Nelson/0000-0002-5394-2072</t>
  </si>
  <si>
    <t>INACH [PR_01-13]; PIA-CONICYT [ART1101]; FONDECYT [1141037]; FONDAP-IDEAL [15150003]</t>
  </si>
  <si>
    <t>INACH; PIA-CONICYT(Comision Nacional de Investigacion Cientifica y Tecnologica (CONICYT)); FONDECYT(Comision Nacional de Investigacion Cientifica y Tecnologica (CONICYT)CONICYT FONDECYT); FONDAP-IDEAL</t>
  </si>
  <si>
    <t>This study was financially supported by INACH, PIA-CONICYT, and FONDECYT through grants PR_01-13 to VS-R, ART1101 to NV (coPI), and 1141037 to NV, respectively. INACH and Armada de Chile crews at Fildes Peninsula provided invaluable field support. Valentina Trincado helped in processing of samples. Comments by Chuck Amsler and an anonymous reviewer greatly improved a previous version of the manuscript. We thank the working group Laboratorio de Ecologia Litoral (Lafkenche-lab) at Universidad Austral de Chile for their support during long hours of fieldwork preparation. While writing, NV was supported by FONDAP-IDEAL grant 15150003. This is the publication number 8 of the ART1101 project Algas Antarticas and represents to VS-R' honours thesis (Universidad Austral de Chile, Valdivia, Chile).</t>
  </si>
  <si>
    <t>MAR 10</t>
  </si>
  <si>
    <t>10.1186/s40693-016-0053-y</t>
  </si>
  <si>
    <t>DG5NJ</t>
  </si>
  <si>
    <t>WOS:000372124800002</t>
  </si>
  <si>
    <t>See-Too, WS; Convey, P; Pearce, DA; Lim, YL; Ee, R; Yin, WF; Chan, KG</t>
  </si>
  <si>
    <t>See-Too, Wah-Seng; Convey, Peter; Pearce, David A.; Lim, Yan Lue; Ee, Robson; Yin, Wai-Fong; Chan, Kok-Gan</t>
  </si>
  <si>
    <t>Complete genome of Planococcus rifietoensis M8T, a halotolerant and potentially plant growth promoting bacterium</t>
  </si>
  <si>
    <t>Nitrogen fixing; Potassium homeostasis; Biotechnology; Biofertilizer</t>
  </si>
  <si>
    <t>SUBSYSTEMS TECHNOLOGY; RAST; ANNOTATION; SEED</t>
  </si>
  <si>
    <t>Planococcus rifietoensis M8(T) (=DSM 15069(T) =ATCC BAA-790(T)) is a halotolerant bacterium with potential plant growth promoting properties isolated from an algal mat collected from a sulfurous spring in Campania (Italy). This paper presents the first complete genome of P. rifietoensis M8(T). Genes coding for various potentially plant growth promoting properties were identified within its genome. (C) 2016 Elsevier B.V. All rights reserved.</t>
  </si>
  <si>
    <t>[See-Too, Wah-Seng; Lim, Yan Lue; Ee, Robson; Yin, Wai-Fong; Chan, Kok-Gan] Univ Malaya, Fac Sci, Inst Biol Sci, Div Genet &amp; Mol Biol, Kuala Lumpur, Malaysia; [See-Too, Wah-Seng; Convey, Peter; Pearce, David A.] Univ Malaya, Inst Postgrad Studies, Natl Antarctic Res Ctr, Kuala Lumpur 50603, Malaysia; [Convey, Peter; Pearce, David A.] British Antarctic Survey, NERC, High Cross,Madingley Rd, Cambridge CB3 OET, England; [Pearce, David A.] Northumbria Univ, Fac Hlth &amp; Life Sci, Newcastle Upon Tyne NE1 8ST, Tyne &amp; Wear, England; [Chan, Kok-Gan] Univ Malaya, UM Omics Ctr, Kuala Lumpur, Malaysia</t>
  </si>
  <si>
    <t>Chan, KG (corresponding author), Univ Malaya, Fac Sci, Inst Biol Sci, Div Genet &amp; Mol Biol, Kuala Lumpur, Malaysia.</t>
  </si>
  <si>
    <t>Ee, Robson/J-5589-2014; Convey, Peter/AAV-5728-2020; Chan, Kok-Gan/B-8347-2010; See-Too, Wah-Seng/O-9330-2019; Yin, Wai-Fong/H-3376-2016</t>
  </si>
  <si>
    <t>Ee, Robson/0000-0002-9181-1305; Convey, Peter/0000-0001-8497-9903; Chan, Kok-Gan/0000-0002-1883-1115; See-Too, Wah-Seng/0000-0003-0843-1895; Yin, Wai-Fong/0000-0003-2177-6169; Pearce, David/0000-0001-5292-4596</t>
  </si>
  <si>
    <t>University of Malaya High Impact Research Grants (UM-MOHE HIR) [UM.C/625/1/HIR/MOHE/CHAN/14/1, H-50001-A000027, UM.C/625/1/HIR/MOHE/CHAN/01, A-000001-50001]; NERC core funding to the British Antarctic Survey's Biodiversity, Evolution and Adaptation' Team; NERC [bas0100036] Funding Source: UKRI; Natural Environment Research Council [bas0100036] Funding Source: researchfish</t>
  </si>
  <si>
    <t>University of Malaya High Impact Research Grants (UM-MOHE HIR); NERC core funding to the British Antarctic Survey's Biodiversity, Evolution and Adaptation' Team; NERC(UK Research &amp; Innovation (UKRI)Natural Environment Research Council (NERC)); Natural Environment Research Council(UK Research &amp; Innovation (UKRI)Natural Environment Research Council (NERC))</t>
  </si>
  <si>
    <t>This work was supported by the University of Malaya High Impact Research Grants (UM-MOHE HIR Grant UM.C/625/1/HIR/MOHE/CHAN/14/1, Grant No. H-50001-A000027; UM-MOHE HIR Grant UM.C/625/1/HIR/MOHE/CHAN/01, Grant No. A-000001-50001) awarded to Kok-Gan Chan. Peter Convey is supported by NERC core funding to the British Antarctic Survey's Biodiversity, Evolution and Adaptation' Team.</t>
  </si>
  <si>
    <t>10.1016/j.jbiotec.2016.01.026</t>
  </si>
  <si>
    <t>DF6IO</t>
  </si>
  <si>
    <t>WOS:000371459300015</t>
  </si>
  <si>
    <t>Li, YS; Zheng, J; Tuthill, P; Freeman, M; Ashley, M; Burton, M; Lawrence, J; Mould, J; Wang, LF</t>
  </si>
  <si>
    <t>Li, Yushan; Zheng, Jessica; Tuthill, Peter; Freeman, Matthew; Ashley, Michael; Burton, Michael; Lawrence, Jon; Mould, Jeremy; Wang, Lifan</t>
  </si>
  <si>
    <t>Optimising the K Dark Filter for the Kunlun Infrared Sky Survey</t>
  </si>
  <si>
    <t>PUBLICATIONS OF THE ASTRONOMICAL SOCIETY OF AUSTRALIA</t>
  </si>
  <si>
    <t>infrared: general; stars: protostars; supernovae: general; surveys; techniques: photometric</t>
  </si>
  <si>
    <t>SOUTH-POLE; ANTARCTIC PLATEAU; DOME-C; SURFACE-LAYER; TELESCOPE; PILOT; SITE; BRIGHTNESS; EMISSION; UNIVERSE</t>
  </si>
  <si>
    <t>The Kunlun Infrared Sky Survey will be the first comprehensive exploration of the time varying Universe in the infrared. A key feature in optimising the scientific yield of this ambitious research programme is the choice of the survey passband. In particular, the survey aims to maximally exploit the unique thermal and atmospheric conditions pertaining to the high Antarctic site. By simulating the expected signal-to-noise for varying filter properties within the so-called 'K-DARK' 2.4 mu m window, filter performance can be tuned and best-case designs are given covering a range of conditions.</t>
  </si>
  <si>
    <t>[Li, Yushan; Tuthill, Peter] Univ Sydney, Sydney, NSW 2006, Australia; [Zheng, Jessica; Lawrence, Jon] Australian Astron Observ, N Ryde, NSW, Australia; [Freeman, Matthew; Ashley, Michael; Burton, Michael] Univ New S Wales, Sydney, NSW 2052, Australia; [Mould, Jeremy] Swinburne Univ, Melbourne, Vic, Australia; [Wang, Lifan] Texas A&amp;M Univ, College Stn, TX 77843 USA; [Wang, Lifan] Chinese Acad Sci, Purple Mt Observ, Nanjing, Jiangsu, Peoples R China; [Wang, Lifan] Chinese Ctr Antarctic Astron, Nanjing, Jiangsu, Peoples R China</t>
  </si>
  <si>
    <t>University of Sydney; University of New South Wales Sydney; Swinburne University of Technology; Texas A&amp;M University System; Texas A&amp;M University College Station; Purple Mountain Observatory, CAS; Chinese Academy of Sciences; Nanjing Institute of Astronomical Optics &amp; Technology, NAOC, CAS</t>
  </si>
  <si>
    <t>Mould, J (corresponding author), Swinburne Univ, Melbourne, Vic, Australia.</t>
  </si>
  <si>
    <t>jmould@swin.edu.au</t>
  </si>
  <si>
    <t>Li, Yushan/HKE-5889-2023; Li, Yushan/HKE-6342-2023</t>
  </si>
  <si>
    <t>Zheng, Rong/0000-0002-3498-4437; Burton, Michael/0000-0001-7289-1998; Li, Yushan/0000-0002-0351-6171; Mould, Jeremy/0000-0003-3820-1740; Freeman, Matthew/0000-0001-6384-7450; Ashley, Michael/0000-0003-1412-2028; Tuthill, Peter/0000-0001-7026-6291; Lawrence, Jon/0000-0002-6998-6993</t>
  </si>
  <si>
    <t>Australian Research Council LIEF [LE15100024]</t>
  </si>
  <si>
    <t>Australian Research Council LIEF(Australian Research Council)</t>
  </si>
  <si>
    <t>We would like to thank all our colleagues on the KISS team for helpful discussions. The KISS camera is acquired through Australian Research Council LIEF grant LE15100024.</t>
  </si>
  <si>
    <t>1323-3580</t>
  </si>
  <si>
    <t>1448-6083</t>
  </si>
  <si>
    <t>PUBL ASTRON SOC AUST</t>
  </si>
  <si>
    <t>Publ. Astron. Soc. Aust.</t>
  </si>
  <si>
    <t>e008</t>
  </si>
  <si>
    <t>10.1017/pasa.2016.5</t>
  </si>
  <si>
    <t>DF9XW</t>
  </si>
  <si>
    <t>WOS:000371716900001</t>
  </si>
  <si>
    <t>González, K; Gaitán-Espitia, J; Font, A; Cárdenas, CA; González-Aravena, M</t>
  </si>
  <si>
    <t>Gonzalez, Karina; Gaitan-Espitia, Juan; Font, Alejandro; Cardenas, Cesar A.; Gonzalez-Aravena, Marcelo</t>
  </si>
  <si>
    <t>Expression pattern of heat shock proteins during acute thermal stress in the Antarctic sea urchin, Sterechinus neumayeri</t>
  </si>
  <si>
    <t>HSP; Thermal tolerance; Chaperones; Ocean warming; Sea urchin</t>
  </si>
  <si>
    <t>CLIMATE-CHANGE; ENDOPLASMIC-RETICULUM; MOLECULAR CHAPERONES; EVOLUTIONARY; ADAPTATION; FAMILY; GENE; ECOPHYSIOLOGY; ACCLIMATION; TEMPERATURE</t>
  </si>
  <si>
    <t>Background: Antarctic marine organisms have evolved a variety of physiological, life-history and molecular adaptations that allow them to cope with the extreme conditions in one of the coldest and most temperature-stable marine environments on Earth. The increase in temperature of the Southern Ocean, product of climate change, represents a great challenge for the survival of these organisms. It has been documented that some Antarctic marine invertebrates are not capable of generating a thermal stress response by means of an increase in the synthesis of heat shock proteins, which could be related with their low capacity for acclimatization. In order to understand the role of heat shock proteins as a compensatory response in Antarctic marine species to projected scenarios of increased seawater temperatures, we assessed the expression of the genes Hsp90, Grp78, Hyou1 and Hsc70 in the Antarctic sea urchin Sterechinus neumayeri under three thermal treatments (1 degrees C, 3 degrees C and 5 degrees C), for a period of exposure of 1, 24 and 48 h. Results: The results obtained showed that these genes were expressed themselves in all of the tissues analyzed in a constitutive form. During acute thermal stress, an overexpression of the Hsp90, Grp78 and Hyou1 genes was observed in coelomocyte samples at 3 degrees C after 48 h, while in esophageal samples, an increase in Hsp90 and Grp78 expression was observed after 48 h. Thermal stress at 5 degrees C, in general, did not produce a significant increase in the expression of the genes that were studied. The expression of Hsp70 did not show modifications in its expression as a result of thermal stress. Conclusions: S. neumayeri is capable of overexpressing stress proteins as a result of thermal stress, however, this response is delayed and to a lesser degree compared to other Antarctic or temperate species. These results indicate that adult individuals could cope with the expected impacts caused by an increase in coastal sea temperatures in the Southern Ocean.</t>
  </si>
  <si>
    <t>[Gonzalez, Karina; Font, Alejandro; Cardenas, Cesar A.; Gonzalez-Aravena, Marcelo] Inst Antartico Chileno, Dept Cient, Lab Biorecursos Antarticos, Punta Arenas, Chile; [Gaitan-Espitia, Juan] Univ Austral Chile, Inst Ciencias Ambientales &amp; Evolut, Valdivia, Chile; [Gaitan-Espitia, Juan] CSIRO Oceans &amp; Atmosphere, GPO Box 1538, Hobart, Tas 7001, Australia</t>
  </si>
  <si>
    <t>Universidad Austral de Chile; Commonwealth Scientific &amp; Industrial Research Organisation (CSIRO)</t>
  </si>
  <si>
    <t>González-Aravena, M (corresponding author), Inst Antartico Chileno, Dept Cient, Lab Biorecursos Antarticos, Punta Arenas, Chile.</t>
  </si>
  <si>
    <t>mgonzalez@inach.cl</t>
  </si>
  <si>
    <t>Gaitan-Espitia, Juan Diego/A-9945-2012; Cardenas, Cesar/ABF-1664-2020; González, Marcelo/ABF-1450-2020</t>
  </si>
  <si>
    <t>Gaitan-Espitia, Juan Diego/0000-0001-8781-5736; Cardenas, Cesar/0000-0001-6662-6899; Gonzalez, Karina/0009-0004-2767-3747; Gonzalez, Marcelo/0000-0001-9986-9504</t>
  </si>
  <si>
    <t>Fondecyt [1131001]</t>
  </si>
  <si>
    <t>Fondecyt(Comision Nacional de Investigacion Cientifica y Tecnologica (CONICYT)CONICYT FONDECYT)</t>
  </si>
  <si>
    <t>This study was supported by the Fondecyt Project 1131001 and logistic support from the Chilean Antarctic Institute (INACH). We thank Jorge Holtheuer, Ignacio Garrido and Maria Jose Diaz for their support during diving activities.</t>
  </si>
  <si>
    <t>10.1186/s40693-016-0052-z</t>
  </si>
  <si>
    <t>WOS:000372124800001</t>
  </si>
  <si>
    <t>Carrea, C; Burridge, CP; King, CK; Miller, KJ</t>
  </si>
  <si>
    <t>Carrea, Cecilia; Burridge, Christopher P.; King, Catherine K.; Miller, Karen J.</t>
  </si>
  <si>
    <t>Population structure and long-term decline in three species of heart urchins Abatus spp. near-shore in the Vestfold Hills region, East Antarctica</t>
  </si>
  <si>
    <t>Population structure; Demographic change; Microsatellite markers; Abatus; East Antarctica</t>
  </si>
  <si>
    <t>GENETIC DIVERSITY; MCMURDO SOUND; PRYDZ BAY; EXPANSION; SOFTWARE; DISPERSAL; SHELF; BIODIVERSITY; SPECIATION; PATTERNS</t>
  </si>
  <si>
    <t>Patterns of fine-scale spatial population structure in Antarctic benthic species are poorly understood. There is a high proportion of brooding species in the Antarctic benthos, and a brooding life history strategy is expected to restrict their dispersal abilities and therefore foster population structure. Additionally, genetic structuring of populations can preserve signals of historic processes (such as Pleistocene glaciations) on species distributions and abundances. We developed a set of 7 microsatellite markers to examine population genetic variation and infer the demographic history of 3 sympatric Antarctic sea urchin species from the order Spatangoida (Abatus ingens, A. shackletoni and A. philippii), all with brooding life history strategies. Samples were collected at 5 sites separated by up to 5 km, in the near-shore area surrounding Davis Station in the Vestfold Hills area of the Australian Antarctic Territory. We found evidence of a long-term population decline in all 3 species, and the estimated timing of the decline precedes anthropogenic activities and is compatible with long-term climate variability. Two genetic clusters in A. ingens and A. shackletoni suggest secondary contact after population differentiation in glacial refugia. Life history is not a good predictor of fine-scale population structure in these species, with gene flow possible at distances of 5 km. Finally, no evidence was found for a potential impact of pollution from Davis Station on genetic variation. The reduced effective population size observed for these Antarctic benthic species highlights their fragility and the need for conservation concern.</t>
  </si>
  <si>
    <t>[Carrea, Cecilia; Burridge, Christopher P.; Miller, Karen J.] Univ Tasmania, Sch Biol Sci, Hobart, Tas 7001, Australia; [King, Catherine K.] Australian Antarctic Div, Channel Highway, Kingston, Tas 7050, Australia; [Miller, Karen J.] Australian Inst Marine Sci, Perth, WA 6009, Australia</t>
  </si>
  <si>
    <t>University of Tasmania; Australian Antarctic Division; Australian Institute of Marine Science</t>
  </si>
  <si>
    <t>Carrea, C (corresponding author), Univ Tasmania, Sch Biol Sci, Hobart, Tas 7001, Australia.</t>
  </si>
  <si>
    <t>cecilia.carrea@utas.edu.au</t>
  </si>
  <si>
    <t>Burridge, Christopher/J-2653-2012; Carrea, Cecilia/G-6777-2019; King, Catherine K/G-7059-2017; Burridge, Chris/L-4392-2019; Miller, Karen/A-7902-2011; Miller, Karen/V-4098-2019</t>
  </si>
  <si>
    <t>Burridge, Christopher/0000-0002-8185-6091; King, Catherine K/0000-0003-3356-0381; Carrea, Cecilia/0000-0001-6999-9471</t>
  </si>
  <si>
    <t>Australian Government through Australian Antarctic Science Grants Program [3051, 4100]</t>
  </si>
  <si>
    <t>Australian Government through Australian Antarctic Science Grants Program(Australian Government)</t>
  </si>
  <si>
    <t>The authors thank the Davis Station summer marine teams of 2009/10 and 2012/13 for assistance in field collections and laboratory processing of samples; particularly Jonathan Stark, Ian Aitkenhead and Patricia Corbett. This project was supported by the Australian Government through its Australian Antarctic Science Grants Program, awarded to K. J. M. ( Project 3051) and C. K. K. ( Project 4100).</t>
  </si>
  <si>
    <t>MAR 8</t>
  </si>
  <si>
    <t>10.3354/meps11573</t>
  </si>
  <si>
    <t>DH1UZ</t>
  </si>
  <si>
    <t>Bronze, Green Published, Green Accepted</t>
  </si>
  <si>
    <t>WOS:000372571700018</t>
  </si>
  <si>
    <t>Soler, GA; Thomson, RJ; Stuart-Smith, RD; Smith, ADM; Edgar, GJ</t>
  </si>
  <si>
    <t>Soler, German A.; Thomson, Russell J.; Stuart-Smith, Rick D.; Smith, Anthony D. M.; Edgar, Graham J.</t>
  </si>
  <si>
    <t>Contributions of body size, habitat and taxonomy to predictions of temperate Australian fish diets</t>
  </si>
  <si>
    <t>Predator-prey relations; Diet prediction; Australia; Consume model; Tropho-dynamics; Allometry</t>
  </si>
  <si>
    <t>SUNFISH LEPOMIS-MACROCHIRUS; STRUCTURED ENERGY-FLOW; INDIVIDUAL-BASED MODEL; SOUTHERN AUSTRALIA; MARINE ECOSYSTEMS; TROPHIC ECOLOGY; FOOD WEBS; PREY SELECTION; WESTERN-PORT; ASSEMBLAGES</t>
  </si>
  <si>
    <t>Using k-nearest neighbour procedures to predict prey type and linear models to predict mean prey size, we developed a 2-step dietary model based on the stomach contents of fish of known species, size and location from Western Port, Victoria (Australia). The model, nicknamed 'Consume', was used to assess the relative extent to which fish diet varied with body size, species identity, season, and location. Both prey type (mean overlap between predicted and actual prey types = 77%) and mean prey size (r(2) between predicted and observed mean prey size = 93%) were predicted with reasonable accuracy when species identity and length of consumer fish were known. The most important predictor for prey type was the size of the individual consumer, while the most important predictor for mean prey size was the consumer's taxonomic identity. Predictors were individually removed from both k-nearest neighbour and linear models to assess their relative contributions to the model. Little loss of accuracy (1%) was evident when family rather than species identity was used for both prey type and mean prey size. Environmental information associated with the time and location of fish sampling (habitat, site and season) contributed only marginally to predictions of prey type. Use of the Consume model will allow for an improved understanding of community-level trophic pathways through the integration of prey type and size predictions for consumer fishes.</t>
  </si>
  <si>
    <t>[Soler, German A.; Thomson, Russell J.; Stuart-Smith, Rick D.; Edgar, Graham J.] Univ Tasmania, Inst Marine &amp; Antarctic Studies, Private Bag 49, Hobart, Tas 7001, Australia; [Smith, Anthony D. M.] CSIRO, CSIRO Oceans &amp; Atmosphere Flagship, GPO Box 1538, Hobart, Tas 7001, Australia</t>
  </si>
  <si>
    <t>Soler, GA (corresponding author), Univ Tasmania, Inst Marine &amp; Antarctic Studies, Private Bag 49, Hobart, Tas 7001, Australia.</t>
  </si>
  <si>
    <t>german.soler@utas.edu.au</t>
  </si>
  <si>
    <t>Stuart-Smith, Rick/I-5214-2019; Edgar, Graham/AAY-3797-2020; Stuart-Smith, Rick D/M-1829-2013; Thomson, Russell/H-5653-2012</t>
  </si>
  <si>
    <t>Stuart-Smith, Rick/0000-0002-8874-0083; Edgar, Graham/0000-0003-0833-9001; Stuart-Smith, Rick D/0000-0002-8874-0083; Thomson, Russell/0000-0003-4949-4120</t>
  </si>
  <si>
    <t>Australian Research Council; TGRS; Marine Biodiversity Hub; Australian Government's National Environmental Research Program</t>
  </si>
  <si>
    <t>Australian Research Council(Australian Research Council); TGRS; Marine Biodiversity Hub; Australian Government's National Environmental Research Program(Australian Government)</t>
  </si>
  <si>
    <t>This study was supported by the Australian Research Council, a postgraduate scholarship from TGRS ( to G. A. S.), and the Marine Biodiversity Hub, a collaborative partnership funded under the Australian Government's National Environmental Research Program. We thank Craig Shaw for assistance in field sampling, Justin Hulls for designing the map of the study area, and Dr. Kilian Stehfest for supporting the development of the model. We also thank Dr. Simon Wotherspoon and Dr. Andre Punt for their input and comments in developing the diet predictive model.</t>
  </si>
  <si>
    <t>10.3354/meps11584</t>
  </si>
  <si>
    <t>WOS:000372571700019</t>
  </si>
  <si>
    <t>Mengel, M; Levermann, A; Frieler, K; Robinson, A; Marzeion, B; Winkelmann, R</t>
  </si>
  <si>
    <t>Mengel, Matthias; Levermann, Anders; Frieler, Katja; Robinson, Alexander; Marzeion, Ben; Winkelmann, Ricarda</t>
  </si>
  <si>
    <t>Future sea level rise constrained by observations and long-term commitment</t>
  </si>
  <si>
    <t>sea level rise; climate change; climate impacts</t>
  </si>
  <si>
    <t>SURFACE MASS-BALANCE; ANTARCTIC ICE-SHEET; RESPONSE FUNCTIONS; OCEAN; DISCHARGE; CLIMATE; MELT; 20TH-CENTURY; ATTRIBUTION; GLACIERS</t>
  </si>
  <si>
    <t>Sea level has been steadily rising over the past century, predominantly due to anthropogenic climate change. The rate of sea level rise will keep increasing with continued global warming, and, even if temperatures are stabilized through the phasing out of greenhouse gas emissions, sea level is still expected to rise for centuries. This will affect coastal areas worldwide, and robust projections are needed to assess mitigation options and guide adaptation measures. Here we combine the equilibrium response of the main sea level rise contributions with their last century's observed contribution to constrain projections of future sea level rise. Our model is calibrated to a set of observations for each contribution, and the observational and climate uncertainties are combined to produce uncertainty ranges for 21st century sea level rise. We project anthropogenic sea level rise of 28-56 cm, 37-77 cm, and 57-131 cm in 2100 for the greenhouse gas concentration scenarios RCP26, RCP45, and RCP85, respectively. Our uncertainty ranges for total sea level rise overlap with the process-based estimates of the Intergovernmental Panel on Climate Change. The constrained extrapolation approach generalizes earlier global semiempirical models and may therefore lead to a better understanding of the discrepancies with process-based projections.</t>
  </si>
  <si>
    <t>[Mengel, Matthias; Levermann, Anders; Frieler, Katja; Robinson, Alexander; Winkelmann, Ricarda] Potsdam Inst Climate Impact Res, D-14473 Potsdam, Germany; [Mengel, Matthias; Levermann, Anders; Winkelmann, Ricarda] Univ Potsdam, Inst Phys, D-14476 Potsdam, Germany; [Levermann, Anders] Columbia Univ, Lamont Doherty Earth Observ, Palisades, NY 10964 USA; [Robinson, Alexander] Univ Complutense Madrid, E-28040 Madrid, Spain; [Robinson, Alexander] Univ Complutense Madrid, CSIC, Inst Geociencias IGEO, E-28040 Madrid, Spain; [Marzeion, Ben] Univ Bremen, Inst Geog, D-28359 Bremen, Germany</t>
  </si>
  <si>
    <t>Potsdam Institut fur Klimafolgenforschung; University of Potsdam; Columbia University; Complutense University of Madrid; Complutense University of Madrid; Consejo Superior de Investigaciones Cientificas (CSIC); CSIC-UCM - Instituto de Geociencias (IGEO); University of Bremen</t>
  </si>
  <si>
    <t>Levermann, A (corresponding author), Potsdam Inst Climate Impact Res, D-14473 Potsdam, Germany.;Levermann, A (corresponding author), Univ Potsdam, Inst Phys, D-14476 Potsdam, Germany.;Levermann, A (corresponding author), Columbia Univ, Lamont Doherty Earth Observ, Palisades, NY 10964 USA.</t>
  </si>
  <si>
    <t>levermann@pik-potsdam.de</t>
  </si>
  <si>
    <t>Robinson, Alexander/I-4018-2012; Levermann, Anders/G-4666-2011; Robinson, Alexander/N-2429-2019; Marzeion, Ben/G-6514-2013</t>
  </si>
  <si>
    <t>Robinson, Alexander/0000-0003-3519-5293; Levermann, Anders/0000-0003-4432-4704; Robinson, Alexander/0000-0003-3519-5293; Marzeion, Ben/0000-0002-6185-3539; Frieler, Katja/0000-0003-4869-3013; Winkelmann, Ricarda/0000-0003-1248-3217; Mengel, Matthias/0000-0001-6724-9685</t>
  </si>
  <si>
    <t>European Union Seventh Framework Programme FP7 [603864]; Federal Ministry for the Environment, Nature Conservation and Nuclear Safety, Germany [11_II_093_Global_A_SIDS]; Austrian Science Fund (FWF) [P25362-N26]; Austrian Science Fund (FWF) [P25362] Funding Source: Austrian Science Fund (FWF)</t>
  </si>
  <si>
    <t>European Union Seventh Framework Programme FP7; Federal Ministry for the Environment, Nature Conservation and Nuclear Safety, Germany; Austrian Science Fund (FWF)(Austrian Science Fund (FWF)); Austrian Science Fund (FWF)(Austrian Science Fund (FWF))</t>
  </si>
  <si>
    <t>The research leading to these results received funding from the European Union Seventh Framework Programme FP7/2007-2013 under Grant Agreement 603864; the Federal Ministry for the Environment, Nature Conservation and Nuclear Safety, Germany (11_II_093_Global_A_SIDS and LDCs); and the Austrian Science Fund (FWF): P25362-N26.</t>
  </si>
  <si>
    <t>10.1073/pnas.1500515113</t>
  </si>
  <si>
    <t>DG4AW</t>
  </si>
  <si>
    <t>WOS:000372013300026</t>
  </si>
  <si>
    <t>Attard, CRM; Beheregaray, LB; Möller, LM</t>
  </si>
  <si>
    <t>Attard, Catherine R. M.; Beheregaray, Luciano B.; Moeller, Luciana M.</t>
  </si>
  <si>
    <t>Towards population-level conservation in the critically endangered Antarctic blue whale: the number and distribution of their populations</t>
  </si>
  <si>
    <t>SOUTHERN-HEMISPHERE; HUMPBACK WHALES; BALAENOPTERA-MUSCULUS; NORTH PACIFIC; MEGAPTERA-NOVAEANGLIAE; EUPHAUSIA-SUPERBA; GENETIC DIVERSITY; MARINE MAMMALS; SYMPATRIC AREA; BALEEN WHALES</t>
  </si>
  <si>
    <t>Population-level conservation is required to prevent biodiversity loss within a species, but it first necessitates determining the number and distribution of populations. Many whale populations are still depleted due to 20th century whaling. Whales are one of the most logistically difficult and expensive animals to study because of their mobility, pelagic lifestyle and often remote habitat. We tackle the question of population structure in the Antarctic blue whale (Balaenoptera musculus intermedia) - a critically endangered subspecies and the largest extant animal - by capitalizing on the largest genetic dataset to date for Antarctic blue whales. We found evidence of three populations that are sympatric in the Antarctic feeding grounds and likely occupy separate breeding grounds. Our study adds to knowledge of population structure in the Antarctic blue whale. Future research should invest in locating the breeding grounds and migratory routes of Antarctic blue whales through satellite telemetry to confirm their population structure and allow population-level conservation.</t>
  </si>
  <si>
    <t>[Attard, Catherine R. M.; Beheregaray, Luciano B.; Moeller, Luciana M.] Flinders Univ S Australia, Sch Biol Sci, GPO Box 2100, Adelaide, SA 5001, Australia; [Attard, Catherine R. M.; Beheregaray, Luciano B.] Macquarie Univ, Dept Biol Sci, Sydney, NSW 2109, Australia</t>
  </si>
  <si>
    <t>Flinders University South Australia; Macquarie University</t>
  </si>
  <si>
    <t>Attard, CRM (corresponding author), Flinders Univ S Australia, Sch Biol Sci, GPO Box 2100, Adelaide, SA 5001, Australia.;Attard, CRM (corresponding author), Macquarie Univ, Dept Biol Sci, Sydney, NSW 2109, Australia.</t>
  </si>
  <si>
    <t>catherine.attard@flinders.edu.au</t>
  </si>
  <si>
    <t>Beheregaray, Luciano/A-8621-2008; Beheregaray, Luciano/AAY-6384-2021; Möller, Luciana M/A-6030-2008</t>
  </si>
  <si>
    <t>Beheregaray, Luciano/0000-0003-0944-3003; Beheregaray, Luciano/0000-0003-0944-3003; Attard, Catherine/0000-0003-1157-570X; Moller, Luciana/0000-0002-7293-5847</t>
  </si>
  <si>
    <t>Australian Marine Mammal Centre within the Australian Antarctic Division; Flinders University; Macquarie University in Australia; Australian Postgraduate Award (APA)</t>
  </si>
  <si>
    <t>Australian Marine Mammal Centre within the Australian Antarctic Division; Flinders University; Macquarie University in Australia; Australian Postgraduate Award (APA)(Australian Government)</t>
  </si>
  <si>
    <t>Genetic data analyses of samples were funded by the Australian Marine Mammal Centre within the Australian Antarctic Division, and Flinders University and Macquarie University in Australia. C.R. M.A. was supported for part of the study by an Australian Postgraduate Award (APA). Sampling was conducted under non-lethal research programs of the International Whaling Commission (IWC) (see Attard et al.43 for details, including Southwest Fisheries Science Center (SWFSC) sample identification numbers). We thank Paula A. Olson for her input regarding Antarctic blue whale photo-identification, Kelly M. Robertson for her input as sample curator at SWFSC, Jonathan K. Pritchard for assisting with STRUCTURE interpretation, Brian S. Miller for input regarding blue whale acoustics and Elizabeth Eyre for input regarding whale acoustics, Virginia Andrews-Goff for input regarding movement data, and Eduardo R. Secchi for his comments on the manuscript. We thank attendees that provided suggestions at the 20th Biennial Conference on Marine Mammals in Dunedin, New Zealand. We thank Robert L. Brownell Jr. and one anonymous reviewer for their suggestions during the review process.</t>
  </si>
  <si>
    <t>10.1038/srep22291</t>
  </si>
  <si>
    <t>DF8XX</t>
  </si>
  <si>
    <t>WOS:000371645000001</t>
  </si>
  <si>
    <t>Day, RD; McCauley, RD; Fitzgibbon, QP; Semmens, JM</t>
  </si>
  <si>
    <t>Day, Ryan D.; McCauley, Robert D.; Fitzgibbon, Quinn P.; Semmens, Jayson M.</t>
  </si>
  <si>
    <t>Seismic air gun exposure during early-stage embryonic development does not negatively affect spiny lobster Jasus edwardsii larvae (Decapoda:Palinuridae)</t>
  </si>
  <si>
    <t>GEOPHYSICAL SURVEY DEVICE; PHYLLOSOMA LARVAE; ROCK LOBSTER; CATCH RATES; FISH; NOISE; SOUND; TEMPERATURE; VARIABILITY; BROODSTOCK</t>
  </si>
  <si>
    <t>Marine seismic surveys are used to explore for sub-seafloor oil and gas deposits. These surveys are conducted using air guns, which release compressed air to create intense sound impulses, which are repeated around every 8-12 seconds and can travel large distances in the water column. Considering the ubiquitous worldwide distribution of seismic surveys, the potential impact of exposure on marine invertebrates is poorly understood. In this study, egg-bearing female spiny lobsters (Jasus edwardsii) were exposed to signals from three air gun configurations, all of which exceeded sound exposure levels (SEL) of 185 dB re 1 mu Pa-2.s. Lobsters were maintained until their eggs hatched and the larvae were then counted for fecundity, assessed for abnormal morphology using measurements of larval length and width, tested for larval competency using an established activity test and measured for energy content. Overall there were no differences in the quantity or quality of hatched larvae, indicating that the condition and development of spiny lobster embryos were not adversely affected by air gun exposure. These results suggest that embryonic spiny lobster are resilient to air gun signals and highlight the caution necessary in extrapolating results from the laboratory to real world scenarios or across life history stages.</t>
  </si>
  <si>
    <t>[Day, Ryan D.; Fitzgibbon, Quinn P.; Semmens, Jayson M.] Univ Tasmania, Inst Marine &amp; Antarctic Studies, Fisheries &amp; Aquaculture Ctr, Hobart, Tas, Australia; [McCauley, Robert D.] Curtin Univ, Ctr Marine Sci &amp; Technol, Perth, WA 6845, Australia</t>
  </si>
  <si>
    <t>University of Tasmania; Curtin University</t>
  </si>
  <si>
    <t>Day, RD (corresponding author), Univ Tasmania, Inst Marine &amp; Antarctic Studies, Fisheries &amp; Aquaculture Ctr, Hobart, Tas, Australia.</t>
  </si>
  <si>
    <t>dr.ryandday@gmail.com</t>
  </si>
  <si>
    <t>Day, Ryan D/J-7715-2014</t>
  </si>
  <si>
    <t>Semmens, Jayson/0000-0003-1742-6692; Fitzgibbon, Quinn/0000-0002-1104-3052; Day, Ryan/0000-0002-1834-6945</t>
  </si>
  <si>
    <t>Fisheries Research and Development Corporation (FRDC) on behalf of the Australian Government [2012/008]; CarbonNet Project, Department of Economic Development, Jobs, Tourism and Resources, Victoria, Australia; Origin Energy, Australia</t>
  </si>
  <si>
    <t>Fisheries Research and Development Corporation (FRDC) on behalf of the Australian Government(Fisheries R&amp;D Corp); CarbonNet Project, Department of Economic Development, Jobs, Tourism and Resources, Victoria, Australia; Origin Energy, Australia</t>
  </si>
  <si>
    <t>The authors acknowledge the field work contributions of IMAS technical staff, particularly M. Porteus. This study was supported by the Fisheries Research and Development Corporation (FRDC Grant 2012/008) on behalf of the Australian Government; The CarbonNet Project, Department of Economic Development, Jobs, Tourism and Resources, Victoria, Australia; and Origin Energy, Australia. All research was conducted in accordance with University of Tasmania Animal Ethics Committee permit #A13328. Field work was conducted in accordance with Tasmania Department of Primary Industries, Parks, Water and Environment permits #13011 and 14038.</t>
  </si>
  <si>
    <t>MAR 7</t>
  </si>
  <si>
    <t>10.1038/srep22723</t>
  </si>
  <si>
    <t>DF5RQ</t>
  </si>
  <si>
    <t>WOS:000371410300003</t>
  </si>
  <si>
    <t>Otero, RA; O'Gorman, JP; Hiller, N; O'Keefe, FR; Fordyce, RE</t>
  </si>
  <si>
    <t>Otero, Rodrigo A.; O'Gorman, Jose P.; Hiller, Norton; O'Keefe, F. Robin; Fordyce, R. Ewan</t>
  </si>
  <si>
    <t>ALEXANDRONECTES ZEALANDIENSIS GEN. ET SP NOV., A NEW ARISTONECTINE PLESIOSAUR FROM THE LOWER MAASTRICHTIAN OF NEW ZEALAND</t>
  </si>
  <si>
    <t>JOURNAL OF VERTEBRATE PALEONTOLOGY</t>
  </si>
  <si>
    <t>MAUISAURUS-HAASTI HECTOR; ELASMOSAURID PLESIOSAUR; SAUROPTERYGIA; REPTILIA; OSTEOLOGY; ISLAND; SHALE</t>
  </si>
  <si>
    <t>A fragmentary plesiosaur skull from lower Maastrichtian levels of the Conway Formation, New Zealand, is redescribed. Originally regarded as pertaining to two separate individuals, we argue that they represent a single individual belonging to a new aristonectine elasmosaurid, Alexandronectes zealandiensis gen. et sp. nov. This new taxon has common morphologies with other aristonectines such as expansion of the pterygoids extending posteriorly beyond the occipital condyle (as observed in Ar. quiriquinensis and probably in Kaiwhekea katiki) and the presence of an A'-shaped squamosal arch in dorsal view. Otherwise, it is distinguished from these latter species by having different paraoccipital processes, a different mandibular glenoid, and an adult skull comparatively smaller than K. katiki and Aristonectes spp. The new taxon is a morphologically intermediate form between the dorsoventrally high skull of K. katiki and the mediolaterally expanded skulls of Aristonectes spp. The studied specimen is the second genus and species and the third report of an aristonectine recovered from lower Maastrichtian beds of New Zealand, emphasizing the diversity of this group in New Zealand and also indicating that aristonectines could include smaller species than those already known.http://zoobank.org/urn:lsid:zoobank.org:pub:5167B8FB-82F7-4F33-8663-EBF16692A9A0SUPPLEMENTAL DATASupplemental materials are available for this article for free at www.tandfonline.com/UJVPCitation for this article: Otero, R. A., J. P. O'Gorman, N. Hiller, F. R. O'Keefe, and R. E. Fordyce. 2016. Alexandronectes zealandiensis gen. et sp. nov., a new aristonectine plesiosaur from the lower Maastrichtian of New Zealand. Journal of Vertebrate Paleontology. DOI: 10.1080/02724634.2015.1054494.</t>
  </si>
  <si>
    <t>[Otero, Rodrigo A.] Univ Chile, Fac Ciencias, Dept Biol, Lab Ontogenia &amp; Filogenia,Red Paleontol U Chile, Santiago 3425, Chile; [O'Gorman, Jose P.] Univ Nacl La Plata, Museo La Plata, Div Paleontol Vertebrados, Paseo Bosque S-N,B1900FWA, La Plata, Argentina; [O'Gorman, Jose P.] Consejo Nacl Invest Cient &amp; Tecn, RA-1033 Buenos Aires, DF, Argentina; [Hiller, Norton] Univ Canterbury, Dept Geol Sci, PB 4800, Christchurch 8140, New Zealand; [Hiller, Norton] Canterbury Museum, Rolleston Ave, Christchurch 8013, New Zealand; [O'Keefe, F. Robin] Marshall Univ, Dept Biol Sci, Huntington, WV 25755 USA; [Fordyce, R. Ewan] Univ Otago, Dept Geol, Dunedin 9054, New Zealand</t>
  </si>
  <si>
    <t>Universidad de Chile; National University of La Plata; Museo La Plata; Consejo Nacional de Investigaciones Cientificas y Tecnicas (CONICET); University of Canterbury; Marshall University; University of Otago</t>
  </si>
  <si>
    <t>Otero, RA (corresponding author), Univ Chile, Fac Ciencias, Dept Biol, Lab Ontogenia &amp; Filogenia,Red Paleontol U Chile, Santiago 3425, Chile.</t>
  </si>
  <si>
    <t>otero2112@gmail.com; joseogorman@fcnym.unlp.edu.ar; norton.hiller@canterbury.ac.nz; okeefef@marshall.edu; ewan.fordyce@otago.ac.nz</t>
  </si>
  <si>
    <t>O’Gorman, José/AAK-6096-2021</t>
  </si>
  <si>
    <t>Otero, Rodrigo/0000-0002-3046-2973</t>
  </si>
  <si>
    <t>Antarctic Ring Project (Anillos de Ciencia Antartica, Conicyt-Chile) [ACT-105]; Domeyko II grant-Red Paleontologica U-Chile of the Universidad de Chile [UR-C12/1]; [PIP 0433]; [PICT 2012-0748]; [PICTO 2010-0093]; [UNLP N 677]; [UNLP N607]</t>
  </si>
  <si>
    <t>Antarctic Ring Project (Anillos de Ciencia Antartica, Conicyt-Chile)(Comision Nacional de Investigacion Cientifica y Tecnologica (CONICYT)CONICYT PIA/ANILLOS); Domeyko II grant-Red Paleontologica U-Chile of the Universidad de Chile; ; ; ; ;</t>
  </si>
  <si>
    <t>RAO was supported by the Antarctic Ring Project (Anillos de Ciencia Antartica ACT-105, Conicyt-Chile) and additional support was provided by the Domeyko II UR-C12/1 grant-Red Paleontologica U-Chile of the Universidad de Chile. JPO'G was supported by projects PIP 0433, PICT 2012-0748, PICTO 2010-0093, UNLP N 677, UNLP N607. The authors thank P. Scofield and C. Vink (Canterbury Museum, Christchurch, New Zealand) for allowing us to review the elasmosaur material hosted in the Canterbury Museum. P. Druckenmiller (Department of Geology and Geophysics, University of Alaska Fairbanks) and a second anonymous reviewer are thanked for their very valuable comments and observations that improved this article.</t>
  </si>
  <si>
    <t>TAYLOR &amp; FRANCIS INC</t>
  </si>
  <si>
    <t>PHILADELPHIA</t>
  </si>
  <si>
    <t>530 WALNUT STREET, STE 850, PHILADELPHIA, PA 19106 USA</t>
  </si>
  <si>
    <t>0272-4634</t>
  </si>
  <si>
    <t>1937-2809</t>
  </si>
  <si>
    <t>J VERTEBR PALEONTOL</t>
  </si>
  <si>
    <t>J. Vertebr. Paleontol.</t>
  </si>
  <si>
    <t>MAR 3</t>
  </si>
  <si>
    <t>e1054494</t>
  </si>
  <si>
    <t>10.1080/02724634.2015.1054494</t>
  </si>
  <si>
    <t>DH7EA</t>
  </si>
  <si>
    <t>WOS:000372953300017</t>
  </si>
  <si>
    <t>Oh, JS; Ahn, DH; Lee, J; Choi, J; Chi, YM; Park, H</t>
  </si>
  <si>
    <t>Oh, Jae Soon; Ahn, Do Hwan; Lee, Jongkyu; Choi, Jungeun; Chi, Young Min; Park, Hyun</t>
  </si>
  <si>
    <t>Complete mitochondrial genome of the Antarctic bullhead notothen, Notothenia coriiceps (Perciformes, Nototheniidae)</t>
  </si>
  <si>
    <t>MITOCHONDRIAL DNA PART A</t>
  </si>
  <si>
    <t>Antarctic; complete mitochondrial genome; Notothenia coriiceps</t>
  </si>
  <si>
    <t>FISH; BIOGEOGRAPHY; TEMPERATURE; ICEFISHES; PHYLOGENY; EVOLUTION; FAUNA</t>
  </si>
  <si>
    <t>The complete sequence of the mitochondrial genome of Notothenia coriiceps was obtained by genome assembly. The complete sequence was determined to be 18,347 base pairs in length and to contain 13 protein-coding genes, 22 tRNA genes, 2 rRNA genes, and 2 control regions. Of the thirteen protein-coding genes, two genes (cox1 and atp6) had GTG start codons, and six genes (nad2, cox2, cox3, nad3, nad4, and cytb) had incomplete stop codons that require the post-transcriptional addition of A bases. The base composition of the mitogenome was 26.3% A, 27.6% T, 17.5% G, and 28.5% C.</t>
  </si>
  <si>
    <t>[Oh, Jae Soon; Chi, Young Min] Korea Univ, Coll Life Sci, Div Biotechnol, Seoul, South Korea; [Ahn, Do Hwan; Lee, Jongkyu; Choi, Jungeun; Park, Hyun] Korea Polar Res Inst, Div Polar Life Sci, Inchon 406840, South Korea; [Ahn, Do Hwan; Park, Hyun] Univ Sci &amp; Technol, Polar Sci, Daejeon, South Korea</t>
  </si>
  <si>
    <t>Korea University; Korea Institute of Ocean Science &amp; Technology (KIOST); Korea Polar Research Institute (KOPRI); University of Science &amp; Technology (UST)</t>
  </si>
  <si>
    <t>Park, H (corresponding author), Korea Polar Res Inst, Div Polar Life Sci, Inchon 406840, South Korea.</t>
  </si>
  <si>
    <t>ezeg@korea.ac.kr; hpark@kopri.re.kr</t>
  </si>
  <si>
    <t>Antarctic organisms: Cold-adaptation mechanism and its application grant - Korea Polar Research Institute (KOPRI) [PE14070]</t>
  </si>
  <si>
    <t>Antarctic organisms: Cold-adaptation mechanism and its application grant - Korea Polar Research Institute (KOPRI)</t>
  </si>
  <si>
    <t>The authors report no conflicts of interest. The authors alone are responsible for the content and writing of the paper. This work was supported by Antarctic organisms: Cold-adaptation mechanism and its application grant (PE14070) funded by the Korea Polar Research Institute (KOPRI).</t>
  </si>
  <si>
    <t>2470-1394</t>
  </si>
  <si>
    <t>2470-1408</t>
  </si>
  <si>
    <t>MITOCHONDRIAL DNA A</t>
  </si>
  <si>
    <t>Mitochondrial DNA Part A</t>
  </si>
  <si>
    <t>10.3109/19401736.2014.947603</t>
  </si>
  <si>
    <t>Genetics &amp; Heredity</t>
  </si>
  <si>
    <t>CY5RH</t>
  </si>
  <si>
    <t>WOS:000366464400255</t>
  </si>
  <si>
    <t>Karanovic, I; Brandao, SN</t>
  </si>
  <si>
    <t>Karanovic, Ivana; Brandao, Simone N.</t>
  </si>
  <si>
    <t>The genus Polycope (Polycopidae, Ostracoda) in the North Atlantic and Arctic: taxonomy, distribution, and ecology</t>
  </si>
  <si>
    <t>SYSTEMATICS AND BIODIVERSITY</t>
  </si>
  <si>
    <t>28S rDNA; diversity; new species; palaeoenvironmental reconstruction; taxonomy</t>
  </si>
  <si>
    <t>MOLECULAR EVOLUTION; SEA; QUATERNARY; PHYLOGENY; CRUSTACEA; OCEAN; SOUTH; MORPHOLOGY; ALGORITHM; ALIGNMENT</t>
  </si>
  <si>
    <t>With almost 200 species described from all over the world, Polycope Sars, 1866 is the most specious and eurytopic genus of the exclusively marine family Polycopidae. Unlike other members of the subclass Myodocopa, polycopids are commonly found in fossiliferous rocks from strata as old as the Carboniferous, which makes them a useful tool in palaeoenvironmental reconstructions. The genus Polycope in particular is an opportunistic group and can putatively serve as an indicator of organic rich, fine grained sediment, reduced sea ice, and increased productivity, which is especially important when correlating biological data with the Quaternary climate changes that often requires accurate generic and species identifications. Polycopid taxonomy is relatively complicated because species tend to have conservative shell shapes and the soft body is extremely reduced, which can lead to numerous misidentifications, especially when fossil and Subrecent taxa are mixed and the shell is the only available source of taxonomic information. Here we study Polycope species collected during the first cruise of the IceAge project from the margin off Iceland. In total, four species have been recovered from 200 to 2747m depth. They have been identified as P. pseudoinornata Chavtur, 1983, P. punctata Sars, 1869, P. yasuharai sp. nov., and P. sp. This is the first time since the middle of the 19th century that members of this genus have been studied in the North Atlantic and Arctic using both their soft parts and shells. It allowed us to reconsider numerous previous records of Polycope from this region. Beside a critical overview of the polycopid diversity in the North Atlantic and Arctic, and detailed taxonomic (re)descriptions of the newly collected specimens, we also provide maps of their distributions, analyse their ecological preferences, and offer a preliminary phylogeny of the North Atlantic species of Polycope based on 28S rDNA sequences.http://zoobank.org/urn:lsid:zoobank.org:pub:17EB9011-1715-4C1A-A854-FD0770F36E76</t>
  </si>
  <si>
    <t>[Karanovic, Ivana] Hanyang Univ, Coll Nat Sci, Dept Life Sci, Seoul 133791, South Korea; [Karanovic, Ivana] Univ Tasmania, Inst Marine &amp; Antarctic Studies, Private Bag 49, Hobart, Tas 7001, Australia; [Brandao, Simone N.] Univ Fed Rio Grande Norte UFRN, Programa Posgrad Geodinam &amp; Geofis, Lab Geol &amp; Geofis Marinha &amp; Monitoramento Ambient, Dept Geol, Campus Univ S-N,Postbox 1596, BR-59072970 Lagoa Nova Natal, RN, Brazil</t>
  </si>
  <si>
    <t>Hanyang University; University of Tasmania; Universidade Federal do Rio Grande do Norte</t>
  </si>
  <si>
    <t>Karanovic, I (corresponding author), Hanyang Univ, Coll Nat Sci, Dept Life Sci, Seoul 133791, South Korea.;Karanovic, I (corresponding author), Univ Tasmania, Inst Marine &amp; Antarctic Studies, Private Bag 49, Hobart, Tas 7001, Australia.</t>
  </si>
  <si>
    <t>ivana@hanyang.ac.kr</t>
  </si>
  <si>
    <t>Brandao, Simone/C-9416-2013</t>
  </si>
  <si>
    <t>Brandao, Simone/0000-0002-3487-6129</t>
  </si>
  <si>
    <t>CNPq [442550/2014-6, 400116/2013-8]; BK 21+ grant (Eco-Bio Fusion Research Team at the Hanyang University)</t>
  </si>
  <si>
    <t>CNPq(Conselho Nacional de Desenvolvimento Cientifico e Tecnologico (CNPQ)); BK 21+ grant (Eco-Bio Fusion Research Team at the Hanyang University)</t>
  </si>
  <si>
    <t>SNB is a postdoctoral fellow of CNPq (process no. 374397/2013-9). The present project receives funds from CNPq (processes no. 442550/2014-6 and 400116/2013-8) to SNB and Helenice Vital. The BK 21+ grant (Eco-Bio Fusion Research Team at the Hanyang University) to IK also contributed funds for this study.</t>
  </si>
  <si>
    <t>1477-2000</t>
  </si>
  <si>
    <t>1478-0933</t>
  </si>
  <si>
    <t>SYST BIODIVERS</t>
  </si>
  <si>
    <t>Syst. Biodivers.</t>
  </si>
  <si>
    <t>10.1080/14772000.2015.1131756</t>
  </si>
  <si>
    <t>Biodiversity Conservation; Biology</t>
  </si>
  <si>
    <t>Biodiversity &amp; Conservation; Life Sciences &amp; Biomedicine - Other Topics</t>
  </si>
  <si>
    <t>DD3XD</t>
  </si>
  <si>
    <t>WOS:000369855800006</t>
  </si>
  <si>
    <t>Jennings, S; Varsani, A; Dugger, KM; Ballard, G; Ainley, DG</t>
  </si>
  <si>
    <t>Jennings, Scott; Varsani, Arvind; Dugger, Katie M.; Ballard, Grant; Ainley, David G.</t>
  </si>
  <si>
    <t>Sex-Based Differences in Adelie Penguin (Pygoscelis adeliae) Chick Growth Rates and Diet</t>
  </si>
  <si>
    <t>SIZE DIMORPHISM; ROSS SEA; COMPETITION; JUVENILE; BIRDS; ANTARCTICA; STRATEGIES; EVOLUTION; SELECTION; BEHAVIOR</t>
  </si>
  <si>
    <t>Sexually size-dimorphic species must show some difference between the sexes in growth rate and/or length of growing period. Such differences in growth parameters can cause the sexes to be impacted by environmental variability in different ways, and understanding these differences allows a better understanding of patterns in productivity between individuals and populations. We investigated differences in growth rate and diet between male and female Adelie Penguin (Pygoscelis adeliae) chicks during two breeding seasons at Cape Crozier, Ross Island, Antarctica. Adelie Penguins are a slightly dimorphic species, with adult males averaging larger than adult females in mass (similar to 11%) as well as bill (similar to 8%) and flipper length (similar to 3%). We measured mass and length of flipper, bill, tibiotarsus, and foot at 5-day intervals for 45 male and 40 female individually-marked chicks. Chick sex was molecularly determined from feathers. We used linear mixed effects models to estimate daily growth rate as a function of chick sex, while controlling for hatching order, brood size, year, and potential variation in breeding quality between pairs of parents. Accounting for season and hatching order, male chicks gained mass an average of 15.6 g d(-1) faster than females. Similarly, growth in bill length was faster for males, and the calculated bill size difference at fledging was similar to that observed in adults. There was no evidence for sex-based differences in growth of other morphological features. Adelie diet at Ross Island is composed almost entirely of two species-one krill (Euphausia crystallorophias) and one fish (Pleura-gramma antarctica), with fish having a higher caloric value. Using isotopic analyses of feather samples, we also determined that male chicks were fed a higher proportion of fish than female chicks. The related differences in provisioning and growth rates of male and female offspring provides a greater understanding of the ways in which ecological factors may impact the two sexes differently.</t>
  </si>
  <si>
    <t>[Jennings, Scott] Oregon State Univ, Dept Fisheries &amp; Wildlife, Oregon Cooperat Fish &amp; Wildlife Res Unit, Corvallis, OR 97331 USA; [Varsani, Arvind] Univ Canterbury, Sch Biol Sci, Private Bag 4800, Christchurch 8140, New Zealand; [Varsani, Arvind] Univ Canterbury, Biomol Interact Ctr, Private Bag 4800, Christchurch 8140, New Zealand; [Varsani, Arvind] Univ Cape Town, Dept Clin Lab Sci, Div Med Biochem, Electron Microscope Unit, ZA-7700 Observatory, South Africa; [Varsani, Arvind] Univ Florida, Dept Plant Pathol, Gainesville, FL 32611 USA; [Varsani, Arvind] Univ Florida, Emerging Pathogens Inst, Gainesville, FL 32611 USA; [Dugger, Katie M.] Oregon State Univ, Dept Fisheries &amp; Wildlife, Oregon Cooperat Fish &amp; Wildlife Res Unit, US Geol Survey, Corvallis, OR 97331 USA; [Ballard, Grant] Point Blue Conservat Sci, Petaluma, CA USA; [Ainley, David G.] HT Harvey &amp; Associates, Los Gatos, CA USA</t>
  </si>
  <si>
    <t>Oregon State University; University of Canterbury; University of Canterbury; University of Cape Town; State University System of Florida; University of Florida; State University System of Florida; University of Florida; Oregon State University; United States Department of the Interior; United States Geological Survey</t>
  </si>
  <si>
    <t>Jennings, S (corresponding author), Oregon State Univ, Dept Fisheries &amp; Wildlife, Oregon Cooperat Fish &amp; Wildlife Res Unit, Corvallis, OR 97331 USA.</t>
  </si>
  <si>
    <t>scott.f.jennings@gmail.com</t>
  </si>
  <si>
    <t>Varsani, Arvind/JOZ-5299-2023</t>
  </si>
  <si>
    <t>Varsani, Arvind/0000-0003-4111-2415</t>
  </si>
  <si>
    <t>National Science Foundation [ANT-0944411]; Oregon State University, Fisheries and Wildlife Department; NSF; Directorate For Geosciences; Office of Polar Programs (OPP) [1543498, 0944411] Funding Source: National Science Foundation; Directorate For Geosciences; Office of Polar Programs (OPP) [1543459, 1543541] Funding Source: National Science Foundation</t>
  </si>
  <si>
    <t>National Science Foundation(National Science Foundation (NSF)); Oregon State University, Fisheries and Wildlife Department; NSF(National Science Foundation (NSF)); Directorate For Geosciences; Office of Polar Programs (OPP)(National Science Foundation (NSF)NSF - Directorate for Geosciences (GEO)); Directorate For Geosciences; Office of Polar Programs (OPP)(National Science Foundation (NSF)NSF - Directorate for Geosciences (GEO))</t>
  </si>
  <si>
    <t>Logistic support was supplied by Oregon State University, Point Blue Conservation Science, and the U.S. Antarctic Program, with field work and support for DGA funded by National Science Foundation grant ANT-0944411. SJ received additional support from Oregon State University, Fisheries and Wildlife Department (M. A. Ali Graduate Chair Award in Fisheries Biology). DGA is employed by a commercial company, H.T. Harvey and Associates. This funder provided support in the form of salaries for authors [DGA], using the funds from NSF, but did not have any additional role in the study design, data collection and analysis, decision to publish, or preparation of the manuscript. The specific roles of these authors are articulated in the 'author contributions' section.</t>
  </si>
  <si>
    <t>MAR 2</t>
  </si>
  <si>
    <t>e0149090</t>
  </si>
  <si>
    <t>10.1371/journal.pone.0149090</t>
  </si>
  <si>
    <t>DG0AN</t>
  </si>
  <si>
    <t>gold, Green Published, Green Submitted</t>
  </si>
  <si>
    <t>WOS:000371724200017</t>
  </si>
  <si>
    <t>Foppert, A; Donohue, KA; Watts, DR</t>
  </si>
  <si>
    <t>Foppert, Annie; Donohue, Kathleen A.; Watts, D. Randolph</t>
  </si>
  <si>
    <t>The Polar Front in Drake Passage: A composite-mean stream-coordinate view</t>
  </si>
  <si>
    <t>ANTARCTIC CIRCUMPOLAR CURRENT; INVERTED ECHO SOUNDERS; SOUTH ATLANTIC; TIME-SERIES; TRANSPORT; JETS; CIRCULATION; TOPOGRAPHY; ARRAY</t>
  </si>
  <si>
    <t>The Polar Front (PF) is studied using 4 years of data collected by a line of current-and pressure-recording inverted echo sounders in Drake Passage complemented with satellite altimetry. The location of the PF is bimodal in latitude. A northern and southern PF exist at separate times, separated geographically by a seafloor ridge-the Shackleton Fracture Zone-and hydrographically by 17 cm of geopotential height. Expressed in stream coordinates, vertical structures of buoyancy are determined with a gravest empirical mode analysis. Baroclinic velocity referenced to zero at 3500 dbar, width, and full transport (about 70 Sv) of the jets are statistically indistinguishable; the two jets alternate carrying the baroclinic transport rather than coexisting. Influences of local bathymetry and deep cyclogenesis manifest as differences in deep reference velocity structures. Downstream reference velocities of the PF-N and PF-S reach maximum speeds of 0.09 and 0.06 m s(-1), respectively. Buoyancy fields are indicative of upwelling and poleward residual circulation at the PF. Based on potential vorticity and mixing lengths, the northern and southern PF both act as a barrier to cross-frontal exchange while remaining susceptible to baroclinic instability.</t>
  </si>
  <si>
    <t>[Foppert, Annie; Donohue, Kathleen A.; Watts, D. Randolph] Univ Rhode Isl, Grad Sch Oceanog, Narragansett, RI 02882 USA</t>
  </si>
  <si>
    <t>University of Rhode Island</t>
  </si>
  <si>
    <t>Foppert, A (corresponding author), Univ Rhode Isl, Grad Sch Oceanog, Narragansett, RI 02882 USA.</t>
  </si>
  <si>
    <t>annie_foppert@uri.edu</t>
  </si>
  <si>
    <t>Donohue, Kathleen/0000-0001-7693-3868; Foppert, Annie/0000-0003-2958-1454</t>
  </si>
  <si>
    <t>National Science Foundation [ANT06-035437/-36594, ANT11-41802]; Directorate For Geosciences; Office of Polar Programs (OPP) [1141922] Funding Source: National Science Foundation</t>
  </si>
  <si>
    <t>National Science Foundation(National Science Foundation (NSF)); Directorate For Geosciences; Office of Polar Programs (OPP)(National Science Foundation (NSF)NSF - Directorate for Geosciences (GEO))</t>
  </si>
  <si>
    <t>We gratefully acknowledge the National Science Foundation for its financial support (ANT06-035437/-36594 and ANT11-41802). The cDrake data are available at the National Centers for Environmental Information, online at http://www.nodc.noaa.gov. Many thanks to Karen Tracey for her time, patience, and insight. We would also like to thank two anonymous peer reviewers for constructive comments.</t>
  </si>
  <si>
    <t>MAR</t>
  </si>
  <si>
    <t>10.1002/2015JC011333</t>
  </si>
  <si>
    <t>DO8YY</t>
  </si>
  <si>
    <t>WOS:000378072700015</t>
  </si>
  <si>
    <t>Irrgang, C; Saynisch, J; Thomas, M</t>
  </si>
  <si>
    <t>Irrgang, Christopher; Saynisch, Jan; Thomas, Maik</t>
  </si>
  <si>
    <t>Ensemble simulations of the magnetic field induced by global ocean circulation: Estimating the uncertainty</t>
  </si>
  <si>
    <t>DATA ASSIMILATION; ELECTROMAGNETIC INDUCTION; MOTIONAL INDUCTION; NORTH-ATLANTIC; KALMAN FILTER; TIDAL SIGNALS; SEIK FILTER; SEA-LEVEL; MODELS; CONDUCTIVITY</t>
  </si>
  <si>
    <t>The modeling of the ocean global circulation induced magnetic field is affected by various uncertainties that originate from errors in the input data and from the model itself. The amount of aggregated uncertainties and their effect on the modeling of electromagnetic induction in the ocean is unknown. For many applications, however, the knowledge of uncertainties in the modeling is essential. To investigate the uncertainty in the modeling of motional induction at the sea surface, simulation experiments are performed on the basis of different error scenarios and error covariance matrices. For these error scenarios, ensembles of an ocean general circulation model and an electromagnetic induction model are generated. This ensemble-based approach allows to estimate both the spatial distribution and temporal variation of the uncertainty in the ocean-induced magnetic field. The largest uncertainty in the ocean-induced magnetic field occurs in the area of the Antarctic Circumpolar Current. Local maxima reach values of up to 0.7 nT. The estimated global annual mean uncertainty in the ocean-induced magnetic field ranges from 0.1 to 0.4 nT. The relative amount of uncertainty reaches up to 30% of the signal strength with largest values in regions in the northern hemisphere. The major source of uncertainty is found to be introduced by wind stress from the atmospheric forcing of the ocean model. In addition, the temporal evolution of the uncertainty in the induced magnetic field shows distinct seasonal variations. Specific regions are identified which are robust with respect to the introduced uncertainties.</t>
  </si>
  <si>
    <t>[Irrgang, Christopher; Saynisch, Jan; Thomas, Maik] Helmholtz Ctr Potsdam, GFZ German Res Ctr Geosci, Sect Earth Syst Modelling 1 3, Potsdam, Germany; [Irrgang, Christopher; Thomas, Maik] Free Univ Berlin, Inst Meteorol, Berlin, Germany</t>
  </si>
  <si>
    <t>Helmholtz Association; Helmholtz-Center Potsdam GFZ German Research Center for Geosciences; Free University of Berlin</t>
  </si>
  <si>
    <t>Irrgang, C (corresponding author), Helmholtz Ctr Potsdam, GFZ German Res Ctr Geosci, Sect Earth Syst Modelling 1 3, Potsdam, Germany.;Irrgang, C (corresponding author), Free Univ Berlin, Inst Meteorol, Berlin, Germany.</t>
  </si>
  <si>
    <t>irrgang@gfz-potsdam.de</t>
  </si>
  <si>
    <t>Saynisch-Wagner, Jan/JVM-7971-2024</t>
  </si>
  <si>
    <t>Irrgang, Christopher/0000-0001-8274-1678; Saynisch-Wagner, Jan/0000-0001-9619-0336</t>
  </si>
  <si>
    <t>Helmholtz graduate research school GeoSim; Helmholtz Centre Potsdam GFZ German Research Centre for Geosciences</t>
  </si>
  <si>
    <t>The authors thank two anonymous reviewers for their insightful and helpful remarks, which helped to improve this manuscript. This work has been funded by the Helmholtz graduate research school GeoSim and by the Helmholtz Centre Potsdam GFZ German Research Centre for Geosciences. This study utilizes the ERA-Interim data from the European Centre for Medium-Range Weather Forecasts and the CFSR data from the National Centers for Environmental Prediction. The simulations were performed on the facilities from the German High Performance Computing Centre for Climate-and Earth System Research. Researchers interested in using data from the OMCT may contact Maik Thomas (maik.thomas@gfz-potsdam.de).</t>
  </si>
  <si>
    <t>10.1002/2016JC011633</t>
  </si>
  <si>
    <t>WOS:000378072700020</t>
  </si>
  <si>
    <t>Ahn, IY; Moon, HW; Jeon, M; Kang, SH</t>
  </si>
  <si>
    <t>Ahn, In-Young; Moon, Hye-Won; Jeon, Misa; Kang, Sung-Ho</t>
  </si>
  <si>
    <t>First Record of Massive Blooming of Benthic Diatoms and Their Association with Megabenthic Filter Feeders on the Shallow Seafloor of an Antarctic Fjord: Does Glacier Melting Fuel the Bloom?</t>
  </si>
  <si>
    <t>OCEAN SCIENCE JOURNAL</t>
  </si>
  <si>
    <t>Antarctic fjord; glacier melting; benthic diatom; Paralia sulcata; benthic megafauna; Marian Cove; King George Island</t>
  </si>
  <si>
    <t>KING-GEORGE-ISLAND; SOUTH SHETLAND ISLANDS; MARIAN COVE; CLIMATE-CHANGE; SIGNY ISLAND; MAXWELL BAY; POTTER COVE; FOOD SOURCE; ASSEMBLAGES; DISTURBANCE</t>
  </si>
  <si>
    <t>We report a conspicuous benthic diatom bloom on an Antarctic fjord shallow seafloor, which has not been reported elsewhere in Antarctica. A thick and massive growth of benthic diatoms was covering or being entangled with a variety of common benthic megafauna such as stalked ascidians, sponges, tubedwelling polychaetes, gastropods, bryozoans, and others. This finding is an outcome of recent investigations on benthic communities in Marian Cove, King George Island, where glacier retreat has been proceeding quickly for the past several decades. Dominance of benthic diatoms during the austral summer has been frequently reported in shallow Antarctic nearshore waters, which in turn indicates their potential as a primary food item for secondary producers living in this harsh environment. However, previous blooming records of the benthic diatoms were primarily based on data from water column samples. We are the first to report observational evidence of shallow seafloor substrates, including the massive blooming of benthic diatoms and their associations with common benthic megafauna in an Antarctic fjord.</t>
  </si>
  <si>
    <t>[Ahn, In-Young; Jeon, Misa; Kang, Sung-Ho] KIOST, Korea Polar Res Inst, Div Polar Ocean Environm, Inchon 21990, South Korea; [Ahn, In-Young; Moon, Hye-Won; Kang, Sung-Ho] Univ Sci &amp; Technol, Dept Polar Sci, Daejeon 34113, South Korea; [Moon, Hye-Won] Marine Biodivers Inst Korea, Marine Invertebrate Team 1, Seocheon 33662, South Korea</t>
  </si>
  <si>
    <t>Korea Institute of Ocean Science &amp; Technology (KIOST); Korea Polar Research Institute (KOPRI); University of Science &amp; Technology (UST); Marine Biodiversity Institute of Korea (MABIK)</t>
  </si>
  <si>
    <t>Ahn, IY (corresponding author), KIOST, Korea Polar Res Inst, Div Polar Ocean Environm, Inchon 21990, South Korea.;Ahn, IY (corresponding author), Univ Sci &amp; Technol, Dept Polar Sci, Daejeon 34113, South Korea.</t>
  </si>
  <si>
    <t>iahn@kopri.re.kr</t>
  </si>
  <si>
    <t>project (MOF) - Ministry of Oceans and Fisheries, Korea [PM 15040]</t>
  </si>
  <si>
    <t>project (MOF) - Ministry of Oceans and Fisheries, Korea</t>
  </si>
  <si>
    <t>The authors extend special thanks to the divers, Mr. Seung-Goo Ra and Mr. Kwan-Young Song, for their hard work in all underwater surveys and sampling. We also thank the overwintering members at the King Sejong Station for their field assistance. The manuscript was significantly improved by the critical comments from two anonymous reviewers. This work was conducted as part of a project (MOF No. PM 15040) supported by the Ministry of Oceans and Fisheries, Korea.</t>
  </si>
  <si>
    <t>KOREA OCEAN RESEARCH DEVELOPMENT INST</t>
  </si>
  <si>
    <t>SEOUL</t>
  </si>
  <si>
    <t>P O BOX 29, SEOUL, 425-600, SOUTH KOREA</t>
  </si>
  <si>
    <t>1738-5261</t>
  </si>
  <si>
    <t>2005-7172</t>
  </si>
  <si>
    <t>OCEAN SCI J</t>
  </si>
  <si>
    <t>Ocean Sci. J.</t>
  </si>
  <si>
    <t>10.1007/s12601-016-0023-y</t>
  </si>
  <si>
    <t>DP1UP</t>
  </si>
  <si>
    <t>WOS:000378275200010</t>
  </si>
  <si>
    <t>Schwanck, F; Simoes, JC; Handley, M; Mayewski, PA; Bernardo, RT; Aquino, FE</t>
  </si>
  <si>
    <t>Schwanck, Franciele; Simoes, Jefferson Cardia; Handley, Michael; Mayewski, Paul Andrew; Bernardo, Ronaldo Torma; Aquino, Francisco Eliseu</t>
  </si>
  <si>
    <t>Drilling, processing and first results for Mount Johns ice core in West Antarctica Ice Sheet</t>
  </si>
  <si>
    <t>BRAZILIAN JOURNAL OF GEOLOGY</t>
  </si>
  <si>
    <t>Trace elements; Ice core; West Antarctica ice sheet; ICP-SFMS</t>
  </si>
  <si>
    <t>HEAVY-METALS; AEROSOL; DUST; VARIABILITY; CIRCULATION; TRANSPORT; CLIMATE; SURFACE; FIRN; SNOW</t>
  </si>
  <si>
    <t>An ice core, 92.26 m in length, was collected near the ice divide of the West Antarctica ice sheet during the 2008/2009 austral summer. This paper described the fieldwork at the Mount Johns site (79 degrees 55'S; 94 degrees 23'W) and presented the first results of the upper 45.00 m record covering approximately 125 years (1883 - 2008), dated by annual layer counting and volcanic reference horizons. Trace element concentrations in 2,137 samples were determined using inductively coupled plasma mass spectrometry. The concentrations obtained for Al, Ba, Ca, Fe, K, Mg, Mn, Na, Sr and Ti are controlled by climate variations, the transport distance, and the natural sources of these aerosols. Natural dust contributions, mainly derived from the arid areas of Patagonia and Australia, are important sources for aluminum, barium, iron, manganese and titanium. Marine aerosols from sea ice and transported by air masses are important sources of sodium and magnesium. Calcium, potassium and strontium showed considerable inputs of both continental dust and marine aerosols.</t>
  </si>
  <si>
    <t>[Schwanck, Franciele; Simoes, Jefferson Cardia; Bernardo, Ronaldo Torma; Aquino, Francisco Eliseu] Univ Fed Rio Grande do Sul, Inst Geociencias, Ctr Polar &amp; Climat, Porto Alegre, RS, Brazil; [Handley, Michael; Mayewski, Paul Andrew] Univ Maine, Climate Change Inst, Orono, ME USA; [Handley, Michael; Mayewski, Paul Andrew] Univ Maine, Dept Earth Sci, Orono, ME USA</t>
  </si>
  <si>
    <t>Universidade Federal do Rio Grande do Sul; University of Maine System; University of Maine Orono; University of Maine System; University of Maine Orono</t>
  </si>
  <si>
    <t>Schwanck, F (corresponding author), Univ Fed Rio Grande do Sul, Inst Geociencias, Ctr Polar &amp; Climat, Porto Alegre, RS, Brazil.</t>
  </si>
  <si>
    <t>franschwanck@gmail.com; jefferson.simoes@ufrgs.br; handley@maine.edu; paul.mayewski@maine.edu; ronaldo.bernardo@ufrgs.br; francisco.aquino@ufrgs.br</t>
  </si>
  <si>
    <t>Simoes, Jefferson Cardia/D-7232-2013; Mayewski, Paul Andrew/HRD-6969-2023</t>
  </si>
  <si>
    <t>Simoes, Jefferson Cardia/0000-0001-5555-3401; Bernardo, Ronaldo/0000-0002-1143-7916; Schwanck, Franciele/0000-0003-1046-8080</t>
  </si>
  <si>
    <t>Conselho Nacional de Desenvolvimento Cientifico e Tecnologico (CNPq) [407888/2013-6]</t>
  </si>
  <si>
    <t>Conselho Nacional de Desenvolvimento Cientifico e Tecnologico (CNPq)(Conselho Nacional de Desenvolvimento Cientifico e Tecnologico (CNPQ))</t>
  </si>
  <si>
    <t>This research is part of the Brazilian Antarctic Program (PROANTAR) and was financed with funds from the Conselho Nacional de Desenvolvimento Cientifico e Tecnologico (CNPq), project 407888/2013-6. The authors are gratefully for the participation in fieldwork of the colleagues Luiz Fernando M. Reis and Marcelo Arevalo.</t>
  </si>
  <si>
    <t>SOC BRASILEIRA GEOLOGIA</t>
  </si>
  <si>
    <t>SAO PAULO</t>
  </si>
  <si>
    <t>CAIXA POSTAL 11348, SAO PAULO, SP 05422-970, BRAZIL</t>
  </si>
  <si>
    <t>2317-4889</t>
  </si>
  <si>
    <t>2317-4692</t>
  </si>
  <si>
    <t>BRAZ J GEOL</t>
  </si>
  <si>
    <t>Braz. J. Geol.</t>
  </si>
  <si>
    <t>10.1590/2317-4889201620150035</t>
  </si>
  <si>
    <t>DO2VR</t>
  </si>
  <si>
    <t>WOS:000377638800005</t>
  </si>
  <si>
    <t>Kim, H; Jung, WS</t>
  </si>
  <si>
    <t>Kim, Hyunuk; Jung, Woo-Sung</t>
  </si>
  <si>
    <t>Bibliometric Analysis of Collaboration Network and the Role of Research Station in Antarctic Science</t>
  </si>
  <si>
    <t>INDUSTRIAL ENGINEERING AND MANAGEMENT SYSTEMS</t>
  </si>
  <si>
    <t>Antarctic Science; Network Analysis; Community Detection; Keyword Analysis; Antarctic Research Stations</t>
  </si>
  <si>
    <t>SCIENTIFIC-RESEARCH</t>
  </si>
  <si>
    <t>Due to the large scale of Antarctic science, scientific collaboration is required for conducting scientific research. In this study, we attempted to investigate collaboration network and the role of research station in Antarctic science based on bibliometric data from 1995 to 2014. We confirmed that geographical proximity tends to be important for scientific collaboration by employing community detection in the network. This result raises the question about what the role of research station in Antarctica is. We tried to reveal its role by focusing on five countries, Belgium, China, Czech Republic, India, and Korea that constructed new research stations during the last decade. Relative growth rate, a value to measure the growth of publications, didn't differ much around the construction period compared to those in other periods for these countries except Belgium. However, we found geographical keywords emerged around the construction for all five countries. These keywords were utilized to observe national research activities in Antarctica. They show where countries started to be concerned about after the construction.</t>
  </si>
  <si>
    <t>[Kim, Hyunuk] Pohang Univ Sci &amp; Technol, Dept Ind &amp; Management Engn, Pohang, South Korea; [Jung, Woo-Sung] Pohang Univ Sci &amp; Technol, Dept Phys, Dept Ind &amp; Management Engn, Pohang, South Korea</t>
  </si>
  <si>
    <t>Pohang University of Science &amp; Technology (POSTECH); Pohang University of Science &amp; Technology (POSTECH)</t>
  </si>
  <si>
    <t>Jung, WS (corresponding author), Pohang Univ Sci &amp; Technol, Dept Phys, Dept Ind &amp; Management Engn, Pohang, South Korea.</t>
  </si>
  <si>
    <t>wsjung@postech.ac.kr</t>
  </si>
  <si>
    <t>Jung, Woo-Sung/B-1251-2008</t>
  </si>
  <si>
    <t>Jung, Woo-Sung/0000-0001-9590-3859; Kim, Hyunuk/0000-0002-4863-4729</t>
  </si>
  <si>
    <t>KOREAN INST INDUSTRIAL ENGINEERS</t>
  </si>
  <si>
    <t>VICTORIA BLDG RM 509, 705-1 YEOKSAM-DONG, KANGNAM-GU, SEOUL, 135-080, SOUTH KOREA</t>
  </si>
  <si>
    <t>1598-7248</t>
  </si>
  <si>
    <t>2234-6473</t>
  </si>
  <si>
    <t>IND ENG MANAG SYST</t>
  </si>
  <si>
    <t>Ind. Eng. Manag. Syst.</t>
  </si>
  <si>
    <t>10.7232/iems.2016.15.1.092</t>
  </si>
  <si>
    <t>Engineering, Industrial</t>
  </si>
  <si>
    <t>Engineering</t>
  </si>
  <si>
    <t>DO8UT</t>
  </si>
  <si>
    <t>WOS:000378060600009</t>
  </si>
  <si>
    <t>Bubach, D; Catán, SP; Di Fonzo, C; Dopchiz, L; Arribére, M; Ansaldo, M</t>
  </si>
  <si>
    <t>Bubach, Debora; Perez Catan, Soledad; Di Fonzo, Carla; Dopchiz, Laura; Arribere, Maria; Ansaldo, Martin</t>
  </si>
  <si>
    <t>Elemental composition of Usnea sp lichen from Potter Peninsula, 25 de Mayo (King George) Island, Antarctica</t>
  </si>
  <si>
    <t>ENVIRONMENTAL POLLUTION</t>
  </si>
  <si>
    <t>Pollution; Marine airborne; South shetlands; Biomonitor; Lichen</t>
  </si>
  <si>
    <t>ROSS SEA REGION; TRACE-ELEMENTS; HEAVY-METALS; ENVIRONMENTAL COMPARTMENTS; SHETLAND ISLANDS; DECEPTION ISLAND; MERCURY; DEPOSITION; CONTAMINATION; SOILS</t>
  </si>
  <si>
    <t>Several pollutants, which include metals, are present in the Antarctic atmosphere, snow, marine and terrestrial organisms. This work reports the elements incorporated by Usnea sp thalli in Potter Peninsula, 25 de Mayo (King George) Island, South Shetlands, Antarctica. Geological origin was analyzed as possible sources of elements. For this purpose, correlations were done using a geochemical tracer, principal component analysis and enrichment factors were computed. Lithophile elements from particulate matter were present in most of the sampling sites. Bromine, Se and Hg showed the highest enrichment factors suggesting other sources than the particulate matter. Mercury values found in Usnea sp were in the same range as those reported for Deception Island (South Shetlands) and remote areas from the Patagonia Andes. (C) 2015 Elsevier Ltd. All rights reserved.</t>
  </si>
  <si>
    <t>[Bubach, Debora; Perez Catan, Soledad; Arribere, Maria] Comis Nacl Energia Atom, Ctr Atom Bariloche, Lab Anal Activac Neutron, Av Bustillo Km 9-5, RA-8400 San Carlos De Bariloche, Rio Negro, Argentina; [Di Fonzo, Carla; Dopchiz, Laura; Ansaldo, Martin] Inst Antartico Argentina DNA, Lab Ecofisiol &amp; Ecotoxicol, Cerrito 1248, RA-1010 Buenos Aires, DF, Argentina; [Dopchiz, Laura; Ansaldo, Martin] Univ Argentina JF Kennedy, Dept Biol, Lab Ecotoxicol, Sarmiento 4562, RA-1197 Buenos Aires, DF, Argentina</t>
  </si>
  <si>
    <t>Comision Nacional de Energia Atomica (CNEA); Centro Atomico Bariloche; Instituto Antartico Argentino</t>
  </si>
  <si>
    <t>Bubach, D (corresponding author), Comis Nacl Energia Atom, Ctr Atom Bariloche, Lab Anal Activac Neutron, Av Bustillo Km 9-5, RA-8400 San Carlos De Bariloche, Rio Negro, Argentina.</t>
  </si>
  <si>
    <t>bubachd@cab.cnea.gov.ar; spcatan@cab.cnea.gov; carladifonzo@hotmail.com; lapadop@gmail.com; arribere@cab.cnea.gov.ar; martinansaldo@gmail.com.ar</t>
  </si>
  <si>
    <t>Perez Catan, Soledad/0000-0002-5410-2518</t>
  </si>
  <si>
    <t>(FONCyT/DNAd) project [PICTO 0091]</t>
  </si>
  <si>
    <t>(FONCyT/DNAd) project</t>
  </si>
  <si>
    <t>The authors acknowledge to the RA-6 reactor staff for the irradiation of the samples and Instituto Antartico Argentino staff, which collaborated in the samplings. Also, we thank to the reviewers for critical comments of the manuscript. This work was partially funded by PICTO 0091 (FONCyT/DNAd) project.</t>
  </si>
  <si>
    <t>0269-7491</t>
  </si>
  <si>
    <t>1873-6424</t>
  </si>
  <si>
    <t>ENVIRON POLLUT</t>
  </si>
  <si>
    <t>Environ. Pollut.</t>
  </si>
  <si>
    <t>10.1016/j.envpol.2015.11.045</t>
  </si>
  <si>
    <t>DM9RO</t>
  </si>
  <si>
    <t>WOS:000376703600028</t>
  </si>
  <si>
    <t>McGee, J; Steffek, J</t>
  </si>
  <si>
    <t>McGee, Jeffrey; Steffek, Jens</t>
  </si>
  <si>
    <t>The Copenhagen Turn in Global Climate Governance and the Contentious History of Differentiation in International Law</t>
  </si>
  <si>
    <t>JOURNAL OF ENVIRONMENTAL LAW</t>
  </si>
  <si>
    <t>UNFCCC; Copenhagen Accord; regime design; differentiation of duties; environmental justice; political economy; Karl Polanyi</t>
  </si>
  <si>
    <t>ECONOMIC ORDER; UNITED-STATES; FUTURE; REGIME; COLD</t>
  </si>
  <si>
    <t>The 2009 Copenhagen Accord marked a significant shift in global climate governance which has been substantially adopted in the 2015 Paris Agreement. At Copenhagen, binding targets for states to reduce emissions were replaced by voluntary pledges. We argue that the Polanyian 'double movement' offers a useful lens to understand the Copenhagen shift in global climate governance as part of ongoing contestation in the international law system between principles of economic liberalisation and redistributive intervention. In the second half of the 20th century, redistributive design of international legal institutions became evident in a number of issue areas including trade law, oceans law and the seminal climate treaties. However, there has been ongoing US lead opposition to 'redistributive multilateralism' (RM), particularly over the last decade of climate negotiations. The Copenhagen model of voluntary pledges, therefore, needs to be viewed as an outcome of this opposition to RM and a related weakening of differentiation in international environmental law.</t>
  </si>
  <si>
    <t>[McGee, Jeffrey] Univ Tasmania, Ctr Marine Socioecol, Inst Marine &amp; Antarctic Studies, Climate Change Marine &amp; Antarctic Law,Fac Law, Hobart, Tas 7001, Australia; [Steffek, Jens] Tech Univ Darmstadt, Inst Polit Wissensch, Transnat Governance, Darmstadt, Germany</t>
  </si>
  <si>
    <t>University of Tasmania; Technical University of Darmstadt</t>
  </si>
  <si>
    <t>McGee, J (corresponding author), Univ Tasmania, Ctr Marine Socioecol, Inst Marine &amp; Antarctic Studies, Climate Change Marine &amp; Antarctic Law,Fac Law, Hobart, Tas 7001, Australia.</t>
  </si>
  <si>
    <t>jeffrey.mcgee@utas.edu.au</t>
  </si>
  <si>
    <t>McGee, Jeffrey/K-7322-2015</t>
  </si>
  <si>
    <t>McGee, Jeffrey/0000-0002-2093-5896</t>
  </si>
  <si>
    <t>Deutsche Forschungsgemeinschaft (DFG) through its Cluster of Excellence 'The Formation of Normative Orders' [EXC 243]</t>
  </si>
  <si>
    <t>Deutsche Forschungsgemeinschaft (DFG) through its Cluster of Excellence 'The Formation of Normative Orders'</t>
  </si>
  <si>
    <t>We would like to thank Eliezer Sanchez-Lasaballett and Joseph Wenta for their excellent research assistance in the preparation of this article. Any errors remain our own. Jens Steffek's research for this article was supported by the Deutsche Forschungsgemeinschaft (DFG) through its Cluster of Excellence 'The Formation of Normative Orders' (EXC 243).</t>
  </si>
  <si>
    <t>0952-8873</t>
  </si>
  <si>
    <t>1464-374X</t>
  </si>
  <si>
    <t>J ENVIRON LAW</t>
  </si>
  <si>
    <t>J. Environ. Law</t>
  </si>
  <si>
    <t>10.1093/jel/eqw003</t>
  </si>
  <si>
    <t>Environmental Sciences; Environmental Studies; Law; Multidisciplinary Sciences</t>
  </si>
  <si>
    <t>Environmental Sciences &amp; Ecology; Government &amp; Law; Science &amp; Technology - Other Topics</t>
  </si>
  <si>
    <t>DM9BA</t>
  </si>
  <si>
    <t>WOS:000376657500005</t>
  </si>
  <si>
    <t>Chen, JQ; Xie, SR; Li, HY; Luo, J; Zhao, CY</t>
  </si>
  <si>
    <t>Chen, Jiqing; Xie, Shaorong; Li, Hengyu; Luo, Jun; Zhao, Changyang</t>
  </si>
  <si>
    <t>Roughness effect on airfoil aerodynamic performance for land-yacht robot</t>
  </si>
  <si>
    <t>JOURNAL OF RENEWABLE AND SUSTAINABLE ENERGY</t>
  </si>
  <si>
    <t>The land-yacht robot presented in this paper aims at an Antarctic expedition which is driven by wing-sail. The wing-sail is composed by airfoil and surface roughness, which is one of the main factors affecting the aerodynamic performance of the airfoil. In order to improve the efficiency of the airfoil, stress analysis of the wing-sail and airfoil mechanism is researched and the type of airfoil is determined. For roughness size, equivalent particle roughness is introduced and a boundary layer flow separation model is a simulated roughness model. Then N-S equations and the S-A turbulence model are predicted airfoil aerodynamics in CFD (Computational Fluid Dynamics). When different sizes of a roughness strip are deposed on an airfoil surface, we obtain lift and drag coefficient, sensitive angle of attack of 6 degrees, and 0.5 mm of sensitive roughness size. When roughness is arranged at different positions, we discover two sensitive positions, 10% chord length in suction surface and near trailing edge in pressure surface. Further analysis of the two sensitive positions in 10% chord length and aerodynamic is worse with the increasing roughness size. Near the trailing edge, there is a threshold of 0.7 mm. Lower than 0.7 mm, aerodynamics is improving; in contrast, it is worse. Finally, simulation results are verified by experiments. It shows that the predicted value conforms to the experiments and this research can provide a valuable reference for the mechanism of the land-yacht robot. (C) 2016 AIP Publishing LLC.</t>
  </si>
  <si>
    <t>[Chen, Jiqing; Xie, Shaorong; Li, Hengyu; Luo, Jun; Zhao, Changyang] Shanghai Univ, Sch Mechatron Engn &amp; Automat, Shanghai 200072, Peoples R China</t>
  </si>
  <si>
    <t>Chen, JQ (corresponding author), Shanghai Univ, Sch Mechatron Engn &amp; Automat, Shanghai 200072, Peoples R China.</t>
  </si>
  <si>
    <t>National Natural Science Foundation of China [61233010]; National Nature Science Foundation of China [61375093]; Innovation Fund of Shanghai University [SDCX201316]; Shanghai Natural Science Foundation [13ZR1454200]</t>
  </si>
  <si>
    <t>National Natural Science Foundation of China(National Natural Science Foundation of China (NSFC)); National Nature Science Foundation of China(National Natural Science Foundation of China (NSFC)); Innovation Fund of Shanghai University(Shanghai University); Shanghai Natural Science Foundation(Natural Science Foundation of Shanghai)</t>
  </si>
  <si>
    <t>This work was partially supported by the Key Projects of the National Natural Science Foundation of China (Grant No. 61233010), the National Nature Science Foundation of China (Grant No. 61375093), the Innovation Fund of Shanghai University (Grant No. SDCX201316), and Shanghai Natural Science Foundation (Grant No. 13ZR1454200).</t>
  </si>
  <si>
    <t>AMER INST PHYSICS</t>
  </si>
  <si>
    <t>1305 WALT WHITMAN RD, STE 300, MELVILLE, NY 11747-4501 USA</t>
  </si>
  <si>
    <t>1941-7012</t>
  </si>
  <si>
    <t>J RENEW SUSTAIN ENER</t>
  </si>
  <si>
    <t>J. Renew. Sustain. Energy</t>
  </si>
  <si>
    <t>10.1063/1.4941794</t>
  </si>
  <si>
    <t>DM8TE</t>
  </si>
  <si>
    <t>WOS:000376636600036</t>
  </si>
  <si>
    <t>Cavieres, LA; Sáez, P; Sanhueza, C; Sierra-Almeida, A; Rabert, C; Corcuera, LJ; Alberdi, M; Bravo, LA</t>
  </si>
  <si>
    <t>Cavieres, Lohengrin A.; Saez, Patricia; Sanhueza, Carolina; Sierra-Almeida, Angela; Rabert, Claudia; Corcuera, Luis J.; Alberdi, Miren; Bravo, Leon A.</t>
  </si>
  <si>
    <t>Ecophysiological traits of Antarctic vascular plants: their importance in the responses to climate change</t>
  </si>
  <si>
    <t>PLANT ECOLOGY</t>
  </si>
  <si>
    <t>Antarctic plants; Antarctica; Climate change; Ecophysiological traits</t>
  </si>
  <si>
    <t>KING-GEORGE-ISLAND; QUITENSIS KUNTH BARTL.; DESCHAMPSIA-ANTARCTICA; COLOBANTHUS-QUITENSIS; HIGH LIGHT; PHOTOSYNTHETIC RESPONSES; COLD RESISTANCE; MARITIME; TEMPERATURE; PENINSULA</t>
  </si>
  <si>
    <t>Only two vascular plants have been able to colonize some of the ice and snow-free lands of the Antarctic Peninsula: the hair grass Deschampsia antarctica (Poaceae) and the pearlwort Colobanthus quitensis (Caryophyllaceae). This low species diversity may be due to the permanent low temperature even during summer time. Beside low temperature, Antarctic plants must be able to cope with other severe physiological stressors such as desiccation, low soil water availability, and high irradiance. However, these factors are found in other cold areas of the globe. Thus, what is so special about these two species that has enabled them to be the only successful flowering plants in the Antarctica? Although this question has been addressed in other articles, we still lack of an integrative ecophysiological framework that helps to disentangle what it is unique of these species in terms of adaptations to the Antarctic environments, and how these adaptations will help or preclude their responses to future climate change. Several adaptations seem to help to withstand the Antarctic climate: xerophytic anatomical characteristics, sufficient freezing tolerance, ability to maintain positive net photosynthesis at near 0 degrees C, adequate management of excess photosynthetic active radiation, resistance to photoinhibitory conditions, tolerance to water stress, and ability to form associations with endophytes that help in their mineral nutrition. Besides the very effective stress tolerance strategies, several ecophysiological traits show considerable response flexibility. The evidence reviewed here indicates that small increases in air temperature may be beneficial in terms of photosynthetic performance. However, increased frequency of leaf temperatures over 20 degrees C could be harmful affecting photosynthesis and reducing the ability of these plants to tolerate freezing temperatures and photoprotection at low temperatures, attributes by which they are able to colonize these very harsh environment.</t>
  </si>
  <si>
    <t>[Cavieres, Lohengrin A.; Sanhueza, Carolina; Sierra-Almeida, Angela; Corcuera, Luis J.] Univ Concepcion, Fac Ciencias Nat &amp; Oceanog, Dept Bot, Concepcion, Chile; [Cavieres, Lohengrin A.; Sanhueza, Carolina; Sierra-Almeida, Angela] IEB, Santiago, Chile; [Saez, Patricia] Univ Concepcion, Fac Ciencias Forest, Ctr Biotecnol, Dept Silvicultura, Concepcion, Chile; [Rabert, Claudia; Alberdi, Miren; Bravo, Leon A.] Univ La Frontera, Fac Ciencias Agr &amp; Forest, Dept Ciencias Agron &amp; Recursos Nat, Lab Fisiol &amp; Biol Mol Vegetal,Inst Agroind, Casilla 54-D, Temuco, Chile; [Rabert, Claudia; Alberdi, Miren; Bravo, Leon A.] Univ La Frontera, Ctr Plant Soil Interact &amp; Nat Resources Biotechno, Sci &amp; Technol Bioresource Nucleus, Casilla 54-D, Temuco, Chile</t>
  </si>
  <si>
    <t>Universidad de Concepcion; Universidad de Concepcion; Universidad de La Frontera; Universidad de La Frontera</t>
  </si>
  <si>
    <t>Cavieres, LA (corresponding author), IEB, Santiago, Chile.</t>
  </si>
  <si>
    <t>lcaviere@udec.cl</t>
  </si>
  <si>
    <t>Sanhueza, Carolina/AAG-7456-2019; Sanhueza, Carolina/JQW-9959-2023; Bravo, León/AAO-8437-2020; Corcuera, Luis J/G-1714-2014; Bravo, Leon/H-9251-2018; Cavieres, Lohengrin A./A-9542-2010; Sierra, Angela/F-8409-2014</t>
  </si>
  <si>
    <t>Sanhueza, Carolina/0000-0002-1564-2490; Bravo, León/0000-0003-4705-4842; Bravo, Leon/0000-0003-4705-4842; Cavieres, Lohengrin A./0000-0001-9122-3020; Sierra, Angela/0000-0002-4207-0950; Rabert, Claudia/0000-0001-8179-9245</t>
  </si>
  <si>
    <t>PIA-ART [11-02]; F ICM [P05-002]; CONICYT [PFB-023]</t>
  </si>
  <si>
    <t>PIA-ART; F ICM; CONICYT(Comision Nacional de Investigacion Cientifica y Tecnologica (CONICYT))</t>
  </si>
  <si>
    <t>Research funded by PIA-ART 11-02. Additional support from F ICM P05-002 and CONICYT PFB-023 funding the Institute of Ecology and Biodiversity (IEB) is also acknowledged.</t>
  </si>
  <si>
    <t>1385-0237</t>
  </si>
  <si>
    <t>1573-5052</t>
  </si>
  <si>
    <t>PLANT ECOL</t>
  </si>
  <si>
    <t>Plant Ecol.</t>
  </si>
  <si>
    <t>10.1007/s11258-016-0585-x</t>
  </si>
  <si>
    <t>Plant Sciences; Ecology; Forestry</t>
  </si>
  <si>
    <t>Plant Sciences; Environmental Sciences &amp; Ecology; Forestry</t>
  </si>
  <si>
    <t>DM3UJ</t>
  </si>
  <si>
    <t>WOS:000376271900010</t>
  </si>
  <si>
    <t>Kozlovskii, AG; Antipova, TV; Zhelifonova, VP; Baskunov, BP; Kochkina, GA; Ozerskaya, SM</t>
  </si>
  <si>
    <t>Kozlovskii, A. G.; Antipova, T. V.; Zhelifonova, V. P.; Baskunov, B. P.; Kochkina, G. A.; Ozerskaya, S. M.</t>
  </si>
  <si>
    <t>Exometabolites of the fungal isolates (Genus Penicillium, Section Chrysogena) from low-temperature ecotopes</t>
  </si>
  <si>
    <t>chrysogine; roquefortine; penicillin G; P. chrysogenum; P. nalgiovense; permafrost deposits; chemotaxonomy</t>
  </si>
  <si>
    <t>SECONDARY METABOLITES; TAXONOMY</t>
  </si>
  <si>
    <t>Exometabolites of 22 strains of the genus Penicillium, section Chrysogena isolated from low-temperature ecotopes of various geographical regions were analyzed. The ecotopes included permafrost deposits, frozen volcanic ash, a fossil horse, cryopeg, and water from an Antarctic lake. The studied strains were found to contain exometabolites belonging to the groups of penicillins (penicillin G), chrysogines (chrysogine, 3-acetyl-quinazolin-4(3H)-one, 2-pyruvoylaminobenzamide, 2-(2-hydroxypropionylamino)-benzamide, and questiomycin A), roquefortines (3,12-dihydroroquefortine, roquefortine, glandicolines A and B, and meleagrine), xanthocillins (xanthocillin X), and simple tryptophan derivatives (N-acetyltriptamine and indoleacetic acid). In five P. chrysogenum strains and three P. nalgiovense strains, a correlation was found between exometabolite spectra and morphological characteristics of the cultures isolated from modern ecotopes. For other strains species, identification was based on morphological features due to the absence of biosynthesis of penicillin G on the major chemotaxonomic markers for these species.</t>
  </si>
  <si>
    <t>[Kozlovskii, A. G.; Antipova, T. V.; Zhelifonova, V. P.; Baskunov, B. P.; Kochkina, G. A.; Ozerskaya, S. M.] Russian Acad Sci, Skryabin Inst Biochem &amp; Physiol Microorganisms, Pushchino 142292, Russia</t>
  </si>
  <si>
    <t>Russian Academy of Sciences; Pushchino Scientific Center for Biological Research (PSCBI) of the Russian Academy of Sciences</t>
  </si>
  <si>
    <t>Kozlovskii, AG (corresponding author), Russian Acad Sci, Skryabin Inst Biochem &amp; Physiol Microorganisms, Pushchino 142292, Russia.</t>
  </si>
  <si>
    <t>kozlovski@ibpm.pushchino.ru</t>
  </si>
  <si>
    <t>Ozerskaya, Svetlana/J-3821-2018; Kozlovsky, Anatoly G/V-1120-2017; Antipova, Tatiana V/P-8218-2016; KOCHKINA, GALINA/AAR-7765-2020; Zhelifonova, Valentina/AAE-3426-2020; Antipova, Tatiana/P-5686-2018</t>
  </si>
  <si>
    <t>Ozerskaya, Svetlana/0000-0002-0373-7521; KOCHKINA, GALINA/0000-0002-5893-7782; Zhelifonova, Valentina/0000-0001-9213-9584; Antipova, Tatiana/0000-0002-4860-2647; Baskunov, Boris/0000-0002-0342-2431</t>
  </si>
  <si>
    <t>Russian Foundation for Basic Research [13-04-02082a, 15-29-02629-ofi]</t>
  </si>
  <si>
    <t>The work was supported by the Russian Foundation for Basic Research, projects no. 13-04-02082a and no. 15-29-02629-ofi.</t>
  </si>
  <si>
    <t>10.1134/S0026261716020119</t>
  </si>
  <si>
    <t>DM0XN</t>
  </si>
  <si>
    <t>WOS:000376069400003</t>
  </si>
  <si>
    <t>Nagurnyi, AP; Makshtas, AP</t>
  </si>
  <si>
    <t>Nagurnyi, A. P.; Makshtas, A. P.</t>
  </si>
  <si>
    <t>Methane concentration in the atmospheric boundary layer from the measurements at north pole-36 and north pole-39 drifting ice stations</t>
  </si>
  <si>
    <t>Atmospheric boundary layer; methane concentration; the Arctic Ocean; drifting ice stations</t>
  </si>
  <si>
    <t>Episodic emissions ofmethane with the concentration of4 ppm to the lower atmosphere near the continental slope of the Arctic Ocean are considered. It is revealed that such methane emissions can be associated with the erosion of sediments containing gas hydrates, for example, as a result of the effects of mudflows caused by the instability of slope currents as well as by the geologic activity in the zone of significant depth drops. The high background concentration of methane is registered in the central part of the Arctic Ocean that is probably provoked by biologic activity within sea ice and on its bottom.</t>
  </si>
  <si>
    <t>[Nagurnyi, A. P.; Makshtas, A. P.] Arctic &amp; Antarctic Res Inst, Ul Beringa 38, St Petersburg 199397, Russia</t>
  </si>
  <si>
    <t>Nagurnyi, AP (corresponding author), Arctic &amp; Antarctic Res Inst, Ul Beringa 38, St Petersburg 199397, Russia.</t>
  </si>
  <si>
    <t>nagurny@aari.ru</t>
  </si>
  <si>
    <t>10.3103/S1068373916030055</t>
  </si>
  <si>
    <t>DM3VQ</t>
  </si>
  <si>
    <t>WOS:000376275200005</t>
  </si>
  <si>
    <t>Erdmann, M; Koepke, J</t>
  </si>
  <si>
    <t>Erdmann, Martin; Koepke, Jurgen</t>
  </si>
  <si>
    <t>Experimental temperature cycling as a powerful tool to enlarge melt pools and crystals at magma storage conditions</t>
  </si>
  <si>
    <t>AMERICAN MINERALOGIST</t>
  </si>
  <si>
    <t>Experimental petrology; temperature cycling; crystallization experiments; dacite; crystal growth; phenocrysts</t>
  </si>
  <si>
    <t>PACIFIC-ANTARCTIC RISE; PHASE-EQUILIBRIA; K-FELDSPAR; PLAGIOCLASE; WATER; CRYSTALLIZATION; PRESSURES; INTRUSION; FUGACITY; BASALT</t>
  </si>
  <si>
    <t>Experiments in high silica systems at temperatures close to the solidus often produce crystals and melt pools that are too small for in situ analysis. Oscillating the temperature during an experimental run speeds up recrystallization of magma by dissolving small and increasing the size of larger crystals, dramatically changing the crystal size distribution. This principle of periodic heating and cooling, caused for example by repeated injection of hot magma, is also a potential acceleration for the formation of phenocrystic textures in natural rocks. Here we show that temperature cycling has the potential to significantly enlarge melt pools and crystals in a fluid saturated dacitic system. Using a natural dacite dredged from the Pacific-Antarctic Rise as starting material, we performed crystallization experiments applying temperature cycling systematically for two different temperatures and different water activities at 200 MPa. For experiments at 950 degrees C (with a(H2O) similar to 1, similar to 0.3, and &lt;0.1) an internally heated pressure vessel was used, experiments at 800 degrees C (with a(H2O) similar to 1, similar to 0.5) were performed in a cold-seal pressure vessel. Comparative experiments at equilibrium conditions with constant temperature were performed for both approaches. For all other experiments temperature was cycled with amplitudes of 20 K for different time intervals but constant total run duration after initial equilibration at constant temperature. Additionally, for one experiment at 800 degrees C, the temperature was increased several times by 50 K to study the potential of dissolving tiny crystals in the matrix. As a result of the temperature cycling, tiny crystals in the matrix were preferentially dissolved, leading to large melt pools with only rare mineral inclusions enabling microprobe analysis using a defocused beam. With regard to the area of the 10 largest crystals of each cycling experiment, clinopyroxene crystals were up to 19 times larger, and plagioclase crystals even up to 69 times when comparing to experiments performed at constant temperature. Grain sizes of FeTi-oxide phases are less influenced by this technique. Essential requirements for applying temperature cycling routinely are identical phase relations and compositions in runs with constant and cycled temperature. For all studied temperatures and water activities, the phase assemblage was the same and compositions of all phases are identical within the analytical error. Thus, the temperature cycling technique opens interesting perspectives, especially in facilitating in situ analysis in near solidus systems.</t>
  </si>
  <si>
    <t>[Erdmann, Martin; Koepke, Jurgen] Leibniz Univ Hannover, Inst Mineral, Callinstr 3, D-30167 Hannover, Germany; [Erdmann, Martin] Univ Lorraine, CNRS, CRPG, UMR 7358, 15 Rue Notre Dame Pauvres, F-54501 Vandoeuvre Les Nancy, France</t>
  </si>
  <si>
    <t>Leibniz University Hannover; Centre National de la Recherche Scientifique (CNRS); CNRS - National Institute for Earth Sciences &amp; Astronomy (INSU); Universite de Lorraine</t>
  </si>
  <si>
    <t>Erdmann, M (corresponding author), Leibniz Univ Hannover, Inst Mineral, Callinstr 3, D-30167 Hannover, Germany.;Erdmann, M (corresponding author), Univ Lorraine, CNRS, CRPG, UMR 7358, 15 Rue Notre Dame Pauvres, F-54501 Vandoeuvre Les Nancy, France.</t>
  </si>
  <si>
    <t>m.erdmann@mineralogie.uni-hannover.de</t>
  </si>
  <si>
    <t>Deutsche Forschungsgemeinschaft [KO 1723/13]</t>
  </si>
  <si>
    <t>Deutsche Forschungsgemeinschaft(German Research Foundation (DFG))</t>
  </si>
  <si>
    <t>We thank Otto Dietrich and Julian Feige for their careful sample preparation. We gratefully acknowledge the chief scientists of RV Some, especially K.M. Haase, for access to the sample 3DS1 used in this study. Thoughtful and thorough reviews by Allen Glazner, Craig Lundstrom, and Editor Charles Lesher greatly improved the manuscript. Funding for this research was provided by grants from the Deutsche Forschungsgemeinschaft (KO 1723/13). This is CRPG contribution number 2407.</t>
  </si>
  <si>
    <t>MINERALOGICAL SOC AMER</t>
  </si>
  <si>
    <t>CHANTILLY</t>
  </si>
  <si>
    <t>3635 CONCORDE PKWY STE 500, CHANTILLY, VA 20151-1125 USA</t>
  </si>
  <si>
    <t>0003-004X</t>
  </si>
  <si>
    <t>1945-3027</t>
  </si>
  <si>
    <t>AM MINERAL</t>
  </si>
  <si>
    <t>Am. Miner.</t>
  </si>
  <si>
    <t>MAR-APR</t>
  </si>
  <si>
    <t>3-4</t>
  </si>
  <si>
    <t>10.2138/am-2016-5398</t>
  </si>
  <si>
    <t>DK0TW</t>
  </si>
  <si>
    <t>WOS:000374626100037</t>
  </si>
  <si>
    <t>Winton, VHL; Edwards, R; Delmonte, B; Ellis, A; Andersson, PS; Bowie, A; Bertler, NAN; Neff, P; Tuohy, A</t>
  </si>
  <si>
    <t>Winton, V. H. L.; Edwards, R.; Delmonte, B.; Ellis, A.; Andersson, P. S.; Bowie, A.; Bertler, N. A. N.; Neff, P.; Tuohy, A.</t>
  </si>
  <si>
    <t>Multiple sources of soluble atmospheric iron to Antarctic waters</t>
  </si>
  <si>
    <t>TRACE-METAL CONCENTRATIONS; BIOMASS BURNING EMISSIONS; NORTHERN VICTORIA LAND; SOUTHWESTERN ROSS SEA; MCMURDO DRY VALLEYS; SOUTHERN-OCEAN; EAST ANTARCTICA; ICE CORE; SIZE DISTRIBUTION; WEST ANTARCTICA</t>
  </si>
  <si>
    <t>The Ross Sea, Antarctica, is a highly productive region of the Southern Ocean. Significant new sources of iron (Fe) are required to sustain phytoplankton blooms in the austral summer. Atmospheric deposition is one potential source. The fractional solubility of Fe is an important variable determining Fe availability for biological uptake. To constrain aerosol Fe inputs to the Ross Sea region, fractional solubility of Fe was analyzed in a snow pit from Roosevelt Island, eastern Ross Sea. In addition, aluminum, dust, and refractory black carbon (rBC) concentrations were analyzed, to determine the contribution of mineral dust and combustion sources to the supply of aerosol Fe. We estimate exceptionally high dissolved Fe (dFe) flux of 1.2 x 10(-6)gm(-2) y(-1) and total dissolvable Fe flux of 140 x 10(-6)gm(-2) y(-1) for 2011/2012. Deposition of dust, Fe, Al, and rBC occurs primarily during spring-summer. The observed background fractional Fe solubility of similar to 0.7% is consistent with a mineral dust source. Radiogenic isotopic ratios and particle size distribution of dust indicates that the site is influenced by local and remote sources. In 2011/2012 summer, relatively high dFe concentrations paralleled both mineral dust and rBC deposition. Around half of the annual aerosol Fe deposition occurred in the austral summer phytoplankton growth season; however, the fractional Fe solubility was low. Our results suggest that the seasonality of dFe deposition can vary and should be considered on longer glacial-interglacial timescales.</t>
  </si>
  <si>
    <t>[Winton, V. H. L.; Edwards, R.; Ellis, A.] Curtin Univ, Phys &amp; Astron, Perth, WA 6845, Australia; [Delmonte, B.] Univ Milano Bicocca, Dept Earth &amp; Environm Sci, DISAT, Milan, Italy; [Andersson, P. S.] Swedish Museum Nat Hist, Dept Geosci, S-10405 Stockholm, Sweden; [Bowie, A.] Antarctic Climate &amp; Ecosyst CRC, Hobart, Tas, Australia; [Bowie, A.] Univ Tasmania, Inst Antarctic &amp; So Ocean Studies, Hobart, Tas, Australia; [Bertler, N. A. N.; Neff, P.; Tuohy, A.] Victoria Univ Wellington, Antarctic Res Ctr, Wellington, New Zealand; [Bertler, N. A. N.; Neff, P.; Tuohy, A.] GNS Sci, Natl Isotope Ctr, Lower Hutt, New Zealand; [Neff, P.] Univ Rochester, Dept Earth &amp; Environm Sci, Rochester, NY USA</t>
  </si>
  <si>
    <t>Curtin University; University of Milano-Bicocca; Swedish Museum of Natural History; University of Tasmania; University of Tasmania; Victoria University Wellington; GNS Science - New Zealand; University of Rochester</t>
  </si>
  <si>
    <t>Winton, VHL (corresponding author), Curtin Univ, Phys &amp; Astron, Perth, WA 6845, Australia.</t>
  </si>
  <si>
    <t>holly.winton@postgrad.curtin.edu.au</t>
  </si>
  <si>
    <t>Winton, Holly/J-5486-2019; Delmonte, Barbara/L-2555-2015; Bertler, Nancy A N/F-3967-2011; Edwards, Ross/B-1433-2013; Bowie, Andrew/C-8677-2013</t>
  </si>
  <si>
    <t>Winton, Holly/0000-0001-7112-6768; Delmonte, Barbara/0000-0002-9074-2061; Edwards, Ross/0000-0002-9233-8775; Ellis, Aja/0000-0002-4593-294X; Bertler, Nancy/0000-0001-6028-4891; Bowie, Andrew/0000-0002-5144-7799; Neff, Peter/0000-0003-1697-0936</t>
  </si>
  <si>
    <t>Curtin University; Victoria University of Wellington [RDF-VUW1103]; GNS Science [540GCT32]; University of Milano-Bicocca; Swedish Museum of Natural History; ARC LIEF [LE130100029]; Department of Geosciences, Swedish Museum of Natural History; Australian Research Council [LE130100029] Funding Source: Australian Research Council</t>
  </si>
  <si>
    <t>Curtin University; Victoria University of Wellington; GNS Science; University of Milano-Bicocca; Swedish Museum of Natural History; ARC LIEF(Australian Research Council); Department of Geosciences, Swedish Museum of Natural History; Australian Research Council(Australian Research Council)</t>
  </si>
  <si>
    <t>This work is a contribution to the Roosevelt Island Climate Evolution (RICE) Programme, funded by national contributions from New Zealand, Australia, Denmark, Germany, Italy, the People's Republic of China, Sweden, UK, and the USA. Logistic support was provided by Antarctica New Zealand (K049) and the US Antarctic Program. We would like to thank Antarctica New Zealand and Scott Base personnel for logistics support. Thank you to the RICE 2012/2013 team for assisting in the collection of samples from Roosevelt Island. V.H.L.W. would like to thank Curtin University for scholarship support (Australian Postgraduate Award and Curtin Research Scholarship). This project was funded by Curtin University, Victoria University of Wellington (RDF-VUW1103), GNS Science (540GCT32), the University of Milano-Bicocca, and the Swedish Museum of Natural History. Access to HR-ICP-MS instrumentation at Curtin University was facilitated through ARC LIEF funding (LE130100029). Thank you to K. Jarrett for technical assistance. Isotopic analyses for dust provenance characterization were carried out at the Swedish Museum of Natural History and were supported by the Department of Geosciences, Swedish Museum of Natural History. The authors acknowledge the use of equipment, scientific, and technical assistance of the Curtin University Electron Microscope Facility, which has been partially funded by the University, State, and Commonwealth Governments. We would like to acknowledge the Norwegian Polar Institute for the use of the Qantarctica package. The data set for the RICE 2012/2013 1.5m snow pit is available through the Curtin University Research Data repository http://doi.org/10.4225/06/565BCE14467D0 and supporting data are also included as tables in SI files. Additional thanks for the helpful comments and suggestions of Bess Koffman and an anonymous reviewer that aided in revision of this manuscript.</t>
  </si>
  <si>
    <t>10.1002/2015GB005265</t>
  </si>
  <si>
    <t>DJ8QO</t>
  </si>
  <si>
    <t>Green Accepted, Green Published, Green Submitted, Bronze</t>
  </si>
  <si>
    <t>WOS:000374477400002</t>
  </si>
  <si>
    <t>Heeszel, DS; Wiens, DA; Anandakrishnan, S; Aster, RC; Dalziel, IWD; Huerta, AD; Nyblade, AA; Wilson, TJ; Winberry, JP</t>
  </si>
  <si>
    <t>Heeszel, David S.; Wiens, Douglas A.; Anandakrishnan, Sridhar; Aster, Richard C.; Dalziel, Ian W. D.; Huerta, Audrey D.; Nyblade, Andrew A.; Wilson, Terry J.; Winberry, J. Paul</t>
  </si>
  <si>
    <t>Upper mantle structure of central and West Antarctica from array analysis of Rayleigh wave phase velocities</t>
  </si>
  <si>
    <t>Marie Byrd Land; Ross Sea; mantle plume; heat flow; lithosphere; rift zone</t>
  </si>
  <si>
    <t>MARIE-BYRD-LAND; TRANSANTARCTIC MOUNTAINS; EAST ANTARCTICA; ICE-SHEET; ROSS SEA; ELLSWORTH MOUNTAINS; ANISOTROPY BENEATH; PALEOMAGNETIC DATA; SEISMIC EVIDENCE; GEOTHERMAL FLUX</t>
  </si>
  <si>
    <t>The seismic velocity structure of Antarctica is important, both as a constraint on the tectonic history of the continent and for understanding solid Earth interactions with the ice sheet. We use Rayleigh wave array analysis methods applied to teleseismic data from recent temporary broadband seismograph deployments to image the upper mantle structure of central and West Antarctica. Phase velocity maps are determined using a two-plane wave tomography method and are inverted for shear velocity using a Monte Carlo approach to estimate three-dimensional velocity structure. Results illuminate the structural dichotomy between the East Antarctic Craton and West Antarctica, with West Antarctica showing thinner crust and slower upper mantle velocity. West Antarctica is characterized by a 70-100km thick lithosphere, underlain by a low-velocity zone to depths of at least 200km. The slowest anomalies are beneath Ross Island and the Marie Byrd Land dome and are interpreted as upper mantle thermal anomalies possibly due to mantle plumes. The central Transantarctic Mountains are marked by an uppermost mantle slow-velocity anomaly, suggesting that the topography is thermally supported. The presence of thin, higher-velocity lithosphere to depths of about 70km beneath the West Antarctic Rift System limits estimates of the regionally averaged heat flow to less than 90mW/m(2). The Ellsworth-Whitmore block is underlain by mantle with velocities that are intermediate between those of the West Antarctic Rift System and the East Antarctic Craton. We interpret this province as Precambrian continental lithosphere that has been altered by Phanerozoic tectonic and magmatic activity.</t>
  </si>
  <si>
    <t>[Heeszel, David S.; Wiens, Douglas A.] Washington Univ, Dept Earth &amp; Planetary Sci, St Louis, MO 63130 USA; [Heeszel, David S.] US Nucl Regulatory Commiss, Washington, DC 20555 USA; [Anandakrishnan, Sridhar; Nyblade, Andrew A.] Penn State Univ, Dept Geosci, University Pk, PA 16802 USA; [Aster, Richard C.] Colorado State Univ, Dept Geosci, Warner Coll Nat Resources, Ft Collins, CO 80523 USA; [Dalziel, Ian W. D.] Univ Texas Austin, Inst Geophys, Austin, TX USA; [Huerta, Audrey D.; Winberry, J. Paul] Cent Washington Univ, Dept Geol Sci, Ellensburg, WA USA; [Wilson, Terry J.] Ohio State Univ, Dept Geol Sci, Columbus, OH 43210 USA</t>
  </si>
  <si>
    <t>Washington University (WUSTL); Pennsylvania Commonwealth System of Higher Education (PCSHE); Pennsylvania State University; Pennsylvania State University - University Park; Colorado State University; University of Texas System; University of Texas Austin; Central Washington University; University System of Ohio; Ohio State University</t>
  </si>
  <si>
    <t>Wiens, DA (corresponding author), Washington Univ, Dept Earth &amp; Planetary Sci, St Louis, MO 63130 USA.</t>
  </si>
  <si>
    <t>doug@wustl.edu</t>
  </si>
  <si>
    <t>Aster, Richard/E-5067-2013; Winberry, Paul/HLQ-2673-2023; Dalziel, Ian W. D./G-5926-2010; Huerta, Audrey D/A-8680-2009; Anandakrishnan, Sridhar/JCN-5026-2023; Wiens, Douglas/J-9259-2016</t>
  </si>
  <si>
    <t>Aster, Richard/0000-0002-0821-4906; Winberry, Paul/0000-0003-1205-0745; Huerta, Audrey/0000-0002-0252-8496; Wiens, Douglas/0000-0002-5169-4386</t>
  </si>
  <si>
    <t>NSF [ANT-0537597, ANT-0838934, ANT-0632209, PLR-1246712]; National Science Foundation [EAR-1261681]; NSF Division of Polar Programs; DOE National Nuclear Security Administration; Office of Polar Programs (OPP); Directorate For Geosciences [1249631, 1246712, 1419268] Funding Source: National Science Foundation; Office of Polar Programs (OPP); Directorate For Geosciences [1246776] Funding Source: National Science Foundation</t>
  </si>
  <si>
    <t>NSF(National Science Foundation (NSF)); National Science Foundation(National Science Foundation (NSF)); NSF Division of Polar Programs(National Science Foundation (NSF)NSF - Directorate for Geosciences (GEO)); DOE National Nuclear Security Administration(National Nuclear Security AdministrationUnited States Department of Energy (DOE)); Office of Polar Programs (OPP); Directorate For Geosciences(National Science Foundation (NSF)NSF - Directorate for Geosciences (GEO)); Office of Polar Programs (OPP); Directorate For Geosciences(National Science Foundation (NSF)NSF - Directorate for Geosciences (GEO))</t>
  </si>
  <si>
    <t>We would like to acknowledge the support of all the field teams associated with the collection of data presented here, particularly Patrick Shore as well as the polar support specialists at IRIS/PASSCAL. We thank the pilots of Kenn Borek Air and the New York Air Guard for flight support and the staff at AGAP-S camp, Byrd Camp, South Pole Station, and McMurdo Station for logistical support. We also thank two anonymous reviewers for their comments which significantly improved this paper. This research is supported by NSF grants ANT-0537597, ANT-0838934, ANT-0632209, and PLR-1246712. Seismic instrumentation was provided by the Incorporated Research Institutions for Seismology (IRIS) through the PASSCAL Instrument Center at New Mexico Tech. Data are available through the IRIS Data Management Center (http://ds.iris.edu/ds/nodes/dmc/). The facilities of the IRIS Consortium are supported by the National Science Foundation under Cooperative agreement EAR-1261681, the NSF Division of Polar Programs, and the DOE National Nuclear Security Administration. Figures in this work were produced in GMT [Wessel and Smith, 1994], and seismic processing was performed using the seizmo routines for processing SAC files in MATLAB(R) developed by G. Euler (https://github.com/g2e/seizmo).</t>
  </si>
  <si>
    <t>10.1002/2015JB012616</t>
  </si>
  <si>
    <t>DK1ST</t>
  </si>
  <si>
    <t>WOS:000374695200028</t>
  </si>
  <si>
    <t>Victor, NJ; Manu, S; Frank-Kamenetsky, AV; Panneerselvam, C; Kumar, CPA; Elango, P</t>
  </si>
  <si>
    <t>Victor, N. Jeni; Manu, S.; Frank-Kamenetsky, A. V.; Panneerselvam, C.; Kumar, C. P. Anil; Elango, P.</t>
  </si>
  <si>
    <t>Network of observations on the atmospheric electrical parameters during geomagnetic storm on 5 April 2010</t>
  </si>
  <si>
    <t>global electric circuit; dawn-dusk potential; solar wind-magnetosphere-ionosphere coupling; substorm</t>
  </si>
  <si>
    <t>INTERPLANETARY MAGNETIC-FIELD; NEAR-EARTHS ATMOSPHERE; SOLAR-WIND; ANTARCTICA; SURFACE; MAITRI; KAMCHATKA; REGION</t>
  </si>
  <si>
    <t>The effects of a geomagnetic storm on the variation of the atmospheric electric field over Maitri (70 degrees 45S, 11 degrees 44E), Dome C (75 degrees 06S, 123 degrees 20E), and Vostok (78 degrees 27S, 106 degrees 52E) Antarctic research stations are presented in this paper. For the first time, the paper reports the simultaneous observations of the atmospheric electric field/potential gradient (PG) over the three high-latitude stations at the Southern Hemisphere, and its associated changes due to a substorm phenomenon. PG data obtained from these three stations under fair-weather conditions on 5 April 2010 are analyzed. The duration of geomagnetic disturbance is classified into three intervals, which contains three consecutive substorms based on the magnetic records of the Maitri station. The substorm is directly related to an enhancement of the magnetospheric convective electric field at high latitude, generally controlled by the solar wind parameters. It is found that the variation in the amplitude of PG depends on the magnetic latitude during substorm onset. During the substorm expansion phase, when the convection cell is at overhead, PG is significantly enhanced due to the downward mapping of the ionospheric horizontal electric field. The present observation demonstrated the changes on PG due to the spatial extension of the convection cell from high latitudes up to middle latitudes.</t>
  </si>
  <si>
    <t>[Victor, N. Jeni; Manu, S.; Panneerselvam, C.; Kumar, C. P. Anil; Elango, P.] Indian Inst Geomagnetism, Equatorial Geophys Res Lab, Krishnapur, India; [Frank-Kamenetsky, A. V.] Arctic &amp; Antarctic Res Inst, St Petersburg 199226, Russia</t>
  </si>
  <si>
    <t>Department of Science &amp; Technology (India); Indian Institute of Geomagnetism (IIG); Arctic &amp; Antarctic Research Institute</t>
  </si>
  <si>
    <t>Victor, NJ (corresponding author), Indian Inst Geomagnetism, Equatorial Geophys Res Lab, Krishnapur, India.</t>
  </si>
  <si>
    <t>jenivictor@gmail.com</t>
  </si>
  <si>
    <t>SHANMUGAM, MANU/I-7629-2015</t>
  </si>
  <si>
    <t>SHANMUGAM, MANU/0000-0003-3307-456X; VICTOR, JENI/0000-0003-2867-3656</t>
  </si>
  <si>
    <t>Australian Antarctic Science Advisory Committee Project [974]; Ecole et Observatoire des Sciences de la Terre</t>
  </si>
  <si>
    <t>Australian Antarctic Science Advisory Committee Project; Ecole et Observatoire des Sciences de la Terre</t>
  </si>
  <si>
    <t>The authors are grateful to Dr. D.S. Ramesh, Director, IIG, for giving permission to publish this work. We greatly acknowledge Prof. S. Gurubaran for his valuable suggestions and guidelines for the improvement of this work. The authors express their gratitude to the Department of Science and Technology (DST), India. The logistic support provided by the Ministry of Earth and Science, Government of India, for conducting a variety of experiments at the Indian Antarctic station, Maitri, is gratefully acknowledged. The authors gratefully acknowledge the valuable remarks of the referees, which helped in making improvements on the original version of this paper. We thank Kyoto WDC (http://wdc.kugi.kyoto-u.ac.jp/) for the Dst, AE, AL, and Kp data and the Wind satellite team for the CME and IMF data (http://omniweb.gsfc.nasa.gov/). The electric field mills deployed at Vostok and Concordia were developed under Australian Antarctic Science Advisory Committee Project #974. The Concordia Vertical electric field data collection was approved by IPEV/PNRA Via'Eletricite Atmospherique DC 33 N. Lloyd Symons, Australian Antarctic and Data Division, developed the electric field mill electronics and data collection software. The data for Vostok were obtained from http://data.aad.gov.au/aadc/metadata/metadata_redirect.cfm?md=/AMD/AU/ASAC_974_2 and those for Concordia from http://data.aad.gov.au/aadc/metadata/metadata_redirect.cfm?md=/AMD/AU/ASAC_974_Concordia. The results presented in this paper rely on the data collected at Dome C (DMC). We thank Ecole et Observatoire des Sciences de la Terre for supporting its operation and INTERMAGNET for promoting high standards of magnetic observatory practice (www.intermagnet.org).</t>
  </si>
  <si>
    <t>10.1002/2015JA022080</t>
  </si>
  <si>
    <t>DK2FV</t>
  </si>
  <si>
    <t>WOS:000374730900038</t>
  </si>
  <si>
    <t>Lyle, JM; Willcox, ST; Hartmann, K</t>
  </si>
  <si>
    <t>Lyle, Jeremy M.; Willcox, Simon T.; Hartmann, Klaas</t>
  </si>
  <si>
    <t>Underwater observations of seal-fishery interactions and the effectiveness of an exclusion device in reducing bycatch in a midwater trawl fishery</t>
  </si>
  <si>
    <t>AUSTRALIAN FUR SEALS; ARCTOCEPHALUS-PUSILLUS-DORIFERUS; LIONS PHOCARCTOS-HOOKERI; NEW-ZEALAND; MARINE-MAMMALS; BY-CATCH; INCIDENTAL MORTALITY; DIVING BEHAVIOR; MANAGEMENT; DIET</t>
  </si>
  <si>
    <t>Interactions between seals and midwater trawl operations in the Australian Small Pelagic Fishery are common and can be lethal. The nature of interactions and effectiveness of a seal exclusion device (SED) in mitigating lethal interactions was assessed using underwater video. Recent fishing activity and the phase of the trawl operation significantly influenced interaction rates; interactions increased with the amount of recent trawl activity and were highest while the trawl was being set. Most seals accessed the trawl via the net entrance and exited via an escape opening located at the base of the SED. The size of the escape opening was the only operational factor that influenced mortality rates - simply enlarging the escape hole reduced lethal interactions by 79%. However, since all deceased seals dropped out of the net before they were brought on board, they would have gone unobserved without video monitoring. Limiting the concentration of fishing activity in space and time and refinement of the SED design, in particular to address dropouts, is recommended if mortality rates are to be reduced.</t>
  </si>
  <si>
    <t>[Lyle, Jeremy M.; Willcox, Simon T.; Hartmann, Klaas] Univ Tasmania, Inst Marine &amp; Antarctic Studies, Fisheries &amp; Aquaculture Ctr, Private Bag 49, Hobart, Tas 7001, Australia; [Willcox, Simon T.] Dept Premier &amp; Cabinet, GPO Box 123, Hobart, Tas 7001, Australia</t>
  </si>
  <si>
    <t>Lyle, JM (corresponding author), Univ Tasmania, Inst Marine &amp; Antarctic Studies, Fisheries &amp; Aquaculture Ctr, Private Bag 49, Hobart, Tas 7001, Australia.</t>
  </si>
  <si>
    <t>Hartmann, Klaas/B-3991-2008; Lyle, Jeremy/J-7170-2014</t>
  </si>
  <si>
    <t>Lyle, Jeremy/0000-0001-9670-5854</t>
  </si>
  <si>
    <t>Seafish Tasmania; Australian Fisheries Management Authority (AFMA) through the Natural Heritage Trust; AFMA Research Fund, the Department of Environment and Water Resources; Whale and Dolphin Conservation Society</t>
  </si>
  <si>
    <t>The success of this project was largely due to the support and commitment provided by Seafish Tasmania and the skippers and crew of the FV Ellidi. Martin Cawthorn provided sound advice in relation to seal behaviour and the performance of exclusion devices. We also acknowledge Institute for Marine and Antarctic Studies staff who assisted with at sea monitoring, including Dirk Welsford and Graeme Ewing, and Ryuji Sakabe, who assisted with the review of the video footage. The project was funded jointly by the Australian Fisheries Management Authority (AFMA) through the Natural Heritage Trust and AFMA Research Fund, the Department of Environment and Water Resources, and the Whale and Dolphin Conservation Society. This research was conducted in accordance with University of Tasmania Animal Ethics Committee approval (A0008607).</t>
  </si>
  <si>
    <t>10.1139/cjfas-2015-0273</t>
  </si>
  <si>
    <t>DL1WM</t>
  </si>
  <si>
    <t>WOS:000375423600011</t>
  </si>
  <si>
    <t>Parrilli, E; Ricciardelli, A; Casillo, A; Sannino, F; Papa, R; Tilotta, M; Artini, M; Selan, L; Corsaro, MM; Tutino, ML</t>
  </si>
  <si>
    <t>Parrilli, Ermenegilda; Ricciardelli, Annarita; Casillo, Angela; Sannino, Filomena; Papa, Rosanna; Tilotta, Marco; Artini, Marco; Selan, Laura; Corsaro, Maria Michela; Tutino, Maria Luisa</t>
  </si>
  <si>
    <t>Large-scale biofilm cultivation of Antarctic bacterium Pseudoalteromonas haloplanktis TAC125 for physiologic studies and drug discovery</t>
  </si>
  <si>
    <t>EXTREMOPHILES</t>
  </si>
  <si>
    <t>Biofilm cultivation; Pseudoalteromonas haloplanktis TAC125; Anti-biofilm; Bacterial biofilm phenotype</t>
  </si>
  <si>
    <t>ANTIBIOTIC-RESISTANCE; PROTEINS; REACTORS; GENOME; COLD; LIFE</t>
  </si>
  <si>
    <t>Microbial biofilms are mainly studied due to detrimental effects on human health but they are also well established in industrial biotechnology for the production of chemicals. Moreover, biofilm can be considered as a source of novel drugs since the conditions prevailing within biofilm can allow the production of specific metabolites. Antarctic bacterium Pseudoalteromonas haloplanktis TAC125 when grown in biofilm condition produces an anti-biofilm molecule able to inhibit the biofilm of the opportunistic pathogen Staphylococcus epidermidis. In this paper we set up a P. haloplanktis TAC125 biofilm cultivation methodology in automatic bioreactor. The biofilm cultivation was designated to obtain two goals: (1) the scale up of cell-free supernatant production in an amount necessary for the anti-biofilm molecule/s purification; (2) the recovery of P. haloplanktis TAC125 cells grown in biofilm for physiological studies. We set up a fluidized-bed reactor fermentation in which floating polystyrene supports were homogeneously mixed, exposing an optimal air-liquid interface to let bacterium biofilm formation. The proposed methodology allowed a large-scale production of anti-biofilm molecule and paved the way to study differences between P. haloplanktis TAC125 cells grown in biofilm and in planktonic conditions. In particular, the modifications occurring in the lipopolysaccharide of cells grown in biofilm were investigated.</t>
  </si>
  <si>
    <t>[Parrilli, Ermenegilda; Ricciardelli, Annarita; Casillo, Angela; Sannino, Filomena; Corsaro, Maria Michela; Tutino, Maria Luisa] Univ Naples Federico II, Complesso Univ Monte St Angelo, Dept Chem Sci, Via Cintia 4, I-80126 Naples, Italy; [Papa, Rosanna; Tilotta, Marco; Artini, Marco; Selan, Laura] Univ Roma La Sapienza, Dept Publ Hlth &amp; Infect Dis, Piazzale Aldo Moro 5, I-00185 Rome, Italy</t>
  </si>
  <si>
    <t>University of Naples Federico II; Sapienza University Rome</t>
  </si>
  <si>
    <t>Parrilli, E (corresponding author), Univ Naples Federico II, Complesso Univ Monte St Angelo, Dept Chem Sci, Via Cintia 4, I-80126 Naples, Italy.</t>
  </si>
  <si>
    <t>erparril@unina.it</t>
  </si>
  <si>
    <t>parrilli, ermenegilda/K-4616-2016; Ricciardelli, Annarita/AAF-3219-2021; parrilli, ermenegilda/JAZ-0586-2023; TUTINO, MARIA LUISA/L-1834-2013; Corsaro, Maria Michela/T-6190-2019</t>
  </si>
  <si>
    <t>parrilli, ermenegilda/0000-0002-9002-5409; Ricciardelli, Annarita/0000-0003-2084-0579; Corsaro, Maria Michela/0000-0002-6834-8682; Tutino, Maria Luisa/0000-0002-4978-6839</t>
  </si>
  <si>
    <t>Programma Nazionale di Ricerche in Antartide [2013/B1.04]; Programma Operativo Nazionale Ricerca e Competitivita [01/Ric.-PON01_01802]</t>
  </si>
  <si>
    <t>Programma Nazionale di Ricerche in Antartide(Ministry of Education, Universities and Research (MIUR)); Programma Operativo Nazionale Ricerca e Competitivita(Ministry of Education, Universities and Research (MIUR))</t>
  </si>
  <si>
    <t>This work was supported by Programma Nazionale di Ricerche in Antartide 2013/B1.04 Tutino and Programma Operativo Nazionale Ricerca e Competitivita 2007-2013 (D. D. Prot. n. 01/Ric. del 18.1.2010)-PON01_01802.</t>
  </si>
  <si>
    <t>SPRINGER JAPAN KK</t>
  </si>
  <si>
    <t>TOKYO</t>
  </si>
  <si>
    <t>CHIYODA FIRST BLDG EAST, 3-8-1 NISHI-KANDA, CHIYODA-KU, TOKYO, 101-0065, JAPAN</t>
  </si>
  <si>
    <t>1431-0651</t>
  </si>
  <si>
    <t>1433-4909</t>
  </si>
  <si>
    <t>Extremophiles</t>
  </si>
  <si>
    <t>10.1007/s00792-016-0813-2</t>
  </si>
  <si>
    <t>Biochemistry &amp; Molecular Biology; Microbiology</t>
  </si>
  <si>
    <t>DK3QN</t>
  </si>
  <si>
    <t>WOS:000374832600012</t>
  </si>
  <si>
    <t>Wilson, AB; Bromwich, DH; Hines, KM</t>
  </si>
  <si>
    <t>Wilson, Aaron B.; Bromwich, David H.; Hines, Keith M.</t>
  </si>
  <si>
    <t>Simulating the Mutual Forcing of Anomalous High Southern Latitude Atmospheric Circulation by El Nino Flavors and the Southern Annular Mode</t>
  </si>
  <si>
    <t>ANTARCTIC SEA-ICE; ZONAL FLOW VACILLATION; WARM POOL; VARIABILITY; PACIFIC; ENSO; OCEAN; OSCILLATION; IMPACTS; FREQUENCY</t>
  </si>
  <si>
    <t>Numerical simulations using the National Center for Atmospheric Research Community Atmosphere Model (CAM) are conducted based on tropical forcing of El Nino flavors. Though these events occur on a continuum, two general types are simulated based on sea surface temperature anomalies located in the central (CP) or eastern (EP) tropical Pacific. The goal is to assess whether CAM adequately represents the transient eddy dynamics associated with each of these El Nino flavors under different southern annular mode (SAM) regimes. CAM captures well the wide spatial and temporal variability associated with the SAM but only accurately simulates the impacts on atmospheric circulation in the high southern latitudes when the observed SAM phase is matched by the model. Composites of in-phase (El Nino-SAM2) and out-of-phase (El Nino-SAM1) events confirm a seasonal preference for in-phase (out of phase) events during December-February (DJF) [June-August (JJA)]. Modeled in-phase events for both EP (during DJF) and CP (during JJA) conditions support observations of anomalous equatorward momentum flux on the equatorward side of the eddy-driven jet, shifting this jet equatorward and consistent with the low phase of the SAM. Out-of-phase composites show that the El Nino-associated teleconnection to the high southern latitudes is strongly modulated by the SAM, as a strong eddy-driven jet is well maintained by high-latitude transient eddy convergence despite the tropical forcing. A regional perspective confirms that this interaction takes place primarily over the Pacific Ocean, with high-latitude circulation variability being a product of both tropical and high-latitude forcing.</t>
  </si>
  <si>
    <t>[Wilson, Aaron B.; Bromwich, David H.] Ohio State Univ, Byrd Polar &amp; Climate Res Ctr, Polar Meteorol Grp, Columbus, OH 43210 USA; [Bromwich, David H.] Ohio State Univ, Atmospher Sci Program, Dept Geog, Columbus, OH 43210 USA; [Hines, Keith M.] Ohio State Univ, Byrd Polar &amp; Climate Res Ctr, Polar Meteorol Grp, Columbus, OH 43210 USA</t>
  </si>
  <si>
    <t>University System of Ohio; Ohio State University; University System of Ohio; Ohio State University; University System of Ohio; Ohio State University</t>
  </si>
  <si>
    <t>Wilson, AB (corresponding author), Ohio State Univ, Byrd Polar &amp; Climate Res Ctr, 1090 Carmack Rd, Columbus, OH 43210 USA.</t>
  </si>
  <si>
    <t>wilson.1010@osu.edu</t>
  </si>
  <si>
    <t>National Science Foundation (NSF) [ATM-0751291, PLR-1341695]</t>
  </si>
  <si>
    <t>National Science Foundation (NSF)(National Science Foundation (NSF))</t>
  </si>
  <si>
    <t>This research was supported by the National Science Foundation (NSF) Grants ATM-0751291 and PLR-1341695. CAM simulations were conducted using the Ohio Supercomputer Center's (https://www.osc.edu/) IBM Cluster 1350 (Glenn Cluster). The authors thank the three anonymous reviewers for their insightful critiques and suggestions.</t>
  </si>
  <si>
    <t>10.1175/JCLI-D-15-0361.1</t>
  </si>
  <si>
    <t>DL6YS</t>
  </si>
  <si>
    <t>WOS:000375786600019</t>
  </si>
  <si>
    <t>Purves, K; Macintyre, L; Brennan, D; Hreggvidsson, GO; Kuttner, E; Asgeirsdóttir, ME; Young, LC; Green, DH; Edrada-Ebel, R; Duncan, KR</t>
  </si>
  <si>
    <t>Purves, Kevin; Macintyre, Lynsey; Brennan, Debra; Hreggvidsson, Gudmundur O.; Kuttner, Eva; Asgeirsdottir, Margret E.; Young, Louise C.; Green, David H.; Edrada-Ebel, Ruangelie; Duncan, Katherine R.</t>
  </si>
  <si>
    <t>Using Molecular Networking for Microbial Secondary Metabolite Bioprospecting</t>
  </si>
  <si>
    <t>METABOLITES</t>
  </si>
  <si>
    <t>molecular networking; secondary metabolites; bioprospecting; bacteria; Antarctica</t>
  </si>
  <si>
    <t>NATURAL-PRODUCTS; MASS-SPECTROMETRY; MARINE-SEDIMENTS; PHYLOGENETIC DIVERSITY; BACTERIAL DIVERSITY; BIOFILM FORMATION; ACTINOBACTERIA; BIOSYNTHESIS; DISCOVERY; INTEGRATION</t>
  </si>
  <si>
    <t>The oceans represent an understudied resource for the isolation of bacteria with the potential to produce novel secondary metabolites. In particular, actinomyces are well known to produce chemically diverse metabolites with a wide range of biological activities. This study characterised spore-forming bacteria from both Scottish and Antarctic sediments to assess the influence of isolation location on secondary metabolite production. Due to the selective isolation method used, all 85 isolates belonged to the phyla Firmicutes and Actinobacteria, with the majority of isolates belonging to the genera Bacillus and Streptomyces. Based on morphology, thirty-eight isolates were chosen for chemical investigation. Molecular networking based on chemical profiles (HR-MS/MS) of fermentation extracts was used to compare complex metabolite extracts. The results revealed 40% and 42% of parent ions were produced by Antarctic and Scottish isolated bacteria, respectively, and only 8% of networked metabolites were shared between these locations, implying a high degree of biogeographic influence upon secondary metabolite production. The resulting molecular network contained over 3500 parent ions with a mass range of m/z 149-2558 illustrating the wealth of metabolites produced. Furthermore, seven fermentation extracts showed bioactivity against epithelial colon adenocarcinoma cells, demonstrating the potential for the discovery of novel bioactive compounds from these understudied locations.</t>
  </si>
  <si>
    <t>[Purves, Kevin; Brennan, Debra; Green, David H.; Duncan, Katherine R.] Scottish Assoc Marine Sci, Scottish Marine Inst, Oban PA37 1QA, Argyll, Scotland; [Macintyre, Lynsey; Young, Louise C.; Edrada-Ebel, Ruangelie] Univ Strathclyde, Strathclyde Inst Pharm &amp; Biomed Sci, Glasgow G1 1XQ, Lanark, Scotland; [Hreggvidsson, Gudmundur O.; Kuttner, Eva; Asgeirsdottir, Margret E.] Matis, Vinlandsleid 12, IS-113 Reykjavik, Iceland; [Hreggvidsson, Gudmundur O.] Univ Iceland, Fac Life &amp; Environm Sci, IS-101 Reykjavik, Iceland</t>
  </si>
  <si>
    <t>UHI Millennium Institute; University of Strathclyde; University of Iceland</t>
  </si>
  <si>
    <t>Duncan, KR (corresponding author), Scottish Assoc Marine Sci, Scottish Marine Inst, Oban PA37 1QA, Argyll, Scotland.</t>
  </si>
  <si>
    <t>kep@pml.ac.uk; lynsey.macintyre@strath.ac.uk; debra.brennan@sams.ac.uk; gudmundo@matis.is; eva.kuttner@matis.is; margreteva@matis.is; louise.young@strath.ac.uk; david.green@sams.ac.uk; ruangelie.edra-ebel@strath.ac.uk; katherine.duncan@sams.ac.uk</t>
  </si>
  <si>
    <t>Edrada-Ebel, RuAngelie/G-6127-2015; Green, David/E-2533-2012; Duncan, Katherine R./M-9460-2016</t>
  </si>
  <si>
    <t>Edrada-Ebel, RuAngelie/0000-0003-2420-1117; Green, David/0000-0001-7499-6021; Hreggvidsson, Gudmundur Oli/0000-0002-4958-1673; Duncan, Katherine R./0000-0002-3670-4849; Purves, Kevin/0000-0002-9705-7403</t>
  </si>
  <si>
    <t>European Union Seventh Framework Program [311932]</t>
  </si>
  <si>
    <t>European Union Seventh Framework Program(European Union (EU))</t>
  </si>
  <si>
    <t>The research leading to these results received funding from the European Union Seventh Framework Program under grant agreement number 311932 (project SeaBioTech). Authors K.P. and K.R.D. would like to thank John Howe for allowing samples from the Scottish Association for Marine Science sediment cores to be taken and Natalie Hicks for sediment collection from St. Andrews. Grainne Abbott (University of Strathclyde) is acknowledged for performing HS27 and PNT2 viability bioassay testing of the crude metabolite extracts.</t>
  </si>
  <si>
    <t>2218-1989</t>
  </si>
  <si>
    <t>Metabolites</t>
  </si>
  <si>
    <t>10.3390/metabo6010002</t>
  </si>
  <si>
    <t>Biochemistry &amp; Molecular Biology</t>
  </si>
  <si>
    <t>DK7KJ</t>
  </si>
  <si>
    <t>gold, Green Accepted, Green Published</t>
  </si>
  <si>
    <t>WOS:000375103300002</t>
  </si>
  <si>
    <t>Fegyveresi, JM; Alley, RB; Fitzpatrick, JJ; Cuffey, KM; McConnell, JR; Voigt, DE; Spencer, MK; Stevens, NT</t>
  </si>
  <si>
    <t>Fegyveresi, John M.; Alley, Richard B.; Fitzpatrick, Joan J.; Cuffey, Kurt M.; McConnell, Joseph R.; Voigt, Donald E.; Spencer, Matthew K.; Stevens, Nathan T.</t>
  </si>
  <si>
    <t>Five millennia of surface temperatures and ice core bubble characteristics from the WAIS Divide deep core, West Antarctica</t>
  </si>
  <si>
    <t>ice cores; bubble number density; ice core bubbles; holocene climate; paleoclimate reconstruction; bubble characteristics</t>
  </si>
  <si>
    <t>LOCALLY WEIGHTED REGRESSION; AIR BUBBLES; PHYSICAL-PROPERTIES; SHEET SURFACE; MELT LAYERS; SIPLE DOME; POLAR ICE; NUMBER; DENSIFICATION; VARIABILITY</t>
  </si>
  <si>
    <t>Bubble number densities from the West Antarctic Ice Sheet (WAIS) Divide deep core in West Antarctica record relatively stable temperatures during the middle Holocene followed by late Holocene cooling. We measured bubble number density, shape, size, and arrangement on new samples of the main WAIS Divide deep core WDC06A from similar to 580m to similar to 1600 depth. The bubble size, shape, and arrangement data confirm that the samples satisfy the requirements for temperature reconstructions. A small correction for cracks formed after core recovery allows extension of earlier work through the brittle ice zone, and a site-specific calibration reduces uncertainties. Using an independently constructed accumulation rate history and a steady state bubble number density model, we determined a temperature reconstruction that agrees closely with other independent estimates, showing a stable middle Holocene, followed by a cooling of similar to 1.25 degrees C in the late Holocene. Over the last similar to 5 millennia, accumulation has been higher during warmer times by similar to 12%degrees C-1, somewhat stronger than for thermodynamic control alone, suggesting dynamic processes.</t>
  </si>
  <si>
    <t>[Fegyveresi, John M.; Alley, Richard B.; Voigt, Donald E.; Stevens, Nathan T.] Penn State Univ, Dept Geosci, University Pk, PA 16802 USA; [Fegyveresi, John M.; Alley, Richard B.; Voigt, Donald E.; Stevens, Nathan T.] Penn State Univ, Earth &amp; Environm Syst Inst, University Pk, PA 16802 USA; [Fegyveresi, John M.] Cold Reg Res &amp; Engn Lab, Terr &amp; Cryospher Sci Branch, Hanover, NH USA; [Fitzpatrick, Joan J.] US Geol Survey, Geosci &amp; Environm Change Sci Ctr, Box 25046, Denver, CO 80225 USA; [Cuffey, Kurt M.] Univ Calif Berkeley, Dept Earth &amp; Planetary Sci, Berkeley, CA 94720 USA; [McConnell, Joseph R.] Univ Nevada, Desert Res Inst, Div Hydrol Sci, Reno, NV 89506 USA; [Spencer, Matthew K.] Lake Super State Univ, Sch Phys Sci, Sault Sainte Marie, MI USA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</si>
  <si>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 United States Department of Defense; United States Army; U.S. Army Corps of Engineers; U.S. Army Engineer Research &amp; Development Center (ERDC); Cold Regions Research &amp; Engineering Laboratory (CRREL); United States Department of the Interior; United States Geological Survey; University of California System; University of California Berkeley; Nevada System of Higher Education (NSHE); Desert Research Institute NSHE; University of Nevada Reno</t>
  </si>
  <si>
    <t>Fegyveresi, JM (corresponding author), Penn State Univ, Dept Geosci, University Pk, PA 16802 USA.;Fegyveresi, JM (corresponding author), Penn State Univ, Earth &amp; Environm Syst Inst, University Pk, PA 16802 USA.;Fegyveresi, JM (corresponding author), Cold Reg Res &amp; Engn Lab, Terr &amp; Cryospher Sci Branch, Hanover, NH USA.</t>
  </si>
  <si>
    <t>john.m.fegyveresi@usace.army.mil</t>
  </si>
  <si>
    <t>Fegyveresi, John/0000-0002-1029-6277</t>
  </si>
  <si>
    <t>U.S. Geological Survey Climate and Land Use Change Research and Development Program; U.S. National Science Foundation Division of Polar Programs [0539578, 1043528, 1043313, 0539232, 0537661, 0839093, 1142166]; Directorate For Geosciences [0539232] Funding Source: National Science Foundation; Office of Polar Programs (OPP) [0539232] Funding Source: National Science Foundation; Office of Polar Programs (OPP); Directorate For Geosciences [1043313, 1142166, 1043528, 0539578] Funding Source: National Science Foundation; Office of Polar Programs (OPP); Directorate For Geosciences [0944348, 0537661] Funding Source: National Science Foundation</t>
  </si>
  <si>
    <t>U.S. Geological Survey Climate and Land Use Change Research and Development Program; U.S. National Science Foundation Division of Polar Programs(National Science Foundation (NSF)); Directorate For Geosciences(National Science Foundation (NSF)NSF - Directorate for Geosciences (GEO)); Office of Polar Programs (OPP)(National Science Foundation (NSF)NSF - Directorate for Geosciences (GEO)); Office of Polar Programs (OPP); Directorate For Geosciences(National Science Foundation (NSF)NSF - Directorate for Geosciences (GEO)); Office of Polar Programs (OPP); Directorate For Geosciences(National Science Foundation (NSF)NSF - Directorate for Geosciences (GEO))</t>
  </si>
  <si>
    <t>We acknowledge the following funding sources for support of this work: U.S. Geological Survey Climate and Land Use Change Research and Development Program, and the U.S. National Science Foundation Division of Polar Programs grants 0539578, 1043528, 1043313, 0539232, 0537661, 0839093, and 1142166. We also acknowledge the staff of the U.S. National Ice Core Laboratory in Denver, Colorado, E. Cravens, the WAIS Divide Science Coordination Office at the University of New Hampshire, and the Ice Drilling Design and Operations group at the University of Wisconsin, whose phenomenal success in designing and operating the new Deep Ice Sheet Coring (DISC) drill has reinvigorated U.S. deep ice coring efforts. We thank numerous colleagues in the WAIS Divide project, especially C. Buizert, G. Clow, and E. Steig. We also acknowledge L. Layman, O. Maselli, D. Pasteris, and M. Sigl at the Desert Research Institute of Reno, Nevada, for their assistance with chemical analyses of ice samples. Lastly, we thank our three reviewers, whose thoughtful suggestions and questions served to clarify and improve this manuscript. Data policy: All data presented here are available via download from NSIDC (http://nsidc.org) or from the WAIS Divide data portal (http://waisdivide.unh.edu).</t>
  </si>
  <si>
    <t>10.1002/2015PA002851</t>
  </si>
  <si>
    <t>DJ6SU</t>
  </si>
  <si>
    <t>WOS:000374344000005</t>
  </si>
  <si>
    <t>Zhang, L; Na, GS; He, CX; Li, RJ; Gao, H; Ge, LK; Wang, YJ; Yao, Y</t>
  </si>
  <si>
    <t>Zhang, Li; Na, Guang-Shui; He, Chun-Xiang; Li, Rui-Jing; Gao, Hui; Ge, Lin-Ke; Wang, Yan-Jie; Yao, Yao</t>
  </si>
  <si>
    <t>A novel method through solid phase extraction combined with gradient elution for concentration and separation of 66 (ultra) trace persistent toxic pollutants in Antarctic waters</t>
  </si>
  <si>
    <t>CHINESE CHEMICAL LETTERS</t>
  </si>
  <si>
    <t>Polychlorinated biphenyls (PCBs); Organochlorine pesticides (OCPs); Polycyclic aromatic hydrocarbons (PAHs); Hexabromocyclododecanes (HBCDs); Solid phase extraction (SPE); Gradient elution</t>
  </si>
  <si>
    <t>POLYCYCLIC AROMATIC-HYDROCARBONS; POLYCHLORINATED-BIPHENYLS PCBS; ORGANOCHLORINE PESTICIDES; HEXABROMOCYCLODODECANE HBCD; CHROMATOGRAPHY; SEDIMENT; RIVER; OCPS; PBDES; PAHS</t>
  </si>
  <si>
    <t>This study developed a method to perform the simultaneous concentration and selective separation of 66 (ultra) trace persistent toxic substances in Antarctic waters. The substances included 30 polychlorinated biphenyls, 17 organochlorine pesticides, 16 polycyclic aromatic hydrocarbons, 3 hexabromocyclododecanes. Solid phase extraction was performed using a C-18 membrane and silica gel column. Gradient elution was conducted using organic solvents with different polarities; as a result, the efficiency of the C-18 film is improved and the interferences from impurities and target compounds are eliminated. Extracts were subsequently analyzed through gas chromatography or liquid and gas chromatography coupled to tandem mass spectrometry. Method validation yielded the following values: recoveries of all target analytes in the Antarctic water ranged from 87.3% to 117.6% and reproducibility as percent relative standard deviation was lower than 5%. Quantification limits ranged from 0.004 mu g L-1 to 0.030 mu g L-1. The established method improved the recoveries and reduced the limits of detection. Results indicated the method exhibited good performance in the simultaneous concentration and selective separation of 66 (ultra) trace organic pollutants; Therefore, the proposed sample pretreatment can potentially eliminate the effects of various classes of impurities to some extent. (C) 2015 Chinese Chemical Society and Institute of Materia Medica, Chinese Academy of Medical Sciences. Published by Elsevier B.V. All rights reserved.</t>
  </si>
  <si>
    <t>[Zhang, Li; He, Chun-Xiang] Liaoning Normal Univ, Sch Chem &amp; Chem Engn, Dalian 116029, Peoples R China; [Zhang, Li; Na, Guang-Shui; Li, Rui-Jing; Gao, Hui; Ge, Lin-Ke; Wang, Yan-Jie; Yao, Yao] Natl Marine Environm Monitoring Ctr, Key Lab Ecol Environm Coastal Areas SOA, Dalian 116023, Peoples R China</t>
  </si>
  <si>
    <t>Liaoning Normal University; National Marine Environmental Monitoring Center</t>
  </si>
  <si>
    <t>He, CX (corresponding author), Liaoning Normal Univ, Sch Chem &amp; Chem Engn, Dalian 116029, Peoples R China.;Na, GS (corresponding author), Natl Marine Environm Monitoring Ctr, Key Lab Ecol Environm Coastal Areas SOA, Dalian 116023, Peoples R China.</t>
  </si>
  <si>
    <t>gsna@nmemc.org.cn; hcx0224@163.com</t>
  </si>
  <si>
    <t>National Natural Science Foundation of China [21377032]; Chinese Polar Environment Comprehensive Investigation and Assessment Program [2014-02-01, 2014-03-04, 2014-04-01, 2014-04-03]; Marine Public Welfare Scientific Research Projects [201105013]; Foundation of Polar Science Key Laboratory, SOA, China [KP201208]</t>
  </si>
  <si>
    <t>National Natural Science Foundation of China(National Natural Science Foundation of China (NSFC)); Chinese Polar Environment Comprehensive Investigation and Assessment Program; Marine Public Welfare Scientific Research Projects; Foundation of Polar Science Key Laboratory, SOA, China</t>
  </si>
  <si>
    <t>This work was financially supported by the National Natural Science Foundation of China (No. 21377032), the Chinese Polar Environment Comprehensive Investigation and Assessment Program (Nos. 2014-02-01, 2014-03-04, 2014-04-01, 2014-04-03), the Marine Public Welfare Scientific Research Projects (No. 201105013) and the Foundation of Polar Science Key Laboratory, SOA, China (No. KP201208).</t>
  </si>
  <si>
    <t>1001-8417</t>
  </si>
  <si>
    <t>1878-5964</t>
  </si>
  <si>
    <t>CHINESE CHEM LETT</t>
  </si>
  <si>
    <t>Chin. Chem. Lett.</t>
  </si>
  <si>
    <t>10.1016/j.cclet.2015.12.001</t>
  </si>
  <si>
    <t>DK3EI</t>
  </si>
  <si>
    <t>WOS:000374799400022</t>
  </si>
  <si>
    <t>Kanfoush, SL</t>
  </si>
  <si>
    <t>Kanfoush, Sharon L.</t>
  </si>
  <si>
    <t>A pulse in the delivery of ice-rafted debris at site 704 in the southeast Atlantic during glacial Termination V</t>
  </si>
  <si>
    <t>MARINE GEOPHYSICAL RESEARCH</t>
  </si>
  <si>
    <t>South Atlantic Ocean; Termination V; Antarctic ice sheet; Sea-level; Ice-rafted debris</t>
  </si>
  <si>
    <t>SEA-LEVEL; EAST ANTARCTICA; SHEET; OCEAN; COLLAPSE; DEGLACIATION; HISTORY; ATMOSPHERE; GREENLAND; DISCHARGE</t>
  </si>
  <si>
    <t>Termination V, the transition from glacial marine isotope stage 12 to interglacial stage 11-425 ka, is the largest deglaciation of the late Pleistocene and culminated with temperatures potentially warmer than present. Coastal geomorphic and stratigraphic evidence provides estimates of a sea-level high-stand 20 m above present at the time (Hearty et al. in Geology 27(4): 375-378, 1999). Such sea-level rise would require disintegration of the Greenland Ice Sheet and West Antarctic Ice Sheet as well as part of the East Antarctic Ice Sheet (Raynaud et al. in Earth's climate and orbital eccentricity: the marine isotope stage 11 question. Geophysical monograph 137. American Geophysical Union, Washington, 2003). Lithic fragments in deep-sea sediments &gt; 150 mu m at Site 704 in the South Atlantic Ocean were quantified. A large multipronged peak in concentration of this ice-rafted debris consisting of clear minerals, rose-colored transparent minerals, and ash punctuates glacial Termination V. It coincides with a brief two-pronged 1 parts per thousand reversal to heavier isotopic values from similar to 2.4 to similar to 3.4 parts per thousand at similar to 416 ka interpreted to reflect cooling resulting from influx of a large number of icebergs. The peak in ice-rafted debris also coincides with a 1 parts per thousand decrease in carbon isotopic ratios interrupting the similar to 2 parts per thousand increase in carbon isotope values across the entirety of Termination V. This is interpreted to reflect a reduction or shutdown in North Atlantic Deep Water formation and attendant Circumpolar Deep Water upwelling at the site and is also consistent with a shift in storage of carbon and carbonate from the deep sea to continental shelves resulting from a dramatic sea-level high-stand. Consequently, the lithic record at Site 704 lends support for the upper end of sea-level estimates based upon land-based evidence that requires a substantial contribution from the East Antarctic Ice Sheet. However, caution is warranted as differences with lithic records from Site 1089, 1090 and 1094 suggest sea-surface temperatures may have also affected lithic concentration through controls on iceberg trajectories and decay.</t>
  </si>
  <si>
    <t>[Kanfoush, Sharon L.] Utica Coll, Dept Geol, Utica, NY 13502 USA</t>
  </si>
  <si>
    <t>Kanfoush, SL (corresponding author), Utica Coll, Dept Geol, Utica, NY 13502 USA.</t>
  </si>
  <si>
    <t>skanfoush@utica.edu</t>
  </si>
  <si>
    <t>Ocean Drilling Program; Utica College; NASA</t>
  </si>
  <si>
    <t>Ocean Drilling Program(National Science Foundation (NSF)NSF - Directorate for Geosciences (GEO)); Utica College; NASA(National Aeronautics &amp; Space Administration (NASA))</t>
  </si>
  <si>
    <t>Financial support for this project was provided to S.L.K. by the Ocean Drilling Program and by Utica College in the form of start-up funds to S.L.K. as well as a Grant from NASA to Utica College.</t>
  </si>
  <si>
    <t>0025-3235</t>
  </si>
  <si>
    <t>1573-0581</t>
  </si>
  <si>
    <t>MAR GEOPHYS RES</t>
  </si>
  <si>
    <t>Mar. Geophys. Res.</t>
  </si>
  <si>
    <t>10.1007/s11001-015-9262-z</t>
  </si>
  <si>
    <t>Geochemistry &amp; Geophysics; Oceanography</t>
  </si>
  <si>
    <t>DJ5KX</t>
  </si>
  <si>
    <t>WOS:000374247900003</t>
  </si>
  <si>
    <t>Tang, XY; Guo, JX; Sun, B; Wang, TT; Cui, XB</t>
  </si>
  <si>
    <t>Tang Xue-Yuan; Guo Jing-Xue; Sun Bo; Wang Tian-Tian; Cui Xiang-Bin</t>
  </si>
  <si>
    <t>Ice thickness, internal layers, and surface and subglacial topography in the vicinity of Chinese Antarctic Taishan station in Princess Elizabeth Land, East Antarctica</t>
  </si>
  <si>
    <t>APPLIED GEOPHYSICS</t>
  </si>
  <si>
    <t>East Antarctica; Taishan station; ice thickness; internal layers; ground-based radio echo sounding</t>
  </si>
  <si>
    <t>ZHONGSHAN STATION; WEST ANTARCTICA; TRAVERSE ROUTE; DOME; FLOW</t>
  </si>
  <si>
    <t>We present the results of two ground-based radio-echo-sounding (RES) and GPS surveys performed in the vicinity of new Chinese Taishan station, Princess Elizabeth Land, East Antarctica, obtained in two austral summers during CHINARE 21 (2004/2005) and CHINARE 29 (2012/2013). The radar surveys measured ice thickness and internal layers using 60- and 150-MHz radar systems, and GPS measurements showed smooth surface slopes around the station with altitudes of 2607-2636 m above sea level (a.s.l.). Radar profiles indicate an average ice thickness of 1900 m, with a maximum of 1949 m and a minimum of 1856 m, within a square area measuring approximately 2 km x 2 km in the vicinity of the station. The ice thickness beneath the station site is 1870 m. The subglacial landscape beneath the station is quiet sharp and ranges from 662 to 770 m a.s.l., revealing part of a mountainous topography. The ice volume in the grid is estimated to be 7.6 km(3). Along a 60-MHz radar profile with a length of 17.6 km at the region covering the station site, some disturbed internal layers are identified and traced; the geometry of internal layers within the englacial stratigraphy may imply a complex depositional process in the area.</t>
  </si>
  <si>
    <t>[Tang Xue-Yuan; Guo Jing-Xue; Sun Bo; Wang Tian-Tian; Cui Xiang-Bin] Polar Res Inst China, SOA Key Lab Polar Sci, Shanghai 200136, Peoples R China</t>
  </si>
  <si>
    <t>Tang, XY (corresponding author), Polar Res Inst China, SOA Key Lab Polar Sci, Shanghai 200136, Peoples R China.</t>
  </si>
  <si>
    <t>tangxueyuan@pric.org.cn</t>
  </si>
  <si>
    <t>Cui, Xiangbin/Y-1551-2019</t>
  </si>
  <si>
    <t>Cui, Xiangbin/0000-0002-4269-8086</t>
  </si>
  <si>
    <t>National Natural Science Foundation of China [41376192, 40906101]; National Basic Research Program of China (973 Program) [2013CBA01804, 2012CB957702]; Foreign Cooperation Support Program of Chinese Arctic and Antarctic Administration, SOA, China [IC201214]; Natural Science Foundation of Shanghai, China [13ZR1445300]; Chinese Polar Environment Comprehensive Investigation &amp; Assessment Programmes [CHINARE2014-01-01]</t>
  </si>
  <si>
    <t>National Natural Science Foundation of China(National Natural Science Foundation of China (NSFC)); National Basic Research Program of China (973 Program)(National Basic Research Program of China); Foreign Cooperation Support Program of Chinese Arctic and Antarctic Administration, SOA, China; Natural Science Foundation of Shanghai, China(Natural Science Foundation of Shanghai); Chinese Polar Environment Comprehensive Investigation &amp; Assessment Programmes</t>
  </si>
  <si>
    <t>This work is financially supported by the National Natural Science Foundation of China (Grant No. 41376192,40906101), the National Basic Research Program of China (973 Program) (Grant No. 2013CBA01804 and 2012CB957702), the Foreign Cooperation Support Program of Chinese Arctic and Antarctic Administration, SOA, China (Grand No. IC201214), the Natural Science Foundation of Shanghai, China (Grand No. 13ZR1445300), and the Chinese Polar Environment Comprehensive Investigation &amp; Assessment Programmes (CHINARE2014-01-01).</t>
  </si>
  <si>
    <t>1672-7975</t>
  </si>
  <si>
    <t>1993-0658</t>
  </si>
  <si>
    <t>APPL GEOPHYS</t>
  </si>
  <si>
    <t>Appl. Geophys.</t>
  </si>
  <si>
    <t>10.1007/s11770-016-0540-6</t>
  </si>
  <si>
    <t>DJ3IU</t>
  </si>
  <si>
    <t>WOS:000374099000019</t>
  </si>
  <si>
    <t>Cui, XB; Sun, B; Su, XG; Guo, JX</t>
  </si>
  <si>
    <t>Cui Xiang-Bin; Sun Bo; Su Xiao-Gang; Guo Jing-Xue</t>
  </si>
  <si>
    <t>Distribution of ice thickness and subglacial topography of the Chinese Wall around Kunlun Station, East Antarctica</t>
  </si>
  <si>
    <t>Antarctic Ice sheet; Kunlun Station; Ice thickness; Subglacial topography; Ice-penetrating radar</t>
  </si>
  <si>
    <t>DOME; SHEET</t>
  </si>
  <si>
    <t>As fundamental parameters of the Antarctic Ice Sheet, ice thickness and subglacial topography are critical factors for studying the basal conditions and mass balance in Antarctica. During CHINARE 24 (the 24th Chinese National Antarctic Research Expedition, 2007/08), the research team used a deep ice-penetrating radar system to measure the ice thickness and subglacial topography of the Chinese Wall around Kunlun Station, East Antarctica. Preliminary results show that the ice thickness varies mostly from 1600 m to 2800 m along the Chinese Wall, with the thickest ice being 3444 m, and the thinnest ice 1255 m. The average bedrock elevation is 1722 m, while the minimum is just 604 m. Compared with the northern side of the ice divide, the ice thickness is a little greater and the subglacial topography lower on the southern side, which is also characterized by four deep valleys. We found no basal freeze-on ice in the Gamburtsev Subglacial Mountains area, subglacial lakes, or water bodies along the Chinese Wall. Ice thickness and subglacial topography data extracted from the Bedmap 2 database along the Chinese Wall are consistent with our results, but their resolution and accuracy are very limited in areas where the bedrock fluctuates intensely. The distribution of ice thickness and subglacial topography detected by ice-penetrating radar clarifies the features of the ice sheet in this inaccessible region. These results will help to advance the study of ice sheet dynamics and the determination of future locations of the GSM's geological and deep ice core drilling sites in the Dome A region.</t>
  </si>
  <si>
    <t>[Cui Xiang-Bin; Sun Bo; Su Xiao-Gang; Guo Jing-Xue] Polar Res Inst China, Glaciol Div, Shanghai 200136, Peoples R China</t>
  </si>
  <si>
    <t>Cui, XB (corresponding author), Polar Res Inst China, Glaciol Div, Shanghai 200136, Peoples R China.</t>
  </si>
  <si>
    <t>cuixiangbin@pric.org.cn</t>
  </si>
  <si>
    <t>Cui, Xiangbin/Y-1551-2019; Su, Xiaogang/B-7340-2009</t>
  </si>
  <si>
    <t>Cui, Xiangbin/0000-0002-4269-8086;</t>
  </si>
  <si>
    <t>National Basic Research Program of China [2013CBA01804, 2012CB957702]; Chinese Polar Environmental Comprehensive Investigation and Assessment Programs [CHINARE-02-02]; National Science Foundation of China [41101071]</t>
  </si>
  <si>
    <t>National Basic Research Program of China(National Basic Research Program of China); Chinese Polar Environmental Comprehensive Investigation and Assessment Programs; National Science Foundation of China(National Natural Science Foundation of China (NSFC))</t>
  </si>
  <si>
    <t>This work was supported by National Basic Research Program of China (Grant Nos. 2013CBA01804 and 2012CB957702), the Chinese Polar Environmental Comprehensive Investigation and Assessment Programs (Grant No. CHINARE-02-02), and the National Science Foundation of China (Grant No. 41101071).</t>
  </si>
  <si>
    <t>10.1007/s11770-016-0539-z</t>
  </si>
  <si>
    <t>WOS:000374099000020</t>
  </si>
  <si>
    <t>Ramirez, C; Nyblade, A; Hansen, SE; Wiens, DA; Anandakrishnan, S; Aster, RC; Huerta, AD; Shore, P; Wilson, T</t>
  </si>
  <si>
    <t>Ramirez, C.; Nyblade, A.; Hansen, S. E.; Wiens, D. A.; Anandakrishnan, S.; Aster, R. C.; Huerta, A. D.; Shore, P.; Wilson, T.</t>
  </si>
  <si>
    <t>Crustal and upper-mantle structure beneath ice-covered regions in Antarctica from S-wave receiver functions and implications for heat flow</t>
  </si>
  <si>
    <t>Heat flow; Seismicity and tectonics; Site effects; Antarctica</t>
  </si>
  <si>
    <t>MARIE BYRD LAND; WEST ANTARCTICA; TRANSANTARCTIC MOUNTAINS; CONTINENTAL-CRUST; RIFT SYSTEM; SEDIMENTARY BASINS; VELOCITY STRUCTURE; ROSS SEA; EXTENSION; EVOLUTION</t>
  </si>
  <si>
    <t>S-wave receiver functions (SRFs) are used to investigate crustal and upper-mantle structure beneath several ice-covered areas of Antarctica. Moho S-to-P (Sp) arrivals are observed at similar to 6-8 s in SRF stacks for stations in the Gamburtsev Mountains (GAM) and Vostok Highlands (VHIG), similar to 5-6 s for stations in the Transantarctic Mountains (TAM) and the Wilkes Basin (WILK), and similar to 3-4 s for stations in the West Antarctic Rift System (WARS) and the Marie Byrd Land Dome (MBLD). A grid search is used to model the Moho Sp conversion time with Rayleigh wave phase velocities from 18 to 30 s period to estimate crustal thickness and mean crustal shear wave velocity. The Moho depths obtained are between 43 and 58 km for GAM, 36 and 47 km for VHIG, 39 and 46 km for WILK, 39 and 45 km for TAM, 19 and 29 km for WARS and 20 and 35 km for MBLD. SRF stacks for GAM, VHIG, WILK and TAM show little evidence of Sp arrivals coming from upper-mantle depths. SRF stacks for WARS and MBLD show Sp energy arriving from upper-mantle depths but arrival amplitudes do not rise above bootstrapped uncertainty bounds. The age and thickness of the crust is used as a heat flow proxy through comparison with other similar terrains where heat flow has been measured. Crustal structure in GAM, VHIG and WILK is similar to Precambrian terrains in other continents where heat flow ranges from similar to 41 to 58 mW m(-2), suggesting that heat flow across those areas of East Antarctica is not elevated. For the WARS, we use the Cretaceous Newfoundland-Iberia rifted margins and the Mesozoic-Tertiary North Sea rift as tectonic analogues. The low-to-moderate heat flow reported for the Newfoundland-Iberia margins (40-65 mW m(-2)) and North Sea rift (60-85 mW m(-2)) suggest that heat flow across the WARS also may not be elevated. However, the possibility of high heat flow associated with localized Cenozoic extension or Cenozoic-recent magmatic activity in some parts of the WARS cannot be ruled out.</t>
  </si>
  <si>
    <t>[Ramirez, C.; Nyblade, A.; Anandakrishnan, S.] Penn State Univ, Dept Geosci, University Pk, PA 16802 USA; [Hansen, S. E.] Univ Alabama, Dept Geosci, Tuscaloosa, AL 35487 USA; [Wiens, D. A.; Shore, P.] Washington Univ, Dept Earth &amp; Planetary Sci, St Louis, MO 63130 USA; [Aster, R. C.] Colorado State Univ, Dept Geosci, Ft Collins, CO 80523 USA; [Huerta, A. D.] Cent Washington Univ, Dept Geol Sci, Ellensburg, WA 98926 USA; [Wilson, T.] Ohio State Univ, Byrd Polar Res Ctr, Columbus, OH 43210 USA; [Wilson, T.] Ohio State Univ, Sch Earth Sci, Columbus, OH 43210 USA</t>
  </si>
  <si>
    <t>Pennsylvania Commonwealth System of Higher Education (PCSHE); Pennsylvania State University; Pennsylvania State University - University Park; University of Alabama System; University of Alabama Tuscaloosa; Washington University (WUSTL); Colorado State University; Central Washington University; University System of Ohio; Ohio State University; University System of Ohio; Ohio State University</t>
  </si>
  <si>
    <t>Ramirez, C (corresponding author), Penn State Univ, Dept Geosci, University Pk, PA 16802 USA.</t>
  </si>
  <si>
    <t>crsito_15@yahoo.com</t>
  </si>
  <si>
    <t>Aster, Richard/E-5067-2013; Anandakrishnan, Sridhar/JCN-5026-2023; Huerta, Audrey D/A-8680-2009; Wiens, Douglas/J-9259-2016</t>
  </si>
  <si>
    <t>Aster, Richard/0000-0002-0821-4906; Wiens, Douglas/0000-0002-5169-4386; Hansen, Samantha/0000-0001-7608-5715; Huerta, Audrey/0000-0002-0252-8496</t>
  </si>
  <si>
    <t>NSF Office of Polar Programs the POLENET-ANET program [0632230, 0632239, 0652322, 0632335, 0632136, 0632209, 0632185]; National Science Foundation [EAR-1063471]; Directorate For Geosciences; Office of Polar Programs (OPP) [1246776, 0632185, 1249631, 0632239, 0632209, 1246712] Funding Source: National Science Foundation; Office of Polar Programs (OPP); Directorate For Geosciences [1419268, 0632136, 1246666, 0632335] Funding Source: National Science Foundation</t>
  </si>
  <si>
    <t>NSF Office of Polar Programs the POLENET-ANET program; National Science Foundation(National Science Foundation (NSF)); Directorate For Geosciences; Office of Polar Programs (OPP)(National Science Foundation (NSF)NSF - Directorate for Geosciences (GEO)); Office of Polar Programs (OPP); Directorate For Geosciences(National Science Foundation (NSF)NSF - Directorate for Geosciences (GEO))</t>
  </si>
  <si>
    <t>The NSF Office of Polar Programs grants 0632230, 0632239, 0652322, 0632335, 0632136, 0632209 and 0632185 support the POLENET-ANET program. All of the seismic deployments incorporated in this study were made possible by the Incorporated Research Institutions for Seismology (IRIS) through the PASSCAL Instrument Center at New Mexico Tech. Seismic data are available from the IRIS Data Management Center. The facilities of the IRIS Consortium are supported by the National Science Foundation under Cooperative agreement EAR-1063471. Figures in this study were made using the freely available software packages of 'Octave' and 'Generic Mapping Tools (GMT)'. We would like to thank the seismology research group at The Pennsylvania State University for valuable discussion and improvements in the drafting of this manuscript, and two anonymous reviewers for their helpful comments.</t>
  </si>
  <si>
    <t>10.1093/gji/ggv542</t>
  </si>
  <si>
    <t>DI7YY</t>
  </si>
  <si>
    <t>WOS:000373719100016</t>
  </si>
  <si>
    <t>Key, J; Wang, XJ; Liu, YH; Dworak, R; Letterly, A</t>
  </si>
  <si>
    <t>Key, Jeffrey; Wang, Xuanji; Liu, Yinghui; Dworak, Richard; Letterly, Aaron</t>
  </si>
  <si>
    <t>The AVHRR Polar Pathfinder Climate Data Records</t>
  </si>
  <si>
    <t>sea ice; radiation; climate data record; Antarctic; AVHRR; clouds; Arctic; Polar regions</t>
  </si>
  <si>
    <t>RADIATION PROPERTIES; ARCTIC SURFACE; SEA-ICE; CLOUD COVER; AMPLIFICATION; TRENDS</t>
  </si>
  <si>
    <t>With recent, dramatic changes in Arctic sea ice and the Antarctic ice sheets, the importance of monitoring the climate of the polar regions has never been greater. While many individual global satellite products exist, the AVHRR Polar Pathfinder products provide a comprehensive set of variables that can be used to study trends and interactions within the Arctic and Antarctic climate systems. This paper describes the AVHRR Polar Pathfinder (APP), which is a fundamental climate data record that provides channel reflectances and brightness temperatures, and the AVHRR Polar Pathfinder-Extended (APP-x), which is a thematic climate data record that builds on APP to provide information on surface and cloud properties and radiative fluxes. Both datasets cover the period from 1982 through the present, twice daily, over both polar regions. APP-x has been used in the study of trends in surface properties, cloud cover, and radiative fluxes, interactions between clouds and sea ice, and the role of land surface changes in summer warming.</t>
  </si>
  <si>
    <t>[Key, Jeffrey] NOAA, NESDIS, 1225 W Dayton St, Madison, WI 53706 USA; [Wang, Xuanji; Liu, Yinghui; Dworak, Richard; Letterly, Aaron] Univ Wisconsin, Cooperat Inst Meteorol Satellite Studies, 1225 W Dayton St, Madison, WI 53706 USA</t>
  </si>
  <si>
    <t>National Oceanic Atmospheric Admin (NOAA) - USA; University of Wisconsin System; University of Wisconsin Madison</t>
  </si>
  <si>
    <t>Key, J (corresponding author), NOAA, NESDIS, 1225 W Dayton St, Madison, WI 53706 USA.</t>
  </si>
  <si>
    <t>jkey@ssec.wisc.edu; xuanjiw@ssec.wisc.edu; yinghuil@ssec.wisc.edu; rdworak@ssec.wisc.edu; aaron.letterly@ssec.wisc.edu</t>
  </si>
  <si>
    <t>Key, Jeffrey R./AAB-7248-2020</t>
  </si>
  <si>
    <t>NOAA Climate Data Records program; National Science Foundation's Arctic System Science program [ARC 1023371]; Directorate For Geosciences; Office of Polar Programs (OPP) [1023371] Funding Source: National Science Foundation</t>
  </si>
  <si>
    <t>NOAA Climate Data Records program(National Oceanic Atmospheric Admin (NOAA) - USA); National Science Foundation's Arctic System Science program(National Science Foundation (NSF)NSF - Directorate for Geosciences (GEO)); Directorate For Geosciences; Office of Polar Programs (OPP)(National Science Foundation (NSF)NSF - Directorate for Geosciences (GEO))</t>
  </si>
  <si>
    <t>This work was supported by the NOAA Climate Data Records program and the National Science Foundation's Arctic System Science program (ARC 1023371). A number of people at the National Centers for Environmental Information (NCEI) Center for Weather and Climate (Asheville, North Carolina; formerly the National Climate Data Center) devoted considerable time and energy to the transition of APP and APP-x from a research environment to NCEI, notably Alisa Young, Heather Brown, and Daniel Wunder. The views, opinions, and findings contained in this report are those of the authors and should not be construed as an official National Oceanic and Atmospheric Administration or U.S. Government position, policy, or decision.</t>
  </si>
  <si>
    <t>10.3390/rs8030167</t>
  </si>
  <si>
    <t>DI6RJ</t>
  </si>
  <si>
    <t>WOS:000373627400022</t>
  </si>
  <si>
    <t>Liu, WB; Purdon, K; Stafford, T; Paden, J; Li, XG</t>
  </si>
  <si>
    <t>Liu, Weibo; Purdon, Kyle; Stafford, Trey; Paden, John; Li, Xingong</t>
  </si>
  <si>
    <t>Open Polar Server (OPS)-An Open Source Infrastructure for the Cryosphere Community</t>
  </si>
  <si>
    <t>ISPRS INTERNATIONAL JOURNAL OF GEO-INFORMATION</t>
  </si>
  <si>
    <t>CReSIS; data management; spatial data infrastructure; geoportal; interpolation</t>
  </si>
  <si>
    <t>OPEN SOURCE SOFTWARE; WEB APPLICATION; CLIMATE-CHANGE; MASS-BALANCE; MANAGEMENT</t>
  </si>
  <si>
    <t>The Center for Remote Sensing of Ice Sheets (CReSIS) at the University of Kansas has collected approximately 1000 terabytes (TB) of radar depth sounding data over the Arctic and Antarctic ice sheets since 1993 in an effort to map the thickness of the ice sheets and ultimately understand the impacts of climate change and sea level rise. In addition to data collection, the storage, management, and public distribution of the dataset are also primary roles of the CReSIS. The Open Polar Server (OPS) project developed a free and open source infrastructure to store, manage, analyze, and distribute the data collected by CReSIS in an effort to replace its current data storage and distribution approach. The OPS infrastructure includes a spatial database management system (DBMS), map and web server, JavaScript geoportal, and MATLAB application programming interface (API) for the inclusion of data created by the cryosphere community. Open source software including GeoServer, PostgreSQL, PostGIS, OpenLayers, ExtJS, GeoEXT and others are used to build a system that modernizes the CReSIS data distribution for the entire cryosphere community and creates a flexible platform for future development. Usability analysis demonstrates the OPS infrastructure provides an improved end user experience. In addition, interpolating glacier topography is provided as an application example of the system.</t>
  </si>
  <si>
    <t>[Liu, Weibo; Paden, John] Univ Kansas, Ctr Remote Sensing Ice Sheets, Lawrence, KS 66045 USA; [Liu, Weibo; Li, Xingong] Univ Kansas, Dept Geog &amp; Atmospher Sci, Lawrence, KS 66045 USA; [Purdon, Kyle] Bitly Inc, Denver, CO 80202 USA; [Stafford, Trey] Univ Nebraska, Ctr Adv Land Management Informat Technol, Lincoln, NE 68588 USA</t>
  </si>
  <si>
    <t>University of Kansas; University of Kansas; University of Nebraska System; University of Nebraska Lincoln</t>
  </si>
  <si>
    <t>Li, XG (corresponding author), Univ Kansas, Dept Geog &amp; Atmospher Sci, Lawrence, KS 66045 USA.</t>
  </si>
  <si>
    <t>Weibo@ku.edu; kylepurdon@gmail.com; treystaff@gmail.com; paden@ku.edu; lixi@ku.edu</t>
  </si>
  <si>
    <t>Liu, Weibo/G-4452-2018</t>
  </si>
  <si>
    <t>Liu, Weibo/0000-0003-2106-4313</t>
  </si>
  <si>
    <t>NSF [ANT-0424589]; NASA Operation IceBridge grant [NNX13AD53A]; NASA [475386, NNX13AD53A] Funding Source: Federal RePORTER</t>
  </si>
  <si>
    <t>NSF(National Science Foundation (NSF)); NASA Operation IceBridge grant; NASA(National Aeronautics &amp; Space Administration (NASA))</t>
  </si>
  <si>
    <t>We acknowledge support from NSF grant ANT-0424589 and NASA Operation IceBridge grant NNX13AD53A. We would like to thank all the CReSIS researchers and students who collect the geospatial data and digitize the data. We also like to acknowledge the users who participated the evaluation of the OPS infrastructure.</t>
  </si>
  <si>
    <t>POSTFACH, CH-4005 BASEL, SWITZERLAND</t>
  </si>
  <si>
    <t>2220-9964</t>
  </si>
  <si>
    <t>ISPRS INT J GEO-INF</t>
  </si>
  <si>
    <t>ISPRS Int. Geo-Inf.</t>
  </si>
  <si>
    <t>10.3390/ijgi5030032</t>
  </si>
  <si>
    <t>Computer Science, Information Systems; Geography, Physical; Remote Sensing</t>
  </si>
  <si>
    <t>Computer Science; Physical Geography; Remote Sensing</t>
  </si>
  <si>
    <t>DI2ZH</t>
  </si>
  <si>
    <t>WOS:000373367400011</t>
  </si>
  <si>
    <t>Lee, SH; Lee, WK; Won, YJ</t>
  </si>
  <si>
    <t>Lee, Sang-Hui; Lee, Won-Kyung; Won, Yong-Jin</t>
  </si>
  <si>
    <t>A NEW SPECIES OF YETI CRAB, GENUS KIWA MACPHERSON, JONES AND SEGONZAC, 2005 (DECAPODA: ANOMURA: KIWAIDAE), FROM A HYDROTHERMAL VENT ON THE AUSTRALIAN-ANTARCTIC RIDGE</t>
  </si>
  <si>
    <t>Circum-Antarctic Ridge system; deep sea; Mujin vent field; Southern Ocean</t>
  </si>
  <si>
    <t>FAMILY</t>
  </si>
  <si>
    <t>A new species of deep-sea yeti crab, Kiwa araonae, is described from a hydrothermal vent field, Mujin (Misty Harbor), at a depth of about 2000 m on the Australian-Antarctic Ridge (AAR), Southern Ocean. The Mujin vent field (62 degrees 11.79'S), in a large, unexplored gap in the Circum-Antarctic Ridge system, is the most southern record for a yeti crab to date. Kiwa araonae n. sp. is the fourth described species in the family Kiwaidae Macpherson, Jones and Segonzac, 2005, and the second known from the Southern Ocean. This new species differs morphologically from its three congeners by the having a nearly flat branchial region, relatively short rostrum, third sternite with parallel lateral margins, slender chela, straight fingers of the chela, and propodi of pereiopods 2-4 with three corneous spines on the flexor margins. The Bayesian phylogenetic tree and the genetic distance based on the mitochondrial 16S rRNA gene (408 bp) clearly indicate the distinctiveness of this species. The discovery of Kiwa araonae in the AAR suggests a possible biogeographic connection of the Southern Ocean vent faunas. The presence of a new hydrothermal vent field with endemic species in the AAR provides additional information on the global biogeography of deep-sea vent faunas.</t>
  </si>
  <si>
    <t>[Lee, Sang-Hui] Natl Marine Biodivers Inst Korea, Seochun 33662, South Korea; [Lee, Won-Kyung; Won, Yong-Jin] Ewha Womans Univ, Div EcoSci, Seoul 03760, South Korea</t>
  </si>
  <si>
    <t>Marine Biodiversity Institute of Korea (MABIK); Ewha Womans University</t>
  </si>
  <si>
    <t>Won, YJ (corresponding author), Ewha Womans Univ, Div EcoSci, Seoul 03760, South Korea.</t>
  </si>
  <si>
    <t>won@ewha.ac.kr</t>
  </si>
  <si>
    <t>Korea Polar Research Institute (KOPRI) [PP13040, PE15050]; National Research Foundation of Korea (NRF) grant - South Korean government (MSIP) [NRF-2015R1A4A1041997]</t>
  </si>
  <si>
    <t>Korea Polar Research Institute (KOPRI)(Korea Polar Research Institute of Marine Research Placement (KOPRI)); National Research Foundation of Korea (NRF) grant - South Korean government (MSIP)(National Research Foundation of Korea)</t>
  </si>
  <si>
    <t>Our research cruises to the Australian-Antarctic Ridge (AAR) and laboratory work for genetic analyses were supported by grants from the Korea Polar Research Institute (KOPRI) (PP13040 and PE15050) to Y. Won. Work was also supported by the National Research Foundation of Korea (NRF) grant funded by the South Korean government (MSIP) (NRF-2015R1A4A1041997) to Y. Won. We thank Dr. Sung-Hyun Park, Dr. Doshik Hahm, and Dr. Chung Yeon Hwang for their successful mapping of a new vent field, Mujin, and assisting us in collecting biological samples from the region. We thank the captains and crews of the icebreaker Araon of KOPRI for their expertise and assistance at sea. We also thank two anonymous reviewers for their kind and helpful comments to improve the first version of the manuscript.</t>
  </si>
  <si>
    <t>10.1163/1937240X-00002418</t>
  </si>
  <si>
    <t>DH8HK</t>
  </si>
  <si>
    <t>WOS:000373033900015</t>
  </si>
  <si>
    <t>Miller, BS; Calderan, S; Gillespie, D; Weatherup, G; Leaper, R; Collins, K; Double, MC</t>
  </si>
  <si>
    <t>Miller, Brian S.; Calderan, Susannah; Gillespie, Douglas; Weatherup, Graham; Leaper, Russell; Collins, Kym; Double, Michael C.</t>
  </si>
  <si>
    <t>Software for real-time localization of baleen whale calls using directional sonobuoys: A case study on Antarctic blue whales</t>
  </si>
  <si>
    <t>NEW-ZEALAND; VOCALIZATIONS; CALIFORNIA; SENSORS; RATES; RARE; SEA</t>
  </si>
  <si>
    <t>Directional frequency analysis and recording (DIFAR) sonobuoys can allow real-time acoustic localization of baleen whales for underwater tracking and remote sensing, but limited availability of hardware and software has prevented wider usage. These software limitations were addressed by developing a module in the open-source software PAMGuard. A case study is presented demonstrating that this software provides greater efficiency and accessibility than previous methods for detecting, localizing, and tracking Antarctic blue whales in real time. Additionally, this software can easily be extended to track other low and mid frequency sounds including those from other cetaceans, pinnipeds, icebergs, shipping, and seismic airguns.</t>
  </si>
  <si>
    <t>[Miller, Brian S.; Calderan, Susannah; Collins, Kym; Double, Michael C.] Australian Marine Mammal Ctr, Australian Antarct Div, Kingston, Tas, Australia; [Gillespie, Douglas] Univ St Andrews, Scottish Oceans Inst, Sea Mammal Res Unit, St Andrews, Fife, Scotland; [Weatherup, Graham] St Andrews Instrumentat, St Andrews, Fife, Scotland; [Leaper, Russell] Univ Aberdeen, Sch Biol Sci, Tillydrone Ave, Aberdeen, Scotland</t>
  </si>
  <si>
    <t>Australian Antarctic Division; University of St Andrews; University of Aberdeen</t>
  </si>
  <si>
    <t>Miller, BS; Calderan, S; Collins, K; Double, MC (corresponding author), Australian Marine Mammal Ctr, Australian Antarct Div, Kingston, Tas, Australia.;Gillespie, D (corresponding author), Univ St Andrews, Scottish Oceans Inst, Sea Mammal Res Unit, St Andrews, Fife, Scotland.;Weatherup, G (corresponding author), St Andrews Instrumentat, St Andrews, Fife, Scotland.;Leaper, R (corresponding author), Univ Aberdeen, Sch Biol Sci, Tillydrone Ave, Aberdeen, Scotland.</t>
  </si>
  <si>
    <t>brian.miller@aad.gov.au; susa@scoter.org; dg50@st-andrews.ac.uk; gw@sa-instrumentation.com; r.c.leaper@abdn.ac.uk; kymcollins77@gmail.com; Mike.Double@aad.gov.au</t>
  </si>
  <si>
    <t>Miller, Brian/0000-0001-7615-3044; Gillespie, Douglas/0000-0001-9628-157X</t>
  </si>
  <si>
    <t>Australian Marine Mammal Centre through the Antarctic Blue Whale Project of the Southern Ocean Research Partnership</t>
  </si>
  <si>
    <t>Funding for development of the PAMGuard DIFAR module was provided by the Australian Marine Mammal Centre through the Antarctic Blue Whale Project of the Southern Ocean Research Partnership. We thank Greeneridge Sciences Inc. for their donation of a license to use their De-multiplexing software for the development of the PAMGuard DIFAR module. We thank Mark McDonald from WhaleAcoustics for providing his DIFAR (Beamforming) software, which served as the basis and inspiration for the PAMGuard DIFAR module. We thank Shannon Rankin, Jennifer Keating, Melissa Soldevilla, Mariana Melcon, and Fannie Shabangu for patiently testing and providing feedback on early versions of the PAMGuard DIFAR module. We thank the scientists and crew aboard the FV Amaltal Explorer and the RV Tangaroa for their enormous contribution to the success of the 2013 and 2015 research voyages.</t>
  </si>
  <si>
    <t>EL83</t>
  </si>
  <si>
    <t>EL89</t>
  </si>
  <si>
    <t>10.1121/1.4943627</t>
  </si>
  <si>
    <t>DI6XT</t>
  </si>
  <si>
    <t>WOS:000373644200006</t>
  </si>
  <si>
    <t>Hayashi, A; Crombie, A; Lacey, E; Richardson, AJ; Vuong, D; Piggott, AM; Hallegraeff, G</t>
  </si>
  <si>
    <t>Hayashi, Aiko; Crombie, Andrew; Lacey, Ernest; Richardson, Anthony J.; Vuong, Daniel; Piggott, Andrew M.; Hallegraeff, Gustaaf</t>
  </si>
  <si>
    <t>Aspergillus Sydowii Marine Fungal Bloom in Australian Coastal Waters, Its Metabolites and Potential Impact on Symbiodinium Dinoflagellates</t>
  </si>
  <si>
    <t>secondary metabolites; Aspergillus sydowii; coral disease; Symbiodinium; maximum quantum yield (F-v/F-m); sydowinol; sydowinin; sydonic acid; sydonol</t>
  </si>
  <si>
    <t>GORGONIA-VENTALINA; CORAL-REEFS; SEA FANS; PATHOGEN; ZOOXANTHELLAE; TEMPERATURE; VERSICOLOR; DIVERSITY; HEALTHY; DUST</t>
  </si>
  <si>
    <t>Dust has been widely recognised as an important source of nutrients in the marine environment and as a vector for transporting pathogenic microorganisms. Disturbingly, in the wake of a dust storm event along the eastern Australian coast line in 2009, the Continuous Plankton Recorder collected masses of fungal spores and mycelia (~150,000 spores/m(3)) forming a floating raft that covered a coastal area equivalent to 25 times the surface of England. Cultured A. sydowii strains exhibited varying metabolite profiles, but all produced sydonic acid, a chemotaxonomic marker for A. sydowii. The Australian marine fungal strains share major metabolites and display comparable metabolic diversity to Australian terrestrial strains and to strains pathogenic to Caribbean coral. Secondary colonisation of the rafts by other fungi, including strains of Cladosporium, Penicillium and other Aspergillus species with distinct secondary metabolite profiles, was also encountered. Our bioassays revealed that the dust-derived marine fungal extracts and known A. sydowii metabolites such as sydowic acid, sydowinol and sydowinin A adversely affect photophysiological performance (F-v/F-m) of the coral reef dinoflagellate endosymbiont Symbiodinium. Different Symbiodinium clades exhibited varying sensitivities, mimicking sensitivity to coral bleaching phenomena. The detection of such large amounts of A. sydowii following this dust storm event has potential implications for the health of coral environments such as the Great Barrier Reef.</t>
  </si>
  <si>
    <t>[Hayashi, Aiko; Hallegraeff, Gustaaf] Univ Tasmania, Inst Marine &amp; Antarctic Studies, Hobart, Tas 7004, Australia; [Crombie, Andrew; Lacey, Ernest; Vuong, Daniel] Microbial Screening Technol, Bldg A,28-54 Percival Rd, Smithfield, NSW 2164, Australia; [Richardson, Anthony J.] CSIRO Marine &amp; Atmospher Res, Ecosci Precinct, Brisbane, Qld 4102, Australia; [Richardson, Anthony J.] Univ Queensland, Sch Math &amp; Phys, Ctr Applicat Nat Resource Math, St Lucia, Qld 4072, Australia; [Piggott, Andrew M.] Macquarie Univ, Dept Chem &amp; Biomol Sci, Sydney, NSW 2109, Australia</t>
  </si>
  <si>
    <t>University of Tasmania; Commonwealth Scientific &amp; Industrial Research Organisation (CSIRO); University of Queensland; Macquarie University</t>
  </si>
  <si>
    <t>Hallegraeff, G (corresponding author), Univ Tasmania, Inst Marine &amp; Antarctic Studies, Hobart, Tas 7004, Australia.</t>
  </si>
  <si>
    <t>aiko.hayashi@utas.edu.au; acrombie@microbialscreening.com; elacey@microbialscreening.com; anthony.richardson@csiro.au; dvuong@microbialscreening.com; andrew.piggott@mq.edu.au; gustaaf.hallegraeff@utas.edu.au</t>
  </si>
  <si>
    <t>Richardson, Anthony J/B-3649-2010; Hallegraeff, Gustaaf/C-8351-2013; Piggott, Andrew/G-9259-2012</t>
  </si>
  <si>
    <t>Richardson, Anthony J/0000-0002-9289-7366; Crombie, Andrew/0000-0003-3985-1681; Hayashi, Aiko/0000-0002-7348-9682; Hallegraeff, Gustaaf/0000-0001-8464-7343; Piggott, Andrew/0000-0002-5308-5314; Vuong, Daniel/0000-0002-2451-3148</t>
  </si>
  <si>
    <t>Australian Research Council [DP130102725, FT130100142]</t>
  </si>
  <si>
    <t>Hiromitsu Nakajia, Tottori University, Japan, kindly provided us with four typical A. sydowii metabolites. Drew Harvell, Cornell University, USA, provided us with two pathogenic Caribbean A. sydowii strains. John Pitt and Ailsa Hocking for the provision of A. sydowii strains from the CSIRO FRR collection. This work was funded by the Australian Research Council (DP130102725, FT130100142).</t>
  </si>
  <si>
    <t>10.3390/md14030059</t>
  </si>
  <si>
    <t>DI7SB</t>
  </si>
  <si>
    <t>WOS:000373701200011</t>
  </si>
  <si>
    <t>Mathakutha, R; Steyn, C; Ripley, BS; Le Roux, P; Greve, M</t>
  </si>
  <si>
    <t>Mathakutha, R.; Steyn, C.; Ripley, B. S.; Le Roux, P.; Greve, M.</t>
  </si>
  <si>
    <t>Understanding the role of functional traits in plant invasions in the sub-Antarctic islands</t>
  </si>
  <si>
    <t>SOUTH AFRICAN JOURNAL OF BOTANY</t>
  </si>
  <si>
    <t>[Mathakutha, R.; Steyn, C.; Ripley, B. S.; Le Roux, P.; Greve, M.] Univ Pretoria, Dept Plant Sci, Private Bag X20, ZA-0028 Hatfield, South Africa</t>
  </si>
  <si>
    <t>Ripley, Brad/AGP-3789-2022; Mathakutha, Rabia/G-3140-2015</t>
  </si>
  <si>
    <t>0254-6299</t>
  </si>
  <si>
    <t>1727-9321</t>
  </si>
  <si>
    <t>S AFR J BOT</t>
  </si>
  <si>
    <t>S. Afr. J. Bot.</t>
  </si>
  <si>
    <t>10.1016/j.sajb.2016.02.100</t>
  </si>
  <si>
    <t>DI4PB</t>
  </si>
  <si>
    <t>WOS:000373480700134</t>
  </si>
  <si>
    <t>Steyn, C; Greve, M; Le Roux, PC; Chown, SL</t>
  </si>
  <si>
    <t>Steyn, C.; Greve, M.; Le Roux, P. C.; Chown, S. L.</t>
  </si>
  <si>
    <t>Mapping the potential distribution of alien species in the sub-Antarctic</t>
  </si>
  <si>
    <t>[Steyn, C.; Greve, M.; Le Roux, P. C.] Univ Pretoria, Sch Plant Sci, Fac Nat &amp; Agr Sci, Private Bag X20, ZA-0002 Pretoria, South Africa; [Chown, S. L.] Monash Univ, Sch Biol Sci, Clayton, Vic 3800, Australia</t>
  </si>
  <si>
    <t>University of Pretoria; Monash University</t>
  </si>
  <si>
    <t>Chown, Steven/ABD-7646-2021</t>
  </si>
  <si>
    <t>10.1016/j.sajb.2016.02.176</t>
  </si>
  <si>
    <t>WOS:000373480700210</t>
  </si>
  <si>
    <t>Harrold, ZR; Skidmore, ML; Hamilton, TL; Desch, L; Amada, K; van Gelder, W; Glover, K; Roden, EE; Boyd, ES</t>
  </si>
  <si>
    <t>Harrold, Zoe R.; Skidmore, Mark L.; Hamilton, Trinity L.; Desch, Libby; Amada, Kirina; van Gelder, Will; Glover, Kevin; Roden, Eric E.; Boyd, Eric S.</t>
  </si>
  <si>
    <t>Aerobic and Anaerobic Thiosulfate Oxidation by a Cold-Adapted, Subglacial Chemoautotroph</t>
  </si>
  <si>
    <t>APPLIED AND ENVIRONMENTAL MICROBIOLOGY</t>
  </si>
  <si>
    <t>HAUT-GLACIER-DAROLLA; ANTARCTIC ICE-SHEET; HIGH ARCTIC GLACIER; PYRITE OXIDATION; MICROBIAL COMMUNITIES; OXIDIZING BACTERIA; SULFIDE OXIDATION; SP-NOV; BENEATH; ENVIRONMENTS</t>
  </si>
  <si>
    <t>Geochemical data indicate that protons released during pyrite (FeS2) oxidation are important drivers of mineral weathering in oxic and anoxic zones of many aquatic environments, including those beneath glaciers. Oxidation of FeS2 under oxic, circumneutral conditions proceeds through the metastable intermediate thiosulfate (S2O32-), which represents an electron donor capable of supporting microbial metabolism. Subglacial meltwaters sampled from Robertson Glacier (RG), Canada, over a seasonal melt cycle revealed concentrations of S2O32- that were typically below the limit of detection, despite the presence of available pyrite and concentrations of the FeS2 oxidation product sulfate (SO42-) several orders of magnitude higher than those of S2O32-. Here we report on the physiological and genomic characterization of the chemolithoautotrophic facultative anaerobe Thiobacillus sp. strain RG5 isolated from the subglacial environment at RG. The RG5 genome encodes genes involved with pathways for the complete oxidation of S2O32-, CO2 fixation, and aerobic and anaerobic respiration with nitrite or nitrate. Growth experiments indicated that the energy required to synthesize a cell under oxygen- or nitrate-reducing conditions with S2O32- as the electron donor was lower at 5.1 degrees C than 14.4 degrees C, indicating that this organism is cold adapted. RG sediment-associated transcripts of soxB, which encodes a component of the S2O32--oxidizing complex, were closely affiliated with soxB from RG5. Collectively, these results suggest an active sulfur cycle in the subglacial environment at RG mediated in part by populations closely affiliated with RG5. The consumption of S2O32- by RG5- like populations may accelerate abiotic FeS2 oxidation, thereby enhancing mineral weathering in the subglacial environment.</t>
  </si>
  <si>
    <t>[Harrold, Zoe R.; Skidmore, Mark L.; van Gelder, Will; Glover, Kevin] Montana State Univ, Dept Earth Sci, Bozeman, MT 59717 USA; [Hamilton, Trinity L.] Univ Cincinnati, Dept Biol Sci, Cincinnati, OH USA; [Desch, Libby; Amada, Kirina; Boyd, Eric S.] Montana State Univ, Dept Microbiol &amp; Immunol, Bozeman, MT 59717 USA; [Roden, Eric E.] Univ Wisconsin, Dept Geosci, Madison, WI USA; [Roden, Eric E.; Boyd, Eric S.] NASA, Astrobiol Inst, Mountain View, CA USA</t>
  </si>
  <si>
    <t>Montana State University System; Montana State University Bozeman; University System of Ohio; University of Cincinnati; Montana State University System; Montana State University Bozeman; University of Wisconsin System; University of Wisconsin Madison; National Aeronautics &amp; Space Administration (NASA)</t>
  </si>
  <si>
    <t>Boyd, ES (corresponding author), Montana State Univ, Dept Microbiol &amp; Immunol, Bozeman, MT 59717 USA.;Boyd, ES (corresponding author), NASA, Astrobiol Inst, Mountain View, CA USA.</t>
  </si>
  <si>
    <t>eboyd@montana.edu</t>
  </si>
  <si>
    <t>Skidmore, Mark L/I-4317-2018</t>
  </si>
  <si>
    <t>Hamilton, Trinity/0000-0002-2282-4655</t>
  </si>
  <si>
    <t>National Aeronautics and Space Administration (NASA) [NNX10AT31G, NNA15BB02A]</t>
  </si>
  <si>
    <t>National Aeronautics and Space Administration (NASA)(National Aeronautics &amp; Space Administration (NASA))</t>
  </si>
  <si>
    <t>National Aeronautics and Space Administration (NASA) provided funding to Mark L. Skidmore and Eric S. Boyd under grant number NNX10AT31G. NASA provided funding to Eric S. Boyd under grant number NNA15BB02A.</t>
  </si>
  <si>
    <t>0099-2240</t>
  </si>
  <si>
    <t>1098-5336</t>
  </si>
  <si>
    <t>APPL ENVIRON MICROB</t>
  </si>
  <si>
    <t>Appl. Environ. Microbiol.</t>
  </si>
  <si>
    <t>10.1128/AEM.03398-15</t>
  </si>
  <si>
    <t>Biotechnology &amp; Applied Microbiology; Microbiology</t>
  </si>
  <si>
    <t>DI2PL</t>
  </si>
  <si>
    <t>WOS:000373338800013</t>
  </si>
  <si>
    <t>Manoj, MC; Thakur, B; Prasad, V</t>
  </si>
  <si>
    <t>Manoj, M. C.; Thakur, Biswajeet; Prasad, Vandana</t>
  </si>
  <si>
    <t>Rare earth element distribution in tropical coastal wetland sediments: a case study from Vembanad estuary, southwest India</t>
  </si>
  <si>
    <t>ARABIAN JOURNAL OF GEOSCIENCES</t>
  </si>
  <si>
    <t>Rare earth element distribution; Estuary; Wetland sediments</t>
  </si>
  <si>
    <t>MARINE-SEDIMENTS; SURFICIAL SEDIMENTS; CONTINENTAL-SHELF; SOUTHERN INDIA; WEST-COAST; GEOCHEMISTRY; RIVER; TRACE; LAGOON; OCEAN</t>
  </si>
  <si>
    <t>Rare earth element (REE) geochemistry of sediments from Vembanad Coastal Wetland, southwest India, shows that light rare earth elements (LREEs) are the more abundant compared to middle rare earth element (MREE) and heavy rare earth element (HREE). We suggest that the textural parameters and the biochemical processes lead to the REE variation in this coastal wetland environment. Variations in the REE abundance are mainly controlled by the source materials deposited by riverine input. REE records in sediments showed spatial heterogeneity due to the influence of the physico-chemical conditions like, sedimentological conditions, salinity and depositional flux of the sediments along the wetland. Enriched values observed along the northern and southern stations are due to the increased riverine input. The REE ratios and enrichment factor values suggest that the abundance is in the order of LREE &gt; MREE &gt; HREE. Positive Eu anomaly is linked to the source sediments brought down from the catchment areas of the Periyar River and Muvattupuzha River. However, Ce anomaly suggests no significant variation in the oxidation condition at the sites of deposition.</t>
  </si>
  <si>
    <t>[Manoj, M. C.; Thakur, Biswajeet; Prasad, Vandana] Birbal Sahni Inst Paleobot, Lucknow 226007, Uttar Pradesh, India</t>
  </si>
  <si>
    <t>Department of Science &amp; Technology (India); Birbal Sahni Institute of Palaeobotany (BSIP)</t>
  </si>
  <si>
    <t>Manoj, MC (corresponding author), Birbal Sahni Inst Paleobot, Lucknow 226007, Uttar Pradesh, India.</t>
  </si>
  <si>
    <t>manoj.mcm@gmail.com</t>
  </si>
  <si>
    <t>Manoj, M C/AAR-1882-2020</t>
  </si>
  <si>
    <t>Manoj, M C/0000-0001-8112-6315</t>
  </si>
  <si>
    <t>Birbal Sahni Institute of Palaeobotany (BSIP), India</t>
  </si>
  <si>
    <t>The authors are grateful to the Director, Birbal Sahni Institute of Palaeobotany (BSIP), India, for providing the funds, support and facilities extended. We are thankful to Dr. Thamban Meloth, B.L. Redkar, and Ashish Painginkar, National Centre for Antarctic and Ocean Research (NCAOR), India, for the timely help in carrying out the geochemical analysis work at their ICP-MS and TOC analyzer facility. This is BSIP contribution No. BSIP/RDCC/69/2014-15.</t>
  </si>
  <si>
    <t>1866-7511</t>
  </si>
  <si>
    <t>1866-7538</t>
  </si>
  <si>
    <t>ARAB J GEOSCI</t>
  </si>
  <si>
    <t>Arab. J. Geosci.</t>
  </si>
  <si>
    <t>10.1007/s12517-015-2246-0</t>
  </si>
  <si>
    <t>DG6CL</t>
  </si>
  <si>
    <t>WOS:000372169700031</t>
  </si>
  <si>
    <t>Wang, ZB; Gogineni, S; Rodriguez-Morales, F; Yan, JB; Paden, J; Leuschen, C; Hale, RD; Li, JL; Carabajal, CL; Gomez-Garcia, D; Townley, B; Willer, R; Stearns, L; Child, S; Braaten, D</t>
  </si>
  <si>
    <t>Wang, Zongbo; Gogineni, Sivaprasad; Rodriguez-Morales, Fernando; Yan, Jie-Bang; Paden, John; Leuschen, Carlton; Hale, Richard D.; Li, Jilu; Carabajal, Calen Lee; Gomez-Garcia, Daniel; Townley, Bryan; Willer, Robby; Stearns, Leigh; Child, Sarah; Braaten, David</t>
  </si>
  <si>
    <t>Multichannel Wideband Synthetic Aperture Radar for Ice Sheet Remote Sensing: Development and the First Deployment in Antarctica</t>
  </si>
  <si>
    <t>IEEE JOURNAL OF SELECTED TOPICS IN APPLIED EARTH OBSERVATIONS AND REMOTE SENSING</t>
  </si>
  <si>
    <t>10th European Conference on Synthetic Aperture Radar (EUSAR)</t>
  </si>
  <si>
    <t>JUN 02-06, 2014</t>
  </si>
  <si>
    <t>Berlin, GERMANY</t>
  </si>
  <si>
    <t>Ice sheets; ice thickness; radar; remote sensing; synthetic aperture radar (SAR)</t>
  </si>
  <si>
    <t>WEST ANTARCTICA; AIRBORNE-RADAR; STREAM-C; GLACIER; GREENLAND; TOPOGRAPHY; SHELF</t>
  </si>
  <si>
    <t>We developed a multichannel wideband synthetic aperture radar (SAR) that operates over a frequency range of 190450 MHz for measurements over the ice sheets in Antarctica and Greenland. The antenna-array, which consists of eight elements housed in a certified external structure for a BASLER aircraft, was used for measurements during the 2013-2014 Antarctic field season. We performed measurements with this system in conjunction with two ultra-wideband radars operating over a frequency range of 2-8 GHz and 12-18 GHz on Siple Coast ice streams in West Antarctica during December 2013 and January 2014. We sounded ice thicker than 2 km with a signal-to-noise ratio (SNR) of more than 20 dB in an area with two-way ice loss of about 27 dB/km. The same system also simultaneously mapped near-surface internal layers with submeter resolution from the ice-surface to a depth of about 1100 for 1200 m thick ice. In this paper, we provide a detailed overview of the radar instrumentation and signal processing algorithms and present a few sample results. The radar will be operated over a frequency range of 150-550 MHz with a 24-element antenna-array for wide-ranging measurements over the Greenland and Antarctic ice sheets, starting around August 2015.</t>
  </si>
  <si>
    <t>[Wang, Zongbo; Gogineni, Sivaprasad; Rodriguez-Morales, Fernando; Yan, Jie-Bang; Paden, John; Leuschen, Carlton; Hale, Richard D.; Li, Jilu; Carabajal, Calen Lee; Gomez-Garcia, Daniel; Townley, Bryan; Willer, Robby; Stearns, Leigh; Child, Sarah; Braaten, David] Univ Kansas, Ctr Remote Sensing Ice Sheets, Lawrence, KS 66049 USA</t>
  </si>
  <si>
    <t>University of Kansas</t>
  </si>
  <si>
    <t>Wang, ZB (corresponding author), Univ Kansas, Ctr Remote Sensing Ice Sheets, Lawrence, KS 66049 USA.</t>
  </si>
  <si>
    <t>zongbo.wang@gmail.com</t>
  </si>
  <si>
    <t>Center for Remote Sensing of Ice Sheets (CReSIS) [ANT-0424589]; National Science Foundation (NSF) [1229716]</t>
  </si>
  <si>
    <t>Center for Remote Sensing of Ice Sheets (CReSIS); National Science Foundation (NSF)(National Science Foundation (NSF))</t>
  </si>
  <si>
    <t>This work was supported by the National Science Foundation (NSF), Center for Remote Sensing of Ice Sheets (CReSIS) under Grant ANT-0424589, instrumentation developed under NSF Grant 1229716, and matching support from the State of Kansas.</t>
  </si>
  <si>
    <t>1939-1404</t>
  </si>
  <si>
    <t>2151-1535</t>
  </si>
  <si>
    <t>IEEE J-STARS</t>
  </si>
  <si>
    <t>IEEE J. Sel. Top. Appl. Earth Observ. Remote Sens.</t>
  </si>
  <si>
    <t>10.1109/JSTARS.2015.2403611</t>
  </si>
  <si>
    <t>Engineering, Electrical &amp; Electronic; Geography, Physical; Remote Sensing; Imaging Science &amp; Photographic Technology</t>
  </si>
  <si>
    <t>Engineering; Physical Geography; Remote Sensing; Imaging Science &amp; Photographic Technology</t>
  </si>
  <si>
    <t>DH8ON</t>
  </si>
  <si>
    <t>WOS:000373054100003</t>
  </si>
  <si>
    <t>Buckley, BA</t>
  </si>
  <si>
    <t>Buckley, B. A.</t>
  </si>
  <si>
    <t>CELLULAR RESPONSES TO HEAT STRESS IN ANTARCTIC FISHES</t>
  </si>
  <si>
    <t>INTEGRATIVE AND COMPARATIVE BIOLOGY</t>
  </si>
  <si>
    <t>Annual Meeting of the Society-for-Integrative-and-Comparative-Biology (SICB)</t>
  </si>
  <si>
    <t>JAN 03-07, 2016</t>
  </si>
  <si>
    <t>Portland, OR</t>
  </si>
  <si>
    <t>[Buckley, B. A.] Portland State Univ, Portland, OR 97207 USA</t>
  </si>
  <si>
    <t>Portland State University</t>
  </si>
  <si>
    <t>bbuckley@pdx.edu</t>
  </si>
  <si>
    <t>1540-7063</t>
  </si>
  <si>
    <t>1557-7023</t>
  </si>
  <si>
    <t>INTEGR COMP BIOL</t>
  </si>
  <si>
    <t>Integr. Comp. Biol.</t>
  </si>
  <si>
    <t>S2-2</t>
  </si>
  <si>
    <t>E26</t>
  </si>
  <si>
    <t>DH0FJ</t>
  </si>
  <si>
    <t>WOS:000372457600105</t>
  </si>
  <si>
    <t>Chen, C; Copley, JT; Linse, K; Rogers, AD; Sigwart, JD</t>
  </si>
  <si>
    <t>Chen, C.; Copley, J. T.; Linse, K.; Rogers, A. D.; Sigwart, J. D.</t>
  </si>
  <si>
    <t>Dragon heart and dragon scales: anatomy of the scaly-foot gastropod' Chrysomallon squamiferum</t>
  </si>
  <si>
    <t>Japan Agcy Marine Earth Sci &amp; Technol, Tokyo, Japan; Univ Southampton, Southampton SO9 5NH, Hants, England; British Antarctic Survey, Cambridge CB3 0ET, England; Univ Oxford, Oxford OX1 2JD, England; Queens Univ Belfast, Belfast BT7 1NN, Antrim, North Ireland</t>
  </si>
  <si>
    <t>Japan Agency for Marine-Earth Science &amp; Technology (JAMSTEC); University of Southampton; UK Research &amp; Innovation (UKRI); Natural Environment Research Council (NERC); NERC British Antarctic Survey; University of Oxford; Queens University Belfast</t>
  </si>
  <si>
    <t>cchen@jamstec.go.jp</t>
  </si>
  <si>
    <t>Copley, Jon/I-7076-2012</t>
  </si>
  <si>
    <t>Copley, Jon/0000-0003-3333-4325</t>
  </si>
  <si>
    <t>37-2</t>
  </si>
  <si>
    <t>E35</t>
  </si>
  <si>
    <t>WOS:000372457600141</t>
  </si>
  <si>
    <t>Duquette, AM; Mcclintock, JB; Amsler, CD; Halanych, KM</t>
  </si>
  <si>
    <t>Duquette, A. M.; Mcclintock, J. B.; Amsler, C. D.; Halanych, K. M.</t>
  </si>
  <si>
    <t>Inter- and intra-specific comparisons of the Mg-calcite contents of skeletal components of a suite of Antarctic echinoderms</t>
  </si>
  <si>
    <t>Univ Alabama Birmingham, Birmingham, AL USA; Auburn Univ, Auburn, AL 36849 USA</t>
  </si>
  <si>
    <t>University of Alabama System; University of Alabama Birmingham; Auburn University System; Auburn University</t>
  </si>
  <si>
    <t>amd82886@uab.edu</t>
  </si>
  <si>
    <t>Halanych, Ken M/A-9480-2009</t>
  </si>
  <si>
    <t>108-6</t>
  </si>
  <si>
    <t>E58</t>
  </si>
  <si>
    <t>WOS:000372457600231</t>
  </si>
  <si>
    <t>Galaska, MP; Mahon, AR; Santos, SR; Halanych, KM</t>
  </si>
  <si>
    <t>Galaska, M. P.; Mahon, A. R.; Santos, S. R.; Halanych, K. M.</t>
  </si>
  <si>
    <t>Comparative phylogeography of Antarctic ophiuroids Ophionotus victoriae and Astrotoma agassizii</t>
  </si>
  <si>
    <t>Auburn Univ, Auburn, AL 36849 USA; Cent Michigan Univ, Mt Pleasant, MI USA</t>
  </si>
  <si>
    <t>Auburn University System; Auburn University; Central Michigan University</t>
  </si>
  <si>
    <t>mpg0009@auburn.edu</t>
  </si>
  <si>
    <t>92-1</t>
  </si>
  <si>
    <t>E71</t>
  </si>
  <si>
    <t>WOS:000372457600283</t>
  </si>
  <si>
    <t>Givens, JL; Kelley, AL; Sleadd, IM</t>
  </si>
  <si>
    <t>Givens, J. L.; Kelley, A. L.; Sleadd, I. M.</t>
  </si>
  <si>
    <t>Heat-Shock Protein Expression During Temperature and Salinity Stress in the Antarctic Nemertean Worm Parborlasia corrugatus.</t>
  </si>
  <si>
    <t>[Givens, J. L.; Kelley, A. L.; Sleadd, I. M.] Univ Calif Santa Barbara, Santa Barbara, CA 93106 USA</t>
  </si>
  <si>
    <t>University of California System; University of California Santa Barbara</t>
  </si>
  <si>
    <t>jgivens@una.edu</t>
  </si>
  <si>
    <t>P2.38</t>
  </si>
  <si>
    <t>E292</t>
  </si>
  <si>
    <t>WOS:000372457601525</t>
  </si>
  <si>
    <t>Hu, Y; Detrich, HW; Albertson, RC</t>
  </si>
  <si>
    <t>Hu, Y.; Detrich, H. W.; Albertson, R. C.</t>
  </si>
  <si>
    <t>Craniofacial integration and evolution in an extreme environment: The adaptive diversification of Antarctic notothenioids</t>
  </si>
  <si>
    <t>Univ Massachusetts Amherst, Amherst, MA USA; Northeastern Univ, Boston, MA USA</t>
  </si>
  <si>
    <t>University of Massachusetts System; University of Massachusetts Amherst; Northeastern University</t>
  </si>
  <si>
    <t>yinan@cns.umass.edu</t>
  </si>
  <si>
    <t>Hu, Yinan/I-5322-2019</t>
  </si>
  <si>
    <t>Hu, Yinan/0000-0002-9304-519X</t>
  </si>
  <si>
    <t>10-5</t>
  </si>
  <si>
    <t>E96</t>
  </si>
  <si>
    <t>WOS:000372457600383</t>
  </si>
  <si>
    <t>O'Brien, KM; Crockett, EL; Grove, TJ; Lewis, JM; Oldham, CA</t>
  </si>
  <si>
    <t>O'Brien, K. M.; Crockett, E. L.; Grove, T. J.; Lewis, J. M.; Oldham, C. A.</t>
  </si>
  <si>
    <t>Is the lack of oxygen-binding proteins in Antarctic fishes advantageous in the extreme cold waters of the Southern Ocean? The interrelationship between oxygen-binding proteins and oxidative stress</t>
  </si>
  <si>
    <t>Univ Alaska, Fairbanks, AK 99701 USA; Ohio Univ, Athens, OH 45701 USA; Valdosta State Univ, Valdosta, GA USA; Georgia So Univ, Statesboro, GA 30460 USA</t>
  </si>
  <si>
    <t>University of Alaska System; University of Alaska Fairbanks; University System of Ohio; Ohio University; University System of Georgia; Valdosta State University; University System of Georgia; Georgia Southern University</t>
  </si>
  <si>
    <t>kmobrien@alaska.edu</t>
  </si>
  <si>
    <t>S2-4</t>
  </si>
  <si>
    <t>E167</t>
  </si>
  <si>
    <t>WOS:000372457601025</t>
  </si>
  <si>
    <t>Roberts, SP; Mahon, AR; Halanych, KM</t>
  </si>
  <si>
    <t>Roberts, S. P.; Mahon, A. R.; Halanych, K. M.</t>
  </si>
  <si>
    <t>Biomechanics of locomotion in Antarctic sea spiders (Pycnogonida)</t>
  </si>
  <si>
    <t>Missouri Univ Sci &amp; Technol, Rolla, MO USA; Cent Michigan Univ, Mt Pleasant, MI USA; Auburn Univ, Auburn, AL 36849 USA</t>
  </si>
  <si>
    <t>stephen.roberts@mst.edu</t>
  </si>
  <si>
    <t>78-5</t>
  </si>
  <si>
    <t>E185</t>
  </si>
  <si>
    <t>WOS:000372457601098</t>
  </si>
  <si>
    <t>Schram, JB; Schoenrock, KM; Mcclintock, JB; Amsler, CD; Angus, RA</t>
  </si>
  <si>
    <t>Schram, J. B.; Schoenrock, K. M.; Mcclintock, J. B.; Amsler, C. D.; Angus, R. A.</t>
  </si>
  <si>
    <t>Seawater acidification rather than warming a significant challenge for two common Antarctic macroalgal-associated amphipods</t>
  </si>
  <si>
    <t>[Schram, J. B.; Schoenrock, K. M.; Mcclintock, J. B.; Amsler, C. D.; Angus, R. A.] Univ Alabama Birmingham, Birmingham, AL USA</t>
  </si>
  <si>
    <t>University of Alabama System; University of Alabama Birmingham</t>
  </si>
  <si>
    <t>jbschram@uab.edu</t>
  </si>
  <si>
    <t>87-2</t>
  </si>
  <si>
    <t>E196</t>
  </si>
  <si>
    <t>WOS:000372457601142</t>
  </si>
  <si>
    <t>Sleadd, IM; Lee, M; Hassumani, DO; Stecyk, TMA; Zeitz, OK; Buckley, BA</t>
  </si>
  <si>
    <t>Sleadd, I. M.; Lee, M.; Hassumani, D. O.; Stecyk, T. M. A.; Zeitz, O. K.; Buckley, B. A.</t>
  </si>
  <si>
    <t>Sub-lethal heat stress causes apoptosis in an Antarctic fish that lacks an inducible heat shock response</t>
  </si>
  <si>
    <t>Univ North Alabama, Florence, AL USA; Portland State Univ, Portland, OR 97207 USA</t>
  </si>
  <si>
    <t>isleadd@una.edu</t>
  </si>
  <si>
    <t>49-6</t>
  </si>
  <si>
    <t>E204</t>
  </si>
  <si>
    <t>WOS:000372457601175</t>
  </si>
  <si>
    <t>Stein, CS; Schram, JB; Mcclintock, JB</t>
  </si>
  <si>
    <t>Stein, C. S.; Schram, J. B.; Mcclintock, J. B.</t>
  </si>
  <si>
    <t>Gastropod dentistry: An analysis of teeth in two Antarctic species</t>
  </si>
  <si>
    <t>[Stein, C. S.; Schram, J. B.; Mcclintock, J. B.] Univ Alabama Birmingham, Birmingham, AL USA</t>
  </si>
  <si>
    <t>cwstein@uab.edu</t>
  </si>
  <si>
    <t>P3.127</t>
  </si>
  <si>
    <t>E375</t>
  </si>
  <si>
    <t>WOS:000372457601859</t>
  </si>
  <si>
    <t>Lomidze, L; Scherliess, L; Schunk, RW</t>
  </si>
  <si>
    <t>Lomidze, Levan; Scherliess, Ludger; Schunk, Robert W.</t>
  </si>
  <si>
    <t>Modeling and analysis of ionospheric evening anomalies with a physics-based data assimilation model</t>
  </si>
  <si>
    <t>Weddell Sea Anomaly; Ionospheric evening anomalies; Thermospheric neutral winds; Ionospheric modeling; Data assimilation; COSMIC</t>
  </si>
  <si>
    <t>NEUTRAL-AIR WINDS; MAGNETIC-DECLINATION; GLOBAL ASSIMILATION; MEASUREMENTS GAIM; MERIDIONAL WINDS; KALMAN FILTER; REGION</t>
  </si>
  <si>
    <t>Anomalous evening enhancements of electron densities in the mid-latitude ionosphere take place during summer and are most prominent over the west of the Antarctic Peninsula (Weddell Sea Anomaly). Although the phenomenon has been known for several decades, its generation mechanism is still being debated and its modeling remains a challenge. In this paper, data assimilation models were used to understand the role of thermospheric winds in the anomalies, and to elucidate the physical mechanism behind them. COSMIC radio occultation data were used and a newly developed Thermospheric Wind Assimilation Model (TWAM) was employed to estimate the horizontal wind components. Next, the TWAM winds were used to drive the Ionosphere-Plasmasphere Model to simulate the anomalies. The model results show close quantitative agreement with the COSMIC measurements and indicate that while the geographic meridional wind alone can drive the electron density evening peak, the zonal wind further enhances the anomaly. Furthermore, for closer agreement with the COSMIC data, the zonal wind effect was found to be important. To understand the physical mechanism behind the anomalies, the plasma production, loss and transport processes were analyzed. It was found that due to the equatorward wind during the evening, the density maximum forms at higher altitudes where the density reduction due to recombination is slow. Furthermore, it was revealed that during the evening, the plasma loss due to transport weakens. As a consequence of the reduced rate of recombination and the weakened plasma loss due to transport, the relative role of solar production increases and the electron density enhancement occurs. (C) 2016 Elsevier Ltd. All rights reserved.</t>
  </si>
  <si>
    <t>[Lomidze, Levan; Scherliess, Ludger; Schunk, Robert W.] Utah State Univ, Ctr Atmospher &amp; Space Sci, 4405 Old Main Hill, Logan, UT 84322 USA; [Lomidze, Levan] Ilia State Univ, Abastumani Astrophys Observ, 3 Giorgi Tsereteli Str, GE-0162 Tbilisi, Georgia; [Lomidze, Levan] Univ Calgary, Dept Phys &amp; Astron, 2500 Univ Dr NW, Calgary, AB T2N 1N4, Canada</t>
  </si>
  <si>
    <t>Utah System of Higher Education; Utah State University; Ilia State University; University of Calgary</t>
  </si>
  <si>
    <t>Lomidze, L (corresponding author), Univ Calgary, Dept Phys &amp; Astron, 2500 Univ Dr NW, Calgary, AB T2N 1N4, Canada.</t>
  </si>
  <si>
    <t>levlomidze@aggiemail.usu.edu</t>
  </si>
  <si>
    <t>Lomidze, Levan/ABE-7474-2020; Scherliess, Ludger/A-7499-2016</t>
  </si>
  <si>
    <t>Lomidze, Levan/0000-0002-9931-7862;</t>
  </si>
  <si>
    <t>NSF [AGS-1329544]; Div Atmospheric &amp; Geospace Sciences; Directorate For Geosciences [1329544] Funding Source: National Science Foundation</t>
  </si>
  <si>
    <t>NSF(National Science Foundation (NSF)); Div Atmospheric &amp; Geospace Sciences; Directorate For Geosciences(National Science Foundation (NSF)NSF - Directorate for Geosciences (GEO))</t>
  </si>
  <si>
    <t>This work was supported by NSF grant AGS-1329544. COSMIC data were obtained from COSMIC Data Analysis and Archive Center http://www.cosmic.ucar.edu/. Outputs from the model simulations are archived at CASS and are available from the authors upon request. Computation, storage, and other resources from the Division of Research Computing in the Office of Research and Graduate Studies at Utah State University are gratefully acknowledged.</t>
  </si>
  <si>
    <t>10.1016/j.jastp.2016.02.009</t>
  </si>
  <si>
    <t>DH4NH</t>
  </si>
  <si>
    <t>WOS:000372762200008</t>
  </si>
  <si>
    <t>Jacobus, K; Marigo, J; Gastal, SB; Taniwaki, SA; Ruoppolo, V; Catao-Dias, JL; Tseng, F</t>
  </si>
  <si>
    <t>Jacobus, Kristy; Marigo, Juliana; Gastal, Silvia Bainy; Taniwaki, Sueli Akemi; Ruoppolo, Valeria; Catao-Dias, Jose Luiz; Tseng, Florina</t>
  </si>
  <si>
    <t>IDENTIFICATION OF RESPIRATORY AND GASTROINTESTINAL PARASITES OF THREE SPECIES OF PINNIPEDS (ARCTOCEPHALUS AUSTRALIS, ARCTOCEPHALUS GAZELLA, AND OTARIA FLAVESCENS) IN SOUTHERN BRAZIL</t>
  </si>
  <si>
    <t>JOURNAL OF ZOO AND WILDLIFE MEDICINE</t>
  </si>
  <si>
    <t>Antarctic fur seal (Arctocephalus gazella); Parafilaroides; parasites; South American fur seal (Arctocephalus australis); South American sea lion (Otaria flavescens)</t>
  </si>
  <si>
    <t>SEALS CALLORHINUS-URSINUS; ST-PAUL ISLAND; FUR SEALS; PHOCA-VITULINA; NEMATODA; ALASKA; COAST; ACANTHOCEPHALANS; PATHOLOGY; PATAGONIA</t>
  </si>
  <si>
    <t>In order to improve understanding of parasitism in South American pinnipeds, respiratory and gastrointestinal samples were collected from 12 Arctocephalus australis (South American fur seal), one Arctocephalus gazella (Antarctic fur seal), and one Otaria flavescens (South American sea lion). Ova and larvae were microscopically identified from fecal samples and respiratory secretions collected from live A. australis undergoing rehabilitation at Centro de Recuperacao de Animais Marinhos (CRAM-FURG) in Rio Grande, Rio Grande do Sul, Brazil during June-July 2012. Adult parasites were collected from the lungs and gastrointestinal tracts of animals that died while undergoing treatment or were found dead along the southern Brazil coast. Parasites were identified by polymerase chain reaction and DNA sequencing, microscopic examination, comparison with keys, and histologic examination of tissues. Lung parasites of the Parafilaroides genus (Metastrongyloidea, Filaroididae) were identified at necropsy in both A. australis and A. gazella and gastrointestinal parasites were found in all three species of pinniped studied. Gastrointestinal parasites identified in A. australis included the nematodes Contracaecum sp. and Pseudoterranova cattani, the cestodes Adenocephalus pacificus (previously Diphyllobothrium pacificum), one from the Tetrabothridae family and one undetermined, and the acanthocephalans Corynosoma sp. and Bolbosoma sp.; from A. gazella the nematode Contracaecum sp. and the acanthocephalan Corynosoma sp.; and from O. flavescens the acanthocephalan Corynosoma sp. Ova from fecal samples from A. australis represent ascarid nematodes, Parafilaroides sp., Adenocephalus pacificus, acanthocephalans, and an egg determined either to be a trematode or pseuophyllidean cestode. With limited information surrounding parasitism, these findings are an important contribution to knowledge of the health of Southern Hemisphere pinnipeds.</t>
  </si>
  <si>
    <t>[Jacobus, Kristy; Tseng, Florina] Tufts Univ, Cummings Sch Vet Med, 200 Westboro Rd, North Grafton, MA 01536 USA; [Marigo, Juliana; Ruoppolo, Valeria; Catao-Dias, Jose Luiz] Univ Sao Paulo, Lab Patol Comparada Anim Selvagens LAPCOM, Dept Patol, Fac Med Vet &amp; Zootecnia, Av Prof Dr Orlando Marques de Paiva 87, Sao Paulo, Brazil; [Gastal, Silvia Bainy] Univ Fed Rio Grande CRAM FURG, Ctr Recuperacao Anim Marinhos, R Heitor Perdigao 10, BR-96200580 Rio Grande, RS, Brazil; [Taniwaki, Sueli Akemi] Univ Sao Paulo, Fac Med Vet &amp; Zootecnia, Dept Med Vet Prevent &amp; Saude Anim, Rua Prof Dr Orlando Marques de Paiva 87, BR-05508900 Sao Paulo, Brazil; [Ruoppolo, Valeria] Int Fund Anim Welf, 290 Summer St, Yarmouth Port, MA 02675 USA</t>
  </si>
  <si>
    <t>Tufts University; Universidade de Sao Paulo; Universidade Federal do Rio Grande; Universidade de Sao Paulo</t>
  </si>
  <si>
    <t>Jacobus, K (corresponding author), Tufts Univ, Cummings Sch Vet Med, 200 Westboro Rd, North Grafton, MA 01536 USA.</t>
  </si>
  <si>
    <t>jacobusk@gmail.com</t>
  </si>
  <si>
    <t>Taniwaki, Sueli/Q-4730-2017; Catão-Dias, José Luiz/C-4897-2012</t>
  </si>
  <si>
    <t>Catão-Dias, José Luiz/0000-0003-2999-3395; Taniwaki, Sueli/0000-0001-6355-7015</t>
  </si>
  <si>
    <t>U.S. Army Medical Command [W81XWH-06-1-0640]; FAPESP [2011/21963-6]; Fundacao de Amparo a Pesquisa do Estado de Sao Paulo (FAPESP) [11/21963-6] Funding Source: FAPESP</t>
  </si>
  <si>
    <t>U.S. Army Medical Command; FAPESP(Fundacao de Amparo a Pesquisa do Estado de Sao Paulo (FAPESP)); Fundacao de Amparo a Pesquisa do Estado de Sao Paulo (FAPESP)(Fundacao de Amparo a Pesquisa do Estado de Sao Paulo (FAPESP))</t>
  </si>
  <si>
    <t>We thank Rodolfo Pinho da Silva Filho, Pedro Bruno, Paula Lima Canabarro, Roberta Petitet, Aryse Martins, Vanessa Pedroso, Mayra Aki Yamazaki Rocha, Lauro Barcellos, and all of the volunteers and interns at CRAM-FURG for allowing this research to take place, for helping with sample collection and translating, and for their constant assistance throughout the project; Ralph E. T. Vanstreels for his assistance with histopathology pictures; Thomas Craig for his help in parasite egg identification; Ian Robinson of the International Fund for Animal Welfare; and Sawkat Anwer and Trena Haroutunian, Office of Research, Cummings School of Veterinary Medicine at Tufts University and Global Health. We also thank Rodrigo M. Soares, Cintia Favero (VPS, FMVZ, USP) and Claudia Niemeyer (the Laboratorio de Patologia Comparada de Animais Selvagens, FMVZ, USP) for their help on the molecular analyses, and Fernando P. L. Marques and Beatriz V. Freire of VPS (Departamento de Medicina Veterinaria Preventiva e Saude Animal) and IB (Instituto de Biociencias), USP for cestodes primers. Research was funded by the U.S. Army Medical Command (W81XWH-06-1-0640) and FAPESP#2011/21963-6.</t>
  </si>
  <si>
    <t>AMER ASSOC ZOO VETERINARIANS</t>
  </si>
  <si>
    <t>YULEE</t>
  </si>
  <si>
    <t>581705 WHITE OAK ROAD, YULEE, FL 32097 USA</t>
  </si>
  <si>
    <t>1042-7260</t>
  </si>
  <si>
    <t>1937-2825</t>
  </si>
  <si>
    <t>J ZOO WILDLIFE MED</t>
  </si>
  <si>
    <t>J. Zoo Wildl. Med.</t>
  </si>
  <si>
    <t>10.1638/2015-0090.1</t>
  </si>
  <si>
    <t>Veterinary Sciences</t>
  </si>
  <si>
    <t>DI0TU</t>
  </si>
  <si>
    <t>WOS:000373211000018</t>
  </si>
  <si>
    <t>Mora, C; Caldwell, IR; Birkeland, C; McManus, JW</t>
  </si>
  <si>
    <t>Mora, Camilo; Caldwell, Iain R.; Birkeland, Charles; McManus, John W.</t>
  </si>
  <si>
    <t>Dredging in the Spratly Islands: Gaining Land but Losing Reefs</t>
  </si>
  <si>
    <t>PLOS BIOLOGY</t>
  </si>
  <si>
    <t>CORAL-REEFS</t>
  </si>
  <si>
    <t>Coral reefs on remote islands and atolls are less exposed to direct human stressors but are becoming increasingly vulnerable because of their development for geopolitical and military purposes. Here we document dredging and filling activities by countries in the South China Sea, where building new islands and channels on atolls is leading to considerable losses of, and perhaps irreversible damages to, unique coral reef ecosystems. Preventing similar damage across other reefs in the region necessitates the urgent development of cooperative management of disputed territories in the South China Sea. We suggest using the Antarctic Treaty as a positive precedent for such international cooperation.</t>
  </si>
  <si>
    <t>[Mora, Camilo] Univ Hawaii Manoa, Dept Geog, Honolulu, HI 96822 USA; [Caldwell, Iain R.] Univ Hawaii Manoa, Hawaii Inst Marine Biol, Honolulu, HI 96822 USA; [Birkeland, Charles] Univ Hawaii Manoa, Dept Biol, Honolulu, HI 96822 USA; [McManus, John W.] Univ Miami, Rosenstiel Sch, Dept Marine Biol &amp; Ecol, Miami, FL USA</t>
  </si>
  <si>
    <t>University of Hawaii System; University of Hawaii Manoa; University of Hawaii System; University of Hawaii Manoa; University of Hawaii System; University of Hawaii Manoa; University of Miami</t>
  </si>
  <si>
    <t>Mora, C (corresponding author), Univ Hawaii Manoa, Dept Geog, Honolulu, HI 96822 USA.</t>
  </si>
  <si>
    <t>cmora@hawaii.edu</t>
  </si>
  <si>
    <t>Caldwell, Iain/U-2381-2019</t>
  </si>
  <si>
    <t>Caldwell, Iain/0000-0001-8148-8762</t>
  </si>
  <si>
    <t>1544-9173</t>
  </si>
  <si>
    <t>1545-7885</t>
  </si>
  <si>
    <t>PLOS BIOL</t>
  </si>
  <si>
    <t>PLoS. Biol.</t>
  </si>
  <si>
    <t>e1002422</t>
  </si>
  <si>
    <t>10.1371/journal.pbio.1002422</t>
  </si>
  <si>
    <t>Biochemistry &amp; Molecular Biology; Biology</t>
  </si>
  <si>
    <t>Biochemistry &amp; Molecular Biology; Life Sciences &amp; Biomedicine - Other Topics</t>
  </si>
  <si>
    <t>DH8JB</t>
  </si>
  <si>
    <t>Green Published, Green Submitted, Green Accepted, gold</t>
  </si>
  <si>
    <t>WOS:000373038200036</t>
  </si>
  <si>
    <t>Rolley, L</t>
  </si>
  <si>
    <t>Rolley, Leighton</t>
  </si>
  <si>
    <t>Terra Nova Rediscovered In Greenland Waters Antarctic Explorer Scott's Shipwreck Found During Routine Sonar Testing</t>
  </si>
  <si>
    <t>SEA TECHNOLOGY</t>
  </si>
  <si>
    <t>COMPASS PUBLICATIONS, INC</t>
  </si>
  <si>
    <t>ARLINGTON</t>
  </si>
  <si>
    <t>1501 WILSON BLVD., STE 1001, ARLINGTON, VA 22209-2403 USA</t>
  </si>
  <si>
    <t>0093-3651</t>
  </si>
  <si>
    <t>SEA TECHNOL</t>
  </si>
  <si>
    <t>Sea Technol.</t>
  </si>
  <si>
    <t>Engineering, Ocean</t>
  </si>
  <si>
    <t>DH9DU</t>
  </si>
  <si>
    <t>WOS:000373097400010</t>
  </si>
  <si>
    <t>Monk, J; Barrett, NS; Hill, NA; Lucieer, VL; Nichol, SL; Siwabessy, PJW; Williams, SB</t>
  </si>
  <si>
    <t>Monk, Jacquomo; Barrett, Neville S.; Hill, Nicole A.; Lucieer, Vanessa L.; Nichol, Scott L.; Siwabessy, Paulus Justy W.; Williams, Stefan B.</t>
  </si>
  <si>
    <t>Outcropping reef ledges drive patterns of epibenthic assemblage diversity on cross-shelf habitats</t>
  </si>
  <si>
    <t>BIODIVERSITY AND CONSERVATION</t>
  </si>
  <si>
    <t>Bryozoa; Cnidaria; Continental shelf margin; Flinders commonwealth marine reserve; Hydroid; Marine protected area; Porifera; Species diversity</t>
  </si>
  <si>
    <t>AUSTRALIAN CONTINENTAL-SHELF; WESTERN-AUSTRALIA; BIODIVERSITY; CORALS; SCALES; HETEROGENEITY; MEGABENTHOS; BATHYMETRY</t>
  </si>
  <si>
    <t>Seafloor habitats on continental shelf margins are increasingly being the subject of worldwide conservation efforts to protect them from human activities due to their biological and economic value. Quantitative data on the epibenthic taxa which contributes to the biodiversity value of these continental shelf margins is vital for the effectiveness of these efforts, especially at the spatial resolution required to effectively manage these ecosystems. We quantified the diversity of morphotype classes on an outcropping reef system characteristic of the continental shelf margin in the Flinders Commonwealth Marine Reserve, southeastern Australia. The system is uniquely characterized by long linear outcropping ledge features in sedimentary bedrock that differ markedly from the surrounding low-profile, sand-inundated reefs. We characterize a reef system harboring rich morphotype classes, with a total of 55 morphotype classes identified from the still images captured by an autonomous underwater vehicle. The morphotype class Cnidaria/Bryzoa/Hydroid matrix dominated the assemblages recorded. Both alpha and beta diversity declined sharply with distance from nearest outcropping reef ledge feature. Patterns of the morphotype classes were characterized by (1) morphotype turnover at scales of 5 to 10s m from nearest outcropping reef ledge feature, (2) 30 % of morphotype classes were recorded only once (i.e. singletons), and (3) generally low levels of abundance (proportion cover) of the component morphotype class. This suggests that the assemblages in this region contain a considerable number of locally rare morphotype classes. This study highlights the particular importance of outcropping reef ledge features in this region, as they provide a refuge against sediment scouring and inundation common on the low profile reef that characterizes this region. As outcropping reef features, they represent a small fraction of overall reef habitat yet contain much of the epibenthic faunal diversity. This study has relevance to conservation planning for continental shelf habitats, as protecting a single, or few, areas of reef is unlikely to accurately represent the geomorphic diversity of cross-shelf habitats and the morphotype diversity that is associated with these features. Equally, when designing monitoring programs these spatially-discrete, but biologically rich outcropping reef ledge features should be considered as distinct components in stratified sampling designs.</t>
  </si>
  <si>
    <t>[Monk, Jacquomo; Barrett, Neville S.; Hill, Nicole A.; Lucieer, Vanessa L.] Univ Tasmania, Inst Marine &amp; Antarctic Studies, Private Bag 49, Hobart, Tas, Australia; [Nichol, Scott L.; Siwabessy, Paulus Justy W.] Geosci Australia, GPO Box 378, Canberra, ACT, Australia; [Williams, Stefan B.] Univ Sydney, Australian Ctr Field Robot, Sydney, NSW 2006, Australia</t>
  </si>
  <si>
    <t>University of Tasmania; Geoscience Australia; University of Sydney</t>
  </si>
  <si>
    <t>Monk, J (corresponding author), Univ Tasmania, Inst Marine &amp; Antarctic Studies, Private Bag 49, Hobart, Tas, Australia.</t>
  </si>
  <si>
    <t>jacquomo.monk@utas.edu.au</t>
  </si>
  <si>
    <t>Williams, Stefan/AAE-4376-2020; Siwabessy, Justy/I-1818-2019; Hill, Nicole/AAI-7323-2021; Barrett, Neville/J-7593-2014; Lucieer, Vanessa/D-1697-2009</t>
  </si>
  <si>
    <t>Williams, Stefan/0000-0001-9416-5639; Siwabessy, Justy/0000-0002-8399-5909; Hill, Nicole/0000-0001-9329-6717; Barrett, Neville/0000-0002-6167-1356; Lucieer, Vanessa/0000-0001-7531-5750; Monk, Jacquomo/0000-0002-1874-0619</t>
  </si>
  <si>
    <t>National Environmental Research Program (NERP) by Australian Government</t>
  </si>
  <si>
    <t>This work has been funded through the National Environmental Research Program (NERP) funded by the Australian Government. The NERP Marine Biodiversity Hub is a collaborative partnership between the University of Tasmania, CSIRO Wealth from Oceans Flagship, Geoscience Australia, Australian Institute of Marine Science and Museum Victoria. Justin Hulls (UTas) provided significant technical support for field surveys and interrogation of AUV imagery. We would like to thank Oscar Pizarro, Ariell Friedman, Andrew Durrant and staff at the Australian Centre for Field Robotics (ACFR) University of Sydney for access to and running the AUV Sirius. AUV data was sourced from the Integrated Marine Observing System (IMOS) - IMOS is a national collaborative research infrastructure, supported by Australian Government. Ian Atkinson and Olivia Wilson (Geoscience Australia) are acknowledged for their assistance in the acquisition and processing of the multibeam sonar data. Emma Lawrence (CSIRO) is thanked for undertaking the AUV sampling design. Thanks also to Nic Bax, two anonymous reviewers and the Editor for their constructive comments on an early version of the paper. SN and JS publish with permission of the CEO, Geoscience Australia.</t>
  </si>
  <si>
    <t>0960-3115</t>
  </si>
  <si>
    <t>1572-9710</t>
  </si>
  <si>
    <t>BIODIVERS CONSERV</t>
  </si>
  <si>
    <t>Biodivers. Conserv.</t>
  </si>
  <si>
    <t>10.1007/s10531-016-1058-1</t>
  </si>
  <si>
    <t>DG7YE</t>
  </si>
  <si>
    <t>WOS:000372298800005</t>
  </si>
  <si>
    <t>Quinn, LR; Meharg, AA; van Franeker, JA; Graham, IM; Thompson, PM</t>
  </si>
  <si>
    <t>Quinn, Lucy R.; Meharg, Andrew A.; van Franeker, Jan A.; Graham, Isla M.; Thompson, Paul M.</t>
  </si>
  <si>
    <t>Validating the use of intrinsic markers in body feathers to identify inter-individual differences in non-breeding areas of northern fulmars</t>
  </si>
  <si>
    <t>STABLE-ISOTOPE ANALYSES; FORAGING AREAS; LONG-TERM; ORGANIC POLLUTANTS; FEEDING ECOLOGY; BIRD FEATHERS; MOLT; SEABIRDS; DIET; MIGRATION</t>
  </si>
  <si>
    <t>Many wildlife studies use chemical analyses to explore spatio-temporal variation in diet, migratory patterns and contaminant exposure. Intrinsic markers are particularly valuable for studying non-breeding marine predators, when direct methods of investigation are rarely feasible. However, any inferences regarding foraging ecology are dependent upon the time scale over which tissues such as feathers are formed. In this study, we validate the use of body feathers for studying non-breeding foraging patterns in a pelagic seabird, the northern fulmar. Analysis of carcasses of successfully breeding adult fulmars indicated that body feathers moulted between September and March, whereas analyses of carcasses and activity patterns suggested that wing feather and tail feather moult occurred during more restricted periods (September to October and September to January, respectively). By randomly sampling relevant body feathers, average values for individual birds were shown to be consistent. We also integrated chemical analyses of body feather with geolocation tracking data to demonstrate that analyses of delta C-13 and delta N-15 values successfully assigned 88 % of birds to one of two broad wintering regions used by breeding adult fulmars from a Scottish study colony. These data provide strong support for the use of body feathers as a tool for exploring non-breeding foraging patterns and diet in wide-ranging, pelagic seabirds.</t>
  </si>
  <si>
    <t>[Quinn, Lucy R.; Graham, Isla M.; Thompson, Paul M.] Univ Aberdeen, Inst Biol &amp; Environm Sci, Lighthouse Field Stn, Cromarty IV11 8YJ, England; [Meharg, Andrew A.] Queens Univ Belfast, Inst Global Food Secur, 18-30 Malone Rd, Belfast BT9 5BN, Antrim, North Ireland; [van Franeker, Jan A.] IMARES Wageningen UR, POB 57, NL-1780 AB Den Helder, Netherlands; [Quinn, Lucy R.] British Antarctic Survey, Madingley Rd, Cambridge CB3 0ET, England</t>
  </si>
  <si>
    <t>University of Aberdeen; Queens University Belfast; Wageningen University &amp; Research; UK Research &amp; Innovation (UKRI); Natural Environment Research Council (NERC); NERC British Antarctic Survey</t>
  </si>
  <si>
    <t>Thompson, PM (corresponding author), Univ Aberdeen, Inst Biol &amp; Environm Sci, Lighthouse Field Stn, Cromarty IV11 8YJ, England.</t>
  </si>
  <si>
    <t>lighthouse@abdn.ac.uk</t>
  </si>
  <si>
    <t>Thompson, Paul/B-6742-2009; Graham, Isla M/K-6463-2012; meharg, andy/F-8182-2014</t>
  </si>
  <si>
    <t>meharg, andy/0000-0003-2019-0449; Graham, Isla/0000-0001-7018-3269</t>
  </si>
  <si>
    <t>NERC; Talisman Energy (UK) Ltd.; NERC [bas0100035, NBAF010001] Funding Source: UKRI; Natural Environment Research Council [NBAF010001, bas0100035] Funding Source: researchfish</t>
  </si>
  <si>
    <t>NERC(UK Research &amp; Innovation (UKRI)Natural Environment Research Council (NERC)); Talisman Energy (UK) Ltd.; NERC(UK Research &amp; Innovation (UKRI)Natural Environment Research Council (NERC)); Natural Environment Research Council(UK Research &amp; Innovation (UKRI)Natural Environment Research Council (NERC))</t>
  </si>
  <si>
    <t>We thank Claire Deacon, Gareth Norton and Andrea Raab for help with laboratory work at the University of Aberdeen, and Barry Thornton and Gillian Martin for running stable isotope analysis at the James Hutton Institute. Thanks to all involved in the collection and processing of dead fulmars through the North Sea plastic pollution project at IMARES, with special thanks to Jens-Kjeld Jensen, Bergur Olsen and Elisa Bravo Rebolledo for samples from the Faroe Islands and Susanne Kuhn for those from Iceland. Thanks to Orkney Islands Council for access to Eynhallow and to all the field workers involved in deployment and recovery of the GLS tags. All ringing work was carried out under permit from the BTO, and feather sampling was carried out under licence from the Home Office. We are grateful to James Fox of Migrate Technologies for recovering data from GLS loggers which would not download, and Richard Phillips and Janet Silk of BAS for advice on GLS analysis. We thank Deborah Dawson of the NERC Biomolecular Analysis Facility, University of Sheffield and Stuart Piertney of University of Aberdeen for molecular sexing of the fulmars. Lucy Quinn was supported by a NERC Studentship and additional funding to support fieldwork was gratefully received from Talisman Energy (UK) Ltd. We thank Yves Cherel and two anonymous reviewers for their constructive comments on the manuscript.</t>
  </si>
  <si>
    <t>10.1007/s00227-016-2822-1</t>
  </si>
  <si>
    <t>DG7ZQ</t>
  </si>
  <si>
    <t>Green Published, Green Accepted, hybrid</t>
  </si>
  <si>
    <t>WOS:000372302600020</t>
  </si>
  <si>
    <t>Bartsch, I</t>
  </si>
  <si>
    <t>Bartsch, Ilse</t>
  </si>
  <si>
    <t>Antarctic Halacaridae (Acari), new records, these species characteristics and an updated list of species</t>
  </si>
  <si>
    <t>POLISH POLAR RESEARCH</t>
  </si>
  <si>
    <t>Antarctic; Halacaroidea; King George Island; Weddell Sea</t>
  </si>
  <si>
    <t>KING-GEORGE-ISLAND; SOUTH GEORGIA; MITE ACARI; ECOLOGY; MARINE</t>
  </si>
  <si>
    <t>Four halacarid species: Agaue agauoides, Agaue parva, Bradyagaue drygalskii, and Halacarus minor have been extracted from bottom samples taken in Admiralty Bay, King George Island, South Shetland Islands, another four, Colobocerasides auster, Halacarus arnaudi, Lohmannella fukushimai, and L. gaussi, from Kapp Norvegia, Atka and Halley Bay, Weddell Sea. Most of these species are widespread around Antarctica and adjacent islands. Diagnostic characters are outlined. An annotated list presents 66 halacarid species reported from south of the Antarctic Polar Front.</t>
  </si>
  <si>
    <t>[Bartsch, Ilse] DESY, Forschungsinst Senckenberg, Notkestr 85, D-22607 Hamburg, Germany</t>
  </si>
  <si>
    <t>Helmholtz Association; Deutsches Elektronen-Synchrotron (DESY); Senckenberg Gesellschaft fur Naturforschung (SGN); University of Hamburg</t>
  </si>
  <si>
    <t>Bartsch, I (corresponding author), DESY, Forschungsinst Senckenberg, Notkestr 85, D-22607 Hamburg, Germany.</t>
  </si>
  <si>
    <t>ibartsch@senckenberg.de</t>
  </si>
  <si>
    <t>POLISH ACAD SCIENCES</t>
  </si>
  <si>
    <t>WARSZAWA</t>
  </si>
  <si>
    <t>PL DEFILAD 1, WARSZAWA, 00000, POLAND</t>
  </si>
  <si>
    <t>0138-0338</t>
  </si>
  <si>
    <t>2081-8262</t>
  </si>
  <si>
    <t>POL POLAR RES</t>
  </si>
  <si>
    <t>Pol. Polar. Res.</t>
  </si>
  <si>
    <t>10.1515/popore-2016-0007</t>
  </si>
  <si>
    <t>DH0IO</t>
  </si>
  <si>
    <t>WOS:000372467800008</t>
  </si>
  <si>
    <t>Pattarini, JM; Scarborough, JR; Sombito, VL; Parazynski, SE</t>
  </si>
  <si>
    <t>Pattarini, James M.; Scarborough, Jullian R.; Sombito, V. Lee; Parazynski, Scott E.</t>
  </si>
  <si>
    <t>Primary Care in Extreme Environments: Medical Clinic Utilization at Antarctic Stations, 2013-2014</t>
  </si>
  <si>
    <t>WILDERNESS &amp; ENVIRONMENTAL MEDICINE</t>
  </si>
  <si>
    <t>austere environment; remote environment; Antarctica; South Pole; altitude sickness; MEDEVAC; isolation</t>
  </si>
  <si>
    <t>ACUTE MOUNTAIN-SICKNESS; ALTITUDE</t>
  </si>
  <si>
    <t>Objectives.-The unique challenges posed by the Antarctic environment include both physiological and psychological stressors to the individual as well as the limited onsite medical capabilities available to address them. This report compares medical clinic utilization among 3 US Antarctic stations' to identify differences in diagnostic frequency and utilization of clinic resources under current medical prescreening regimes for summer and winter seasons. Methods.-Clinic data from 3 Antarctic locations (McMurdo Station, Amundsen-Scott South Pole Station, and Palmer Station) for the 2013-2014 Antarctic year were reviewed for patient encounter frequency by season, and provider-assigned visit diagnostic category. Differences between relative diagnosis frequencies among stations were analyzed, and per-capita clinic utilization was compared. Results.-The McMurdo clinic recorded 1555 patient encounters, with South Pole Station reporting 744 and Palmer with 128 encounters over the year. The most frequent reasons for clinic visits were orthopedic and dermatologic, with increased visits at McMurdo for respiratory illness and at the more remote locations for neurologic complaints and insomnia. Altitude-related visits were reported only at McMurdo and South Pole stations. Conclusions.-The clinic volume predictably correlated with station population. Insomnia and headache complaints, reported only at the South Pole Station, are likely associated with the increased elevation at that site, although they could be attributable to psychological stress from the isolated environment. Although the majority of cases could not be prevented with current screening, we suggest several changes to the current concept of operations that may decrease medical utilization and provide significant improvements to health care delivery on the ice.</t>
  </si>
  <si>
    <t>[Pattarini, James M.] Univ Texas Med Branch, Dept Prevent Med &amp; Community Hlth, 301 Univ Blvd, Galveston, TX 77555 USA; [Scarborough, Jullian R.; Sombito, V. Lee; Parazynski, Scott E.] Univ Texas Med Branch, Ctr Polar Med Operat, Galveston, TX 77555 USA</t>
  </si>
  <si>
    <t>University of Texas System; University of Texas Medical Branch Galveston; University of Texas System; University of Texas Medical Branch Galveston</t>
  </si>
  <si>
    <t>Pattarini, JM (corresponding author), Univ Texas Med Branch, Dept Prevent Med &amp; Community Hlth, 301 Univ Blvd, Galveston, TX 77555 USA.</t>
  </si>
  <si>
    <t>james.pattarini@utmb.edu</t>
  </si>
  <si>
    <t>Aerospace Medicine Residency Program at the University of Texas Medical Branch</t>
  </si>
  <si>
    <t>Any opinion, finding, and conclusions expressed in this material are that of the authors and do not necessarily reflect the views of the National Science Foundation. The authors acknowledge the contribution of the health care providers at each of the Antarctic station clinics for their dedication to excellent medical care in the most extreme of environments. We also acknowledge the staff of the Center for Polar Medical Operations at the University of Texas Medical Branch in Galveston for their steadfast service in the preventive care and medical screening of those who work at the bottom of the world. The authors would like to thank Dr James Cushman for his extensive review and organization of preliminary Antarctic clinic data prior to this report. Finally, we thank the Aerospace Medicine Residency Program at the University of Texas Medical Branch for their support and promotion of medical resident research and fieldwork in extreme environments.</t>
  </si>
  <si>
    <t>1080-6032</t>
  </si>
  <si>
    <t>1545-1534</t>
  </si>
  <si>
    <t>WILD ENVIRON MED</t>
  </si>
  <si>
    <t>Wildern. Environ. Med.</t>
  </si>
  <si>
    <t>10.1016/j.wem.2015.11.010</t>
  </si>
  <si>
    <t>Public, Environmental &amp; Occupational Health; Sport Sciences</t>
  </si>
  <si>
    <t>DG9BY</t>
  </si>
  <si>
    <t>WOS:000372379000011</t>
  </si>
  <si>
    <t>Zheng, LH; Yang, KL; Liu, J; Sun, M; Zhu, JC; Lv, M; Kang, DL; Wang, W; Xing, MX; Li, Z</t>
  </si>
  <si>
    <t>Zheng, Lanhong; Yang, Kangli; Liu, Jia; Sun, Mi; Zhu, Jiancheng; Lv, Mei; Kang, Daole; Wang, Wei; Xing, Mengxin; Li, Zhao</t>
  </si>
  <si>
    <t>Screening of microorganisms from Antarctic surface water and cytotoxicity metabolites from Antarctic microorganisms</t>
  </si>
  <si>
    <t>FOOD SCIENCE &amp; NUTRITION</t>
  </si>
  <si>
    <t>Antarctic surface water; cytotoxicity; fermented active products; microorganism screening; MTT method</t>
  </si>
  <si>
    <t>SP-NOV.; MARINE-BACTERIA</t>
  </si>
  <si>
    <t>The Antarctic is a potentially important library of microbial resources and new bioactive substances. In this study, microorganisms were isolated from surface water samples collected from different sites of the Antarctic. 3-(4,5-dimethyl-2-thiazolyl)-2,5-diphenyl-2H-tetrazolium bromide (MTT) assay-based cytotoxicity-tracking method was used to identify Antarctic marine microorganism resources for antitumor lead compounds. The results showed that a total of 129 Antarctic microorganism strains were isolated. Twelve strains showed potent cytotoxic activities, among which a Gram-negative, rod-shaped bacterium, designated as N11-8 was further studied. Phylogenetic analysis based on 16S rRNA gene sequence showed that N11-8 belongs to the genus Bacillus. Fermented active products of N11-8 with molecular weights of 1-30 kDa had higher inhibitory effects on different cancaer cells, such as BEL-7402 human hepatocellular carcinoma cells, U251 human glioma cells, RKO human colon carcinoma cells, A549 human lung carcinoma cells, and MCF-7 human breast carcinoma cells. However, they displayed lower cytotoxicity against HFL1 human normal fibroblast lung cells. However, they displayed lower cytotoxicity against HFL1 human normal fibroblast lung cells. Microscopic observations showed that the fermented active products have inhibitory activity on BEL-7402 cells similar to that of mitomycin C. Further studies indicated that the fermented active products have high pH and high thermal stability. In conclusion, most strains isolated in this study may be developed as promising sources for the discovery of antitumor bioactive substances. The fermented active products of Antarctic marine Bacillus sp. N11- 8 are expected to be applied in the prevention and treatment of cancer.</t>
  </si>
  <si>
    <t>[Zheng, Lanhong; Yang, Kangli; Sun, Mi; Zhu, Jiancheng; Lv, Mei; Kang, Daole; Wang, Wei; Xing, Mengxin; Li, Zhao] Chinese Acad Fishery Sci, Yellow Sea Fisheries Res Inst, Key Lab Sustainable Utilizat Marine Fisheries Res, Minist Agr, Qingdao 266071, Peoples R China; [Liu, Jia] Qingdao Univ, Coll Med, Qingdao 266021, Peoples R China</t>
  </si>
  <si>
    <t>Chinese Academy of Fishery Sciences; Yellow Sea Fisheries Research Institute, CAFS; Ministry of Agriculture &amp; Rural Affairs; Qingdao University</t>
  </si>
  <si>
    <t>Zheng, LH (corresponding author), Chinese Acad Fishery Sci, Yellow Sea Fisheries Res Inst, Key Lab Sustainable Utilizat Marine Fisheries Res, Minist Agr, Qingdao 266071, Peoples R China.</t>
  </si>
  <si>
    <t>zhenglh@ysfri.ac.cn</t>
  </si>
  <si>
    <t>Special Scientific Research Funds for Central Non-profit Institutes, Chinese Academy of Fishery Sciences [2014B01YQ01]; Science and Technology Development Plans of Shandong Province [2014GSF121016]; Special Scientific Research Funds for Central Non-profit Institutes, Yellow Sea Fisheries Research Institutes [20603022013017, 20603022012013]</t>
  </si>
  <si>
    <t>Special Scientific Research Funds for Central Non-profit Institutes, Chinese Academy of Fishery Sciences; Science and Technology Development Plans of Shandong Province; Special Scientific Research Funds for Central Non-profit Institutes, Yellow Sea Fisheries Research Institutes</t>
  </si>
  <si>
    <t>This work was supported by the Special Scientific Research Funds for Central Non-profit Institutes, Chinese Academy of Fishery Sciences (2014B01YQ01) and the Science and Technology Development Plans of Shandong Province (2014GSF121016), the Special Scientific Research Funds for Central Non-profit Institutes, Yellow Sea Fisheries Research Institutes (No. 20603022013017 and 20603022012013). The authors are grateful to all members of the laboratory for their continuous technical advice and helpful discussion.</t>
  </si>
  <si>
    <t>2048-7177</t>
  </si>
  <si>
    <t>FOOD SCI NUTR</t>
  </si>
  <si>
    <t>Food Sci. Nutr.</t>
  </si>
  <si>
    <t>10.1002/fsn3.273</t>
  </si>
  <si>
    <t>DG8SO</t>
  </si>
  <si>
    <t>WOS:000372354100006</t>
  </si>
  <si>
    <t>Kumamoto, Y; Aoyama, M; Hamajima, Y; Nishino, S; Murata, A; Kikuchi, T</t>
  </si>
  <si>
    <t>Kumamoto, Yuichiro; Aoyama, Michio; Hamajima, Yasunori; Nishino, Shigeto; Murata, Akihiko; Kikuchi, Takashi</t>
  </si>
  <si>
    <t>Meridional distribution of Fukushima-derived radiocesium in surface seawater along a trans-Pacific line from the Arctic to Antarctic Oceans in summer 2012</t>
  </si>
  <si>
    <t>JOURNAL OF RADIOANALYTICAL AND NUCLEAR CHEMISTRY</t>
  </si>
  <si>
    <t>10th International Conference on Methods and Applications of Radioanalytical Chemistry (MARC)</t>
  </si>
  <si>
    <t>APR 12-17, 2015</t>
  </si>
  <si>
    <t>Kailua Kona, HI</t>
  </si>
  <si>
    <t>Fukushima Dai-ichi Nuclear Power Plant accident; Radiocesium; Arctic Ocean; Bering Sea; Pacific Ocean; Antarctic Ocean</t>
  </si>
  <si>
    <t>NUCLEAR-POWER-PLANT; SOURCE-TERM ESTIMATION; CENTRAL NORTH PACIFIC; ATMOSPHERIC DISPERSION; CS-137; ACCIDENT; RELEASE; WESTERN; CESIUM-137; I-131</t>
  </si>
  <si>
    <t>In summer 2012, we measured activity concentration of radiocesium in surface seawater collected in the Arctic Ocean, Bering Sea, western Pacific Ocean, and Antarctic Ocean. The radiocesium derived from the Fukushima Dai-ichi Nuclear Power Plant accident in March 2011 was found in the Bering Sea and western North Pacific between 25A degrees N and 63A degrees N, which agrees with model simulation results of atmospheric deposition. A semi-synoptic view suggests that a main body of radiocesium discharged directly had been transported eastward to 170A degrees W, northward to 50A degrees N, and southward to 30A degrees N by summer 2012, about one and half years after the accident.</t>
  </si>
  <si>
    <t>[Kumamoto, Yuichiro; Nishino, Shigeto; Murata, Akihiko; Kikuchi, Takashi] Japan Agcy Marine Earth Sci &amp; Technol, Res &amp; Dev Ctr Global Change, 2-15 Natushima Cho, Yokosuka, Kanagawa 2370061, Japan; [Aoyama, Michio] Fukushima Univ, Inst Environm Radioact, 1-1 Kanayagawa, Fukushima, Fukushima 9601296, Japan; [Hamajima, Yasunori] Kanazawa Univ, Low Level Radioact Lab, Nomi, Ishikawa 9231224, Japan</t>
  </si>
  <si>
    <t>Japan Agency for Marine-Earth Science &amp; Technology (JAMSTEC); Fukushima University; Kanazawa University</t>
  </si>
  <si>
    <t>Kumamoto, Y (corresponding author), Japan Agcy Marine Earth Sci &amp; Technol, Res &amp; Dev Ctr Global Change, 2-15 Natushima Cho, Yokosuka, Kanagawa 2370061, Japan.</t>
  </si>
  <si>
    <t>kumamoto@jamstec.go.jp</t>
  </si>
  <si>
    <t>Aoyama, Michio/G-6169-2010; HAMAJIMA, Yasunori/L-3802-2015</t>
  </si>
  <si>
    <t>Aoyama, Michio/0000-0003-0362-7602; HAMAJIMA, Yasunori/0000-0002-8485-4606; NISHINO, Shigeto/0000-0002-0560-241X</t>
  </si>
  <si>
    <t>Grants-in-Aid for Scientific Research [24110001, 24110004] Funding Source: KAKEN</t>
  </si>
  <si>
    <t>Grants-in-Aid for Scientific Research(Ministry of Education, Culture, Sports, Science and Technology, Japan (MEXT)Japan Society for the Promotion of ScienceGrants-in-Aid for Scientific Research (KAKENHI))</t>
  </si>
  <si>
    <t>0236-5731</t>
  </si>
  <si>
    <t>1588-2780</t>
  </si>
  <si>
    <t>J RADIOANAL NUCL CH</t>
  </si>
  <si>
    <t>J. Radioanal. Nucl. Chem.</t>
  </si>
  <si>
    <t>10.1007/s10967-015-4439-0</t>
  </si>
  <si>
    <t>Chemistry, Analytical; Chemistry, Inorganic &amp; Nuclear; Nuclear Science &amp; Technology</t>
  </si>
  <si>
    <t>Chemistry; Nuclear Science &amp; Technology</t>
  </si>
  <si>
    <t>DG1ER</t>
  </si>
  <si>
    <t>WOS:000371808900025</t>
  </si>
  <si>
    <t>Mahood, SP; Duckworth, JW</t>
  </si>
  <si>
    <t>Mahood, Simon P.; Duckworth, J. W.</t>
  </si>
  <si>
    <t>Status of pinnipeds in Southeast Asia</t>
  </si>
  <si>
    <t>MAMMALIA</t>
  </si>
  <si>
    <t>Callorhinus ursinus; Phoca largha; pinnipeds; Vietnam</t>
  </si>
  <si>
    <t>ANTARCTIC FUR-SEAL; ARCTOCEPHALUS-TROPICALIS; RECORDS</t>
  </si>
  <si>
    <t>There are no published records of pinnipeds in Southeast Asia. Photographs in the national media between January 2010 and December 2013 documented seven pinniped records. All were individuals caught by fishermen in the central part of Vietnam (17 degrees 56' N south to 15 degrees 23' N). All except one pinniped record can be assigned to Largha (= Spotted) Seal Phoca largha, the most southerly breeding true seal in the north Pacific. The only other pinniped species recorded in Vietnam during the period was one Northern Fur Seal Callorhinus ursinus. The minimum distance between the southernmost area where these species occur regularly and central Vietnam is 3500 km; this is comparable to distances travelled by other vagrant pinnipeds in other parts of the world. Based on such evidence, Largha Seal and Northern Fur Seal should be added to the list of naturally occurring mammals in Vietnamese and Southeast Asian waters.</t>
  </si>
  <si>
    <t>[Mahood, Simon P.] Wildlife Conservat Soc Cambodia Program, POB 1620, Phnom Penh, Cambodia; [Duckworth, J. W.] 6 Stratton Rd, Bristol BS31 3BS, Avon, England</t>
  </si>
  <si>
    <t>Mahood, SP (corresponding author), Wildlife Conservat Soc Cambodia Program, POB 1620, Phnom Penh, Cambodia.</t>
  </si>
  <si>
    <t>smahood@wcs.org</t>
  </si>
  <si>
    <t>WALTER DE GRUYTER GMBH</t>
  </si>
  <si>
    <t>GENTHINER STRASSE 13, D-10785 BERLIN, GERMANY</t>
  </si>
  <si>
    <t>0025-1461</t>
  </si>
  <si>
    <t>1864-1547</t>
  </si>
  <si>
    <t>Mammalia</t>
  </si>
  <si>
    <t>10.1515/mammalia-2014-0144</t>
  </si>
  <si>
    <t>DG4DD</t>
  </si>
  <si>
    <t>WOS:000372020000012</t>
  </si>
  <si>
    <t>McClelland, GTW; McKechnie, AE; Chown, SL</t>
  </si>
  <si>
    <t>McClelland, Gregory T. W.; McKechnie, Andrew E.; Chown, Steven L.</t>
  </si>
  <si>
    <t>Basal Metabolic Rate of the Black-Faced Sheathbill (Chionis minor): Intraspecific Variation in a Phylogenetically Distinct Island Endemic</t>
  </si>
  <si>
    <t>PHYSIOLOGICAL AND BIOCHEMICAL ZOOLOGY</t>
  </si>
  <si>
    <t>Chionidae; endemism; energetics; insular; metabolic diversity</t>
  </si>
  <si>
    <t>LESSER SHEATHBILLS; ENERGY-EXPENDITURE; TEMPERATURE REGULATION; MOLECULAR PHYLOGENY; FORAGING BEHAVIOR; MARION ISLAND; ENERGETICS; BIRDS; SIZE; THERMOREGULATION</t>
  </si>
  <si>
    <t>Metabolic rate is a fundamental characteristic of all organisms. It covaries most significantly with activity, body mass, seasonality, and temperature. Nonetheless, substantial additional variation in metabolic rate, especially either resting rate or basal rate, is associated with a range of factors including phylogenetic position, ecological distinctiveness, range position, and diet. Understanding this variation is a key goal of physiological ecology. The black-faced sheathbill is a phylogenetically distinct, high-latitude, island-endemic bird occurring exclusively on several archipelagos in the southern Indian Ocean. Here we examined the idea that the unique phylogenetic position and ecology of the black-faced sheathbill may lead to a basal metabolic rate (BMR) different from that predicted by its body mass. When compared with BMR data available for all birds and a subset of island species, it was clear that the BMR of the black-faced sheathbill on subantarctic Marion Island, estimated at 15 degrees C using indirect calorimetry (2.370 +/- 0.464 W, mean +/- SD; n = 22), for a group of birds with a mean mass of 459 +/- 64 g, is no different from that expected based on body mass. However, variation in BMR, associated with habitat use and diet, even when correcting for variation in mass, was found. Sheathbills foraging year-round in comparatively resource-rich king penguin colonies have a higher BMR (2.758 +/- 0.291 W, n = 12) than sheathbills that split their foraging between rockhopper penguin colonies and the intertidal zone (2.047 +/- 0.303 W, n = 10), which are poorer in resources. Because these populations coexist at relatively small spatial extents (the entire island is 290 km(2)), other factors seem unlikely as causes of this variation.</t>
  </si>
  <si>
    <t>[McClelland, Gregory T. W.] Univ Stellenbosch, Dept Bot &amp; Zool, Ctr Invas Biol, Private Bag X1, ZA-7600 Matieland, South Africa; [McKechnie, Andrew E.] Univ Pretoria, Dept Zool &amp; Entomol, Percy FitzPatrick Inst, DST NRF Ctr Excellence, ZA-0002 Pretoria, South Africa; [Chown, Steven L.] Monash Univ, Sch Biol Sci, Clayton, Vic 3800, Australia</t>
  </si>
  <si>
    <t>Stellenbosch University; University of Pretoria; National Research Foundation - South Africa; Monash University</t>
  </si>
  <si>
    <t>McClelland, GTW (corresponding author), Univ Stellenbosch, Dept Bot &amp; Zool, Ctr Invas Biol, Private Bag X1, ZA-7600 Matieland, South Africa.</t>
  </si>
  <si>
    <t>mcclellandgreg@gmail.com</t>
  </si>
  <si>
    <t>McKechnie, Andrew E/E-4398-2010; Chown, Steven/ABD-7646-2021; Chown, Steven/H-3347-2011</t>
  </si>
  <si>
    <t>South African National Research Foundation [SNA2011110700005]; South African National Antarctic Programme (SANAP) bursary</t>
  </si>
  <si>
    <t>South African National Research Foundation(National Research Foundation - South Africa); South African National Antarctic Programme (SANAP) bursary</t>
  </si>
  <si>
    <t>Thanks to Elrike Marais for her initial assistance with the respirometry system. Three anonymous reviewers provided helpful comments on a previous version of the manuscript. This study was funded by South African National Research Foundation grant SNA2011110700005 to S.L.C. and by a South African National Antarctic Programme (SANAP) bursary to G.T.W.M. Logistic support in the field was provided by SANAP.</t>
  </si>
  <si>
    <t>1522-2152</t>
  </si>
  <si>
    <t>1537-5293</t>
  </si>
  <si>
    <t>PHYSIOL BIOCHEM ZOOL</t>
  </si>
  <si>
    <t>Physiol. Biochem. Zool.</t>
  </si>
  <si>
    <t>10.1086/685411</t>
  </si>
  <si>
    <t>Physiology; Zoology</t>
  </si>
  <si>
    <t>DG2SM</t>
  </si>
  <si>
    <t>WOS:000371918100006</t>
  </si>
  <si>
    <t>Guo, GJ; Shi, JX; Jiao, YT</t>
  </si>
  <si>
    <t>Guo Guijun; Shi Jiuxin; Jiao Yutian</t>
  </si>
  <si>
    <t>Turbulent mixing in the upper ocean of the northwestern Weddell Sea, Antarctica</t>
  </si>
  <si>
    <t>mixing; dissipation rate; turbulent diffusivity; upper ocean; Weddell Sea</t>
  </si>
  <si>
    <t>BOTTOM WATER; WESTERN WEDDELL; INTERNAL WAVES; THERMOHALINE CIRCULATION; TRANSPORT; MICROSTRUCTURE; DEEP; DISSIPATION; VARIABILITY; POLYNYA</t>
  </si>
  <si>
    <t>Turbulent mixing in the upper ocean (30-200 m) of the northwestern Weddell Sea is investigated based on profiles of temperature, salinity and microstructure data obtained during February 2014. Vertical thermohaline structures are distinct due to geographic features and sea ice distribution, resulting in that turbulent dissipation rates (epsilon) and turbulent diffusivity (K) are vertically and spatially non-uniform. On the shelf north of Antarctic Peninsula and Philip Ridge, with a relatively homogeneous vertical structure of temperature and salinity through the entire water column in the upper 200 m, both e and K show significantly enhanced values in the order of O(10(-7)) -O(10(-6)) W/kg and O(10(-3))-O(10(-2)) m(2)/s respectively, about two or three orders of magnitude higher than those in the open ocean. Mixing intensities tend to be mild due to strong stratification in the Powell Basin and South Orkney Plateau, where e decreases with depth from O(10(-8)) to O(10(-9)) W/kg, while K changes vertically in an inverse direction relative to e from O(10(-6)) to O(10(-5)) m(2)/s. In the marginal ice zone, K is vertically stable with the order of 10(-4) m(2)/s although both intense dissipation and strong stratification occur at depth of 50-100 m below a cold freshened mixed layer. Though previous studies indentify wind work and tides as the primary energy sources for turbulent mixing in coastal regions, our results indicate weak relationship between K and wind stress or tidal kinetic energy. Instead, intensified mixing occurs with large bottom roughness, demonstrating that only when internal waves generated by wind and tide impinge on steep topography can the energy dissipate to support mixing. In addition, geostrophic current flowing out of the Weddell Sea through the gap west of Philip Passage is another energy source contributing to the local intense mixing.</t>
  </si>
  <si>
    <t>[Guo Guijun; Shi Jiuxin; Jiao Yutian] Ocean Univ China, Key Lab Phys Oceanog, Qingdao 266003, Peoples R China; [Guo Guijun; Shi Jiuxin] Ocean Univ China, Coll Ocean &amp; Atmospher Sci, Qingdao 266100, Peoples R China</t>
  </si>
  <si>
    <t>Shi, JX (corresponding author), Ocean Univ China, Key Lab Phys Oceanog, Qingdao 266003, Peoples R China.;Shi, JX (corresponding author), Ocean Univ China, Coll Ocean &amp; Atmospher Sci, Qingdao 266100, Peoples R China.</t>
  </si>
  <si>
    <t>shijiuxin@ouc.edu.cn</t>
  </si>
  <si>
    <t>Shi, Jiuxin/AAK-5495-2021; Guo, Guijun/AAO-3686-2021</t>
  </si>
  <si>
    <t>Shi, Jiuxin/0000-0002-5825-8894;</t>
  </si>
  <si>
    <t>Chinese Polar Environment Comprehensive Investigation and Assessment Programs [CHINARE-01-01, CHINARE-04-01]</t>
  </si>
  <si>
    <t>Chinese Polar Environment Comprehensive Investigation and Assessment Programs</t>
  </si>
  <si>
    <t>Chinese Polar Environment Comprehensive Investigation and Assessment Programs under contract Nos CHINARE-01-01 and CHINARE-04-01.</t>
  </si>
  <si>
    <t>10.1007/s13131-016-0816-y</t>
  </si>
  <si>
    <t>DG2FV</t>
  </si>
  <si>
    <t>WOS:000371883000001</t>
  </si>
  <si>
    <t>Duprat, LPAM; Bigg, GR; Wilton, DJ</t>
  </si>
  <si>
    <t>Duprat, Luis P. A. M.; Bigg, Grant R.; Wilton, David J.</t>
  </si>
  <si>
    <t>Enhanced Southern Ocean marine productivity due to fertilization by giant icebergs</t>
  </si>
  <si>
    <t>ANTARCTIC ICE-SHEET; IRON; PHYTOPLANKTON</t>
  </si>
  <si>
    <t>Primary productivity is enhanced within a few kilometres of icebergs in the Weddell Sea(1,2) owing to the input of terrigeneous nutrients and trace elements during iceberg melting. However, the influence of giant icebergs, over 18 km in length, on marine primary production in the Southern Ocean is less well studied(1,3). Here we present an analysis of 175 satellite images of open ocean colour before and after the passage of 17 giant icebergs between 2003 and 2013. We detect substantially enhanced chlorophyll levels, typically over a radius of at least 4-10 times the iceberg's length, that can persist for more than a month following passage of a giant iceberg. This area of influence is more than an order of magnitude larger than that found for sub-kilometre scale icebergs(2) or in ship-based surveys of giant icebergs(1). Assuming that carbon export increases by a factor of 5-10 over the area of influence, we estimate that up to a fifth of the Southern Ocean's downward carbon flux originates with giant iceberg fertilization. We suggest that, if giant iceberg calving increases this century as expected(4), this negative feedback on the carbon cycle may become more important.</t>
  </si>
  <si>
    <t>[Duprat, Luis P. A. M.; Bigg, Grant R.; Wilton, David J.] Univ Sheffield, Dept Geog, Sheffield S10 2TN, S Yorkshire, England</t>
  </si>
  <si>
    <t>Bigg, GR (corresponding author), Univ Sheffield, Dept Geog, Sheffield S10 2TN, S Yorkshire, England.</t>
  </si>
  <si>
    <t>grant.bigg@sheffield.ac.uk</t>
  </si>
  <si>
    <t>Bigg, Grant/GXW-2219-2022</t>
  </si>
  <si>
    <t>Natural Environment Research Council [NE/L010054/1]; German Aerospace Center [OCE2116, 2184]; European Space Agency [16456]; NERC [NE/L010054/1] Funding Source: UKRI; Natural Environment Research Council [NE/L010054/1] Funding Source: researchfish</t>
  </si>
  <si>
    <t>Natural Environment Research Council(UK Research &amp; Innovation (UKRI)Natural Environment Research Council (NERC)); German Aerospace Center(Helmholtz AssociationGerman Aerospace Centre (DLR)); European Space Agency(European Space Agency); NERC(UK Research &amp; Innovation (UKRI)Natural Environment Research Council (NERC)); Natural Environment Research Council(UK Research &amp; Innovation (UKRI)Natural Environment Research Council (NERC))</t>
  </si>
  <si>
    <t>Much of this work followed from the MSc dissertation of L.P.A.M.D. We also acknowledge support for part of the work from the Natural Environment Research Council Urgency Grant NE/L010054/1, 'Tracking and prediction of the giant Pine Island iceberg', and SAR images from the German Aerospace Center Projects OCE2116 and 2184 and the European Space Agency project 16456. We wish to thank the Canadian Space Agency for providing the data from the latter ESA project. We also wish to thank E. Victor, who helped L.P.A.M.D. with some of the statistics, and J. Thompson, whose MSc research brought the comparisons shown in Fig. 3 to our attention.</t>
  </si>
  <si>
    <t>10.1038/NGEO2633</t>
  </si>
  <si>
    <t>DF5XX</t>
  </si>
  <si>
    <t>WOS:000371427400014</t>
  </si>
  <si>
    <t>Lee, E; Lee, CG; Yim, JH; Lee, HK; Pyo, S</t>
  </si>
  <si>
    <t>Lee, Eunyoung; Lee, Chung Gi; Yim, Joung-Han; Lee, Hong-Kum; Pyo, Suhkneung</t>
  </si>
  <si>
    <t>Ramalin-Mediated Apoptosis Is Enhanced by Autophagy Inhibition in Human Breast Cancer Cells</t>
  </si>
  <si>
    <t>PHYTOTHERAPY RESEARCH</t>
  </si>
  <si>
    <t>ramalin; apoptosis; autophagy; breast cancer cells</t>
  </si>
  <si>
    <t>ESTROGEN-RECEPTOR; INDEPENDENT PATHWAY; NEUROBLASTOMA-CELLS; CASPASE ACTIVATION; DEATH; MITOCHONDRIA; CLEAVAGE; DEGRADATION; INDUCTION; PROTEINS</t>
  </si>
  <si>
    <t>Breast cancer, the most commonly diagnosed cancer in women worldwide, is treated in various ways. Ramalin is a chemical compound derived from the Antarctic lichen Ramalina terebrata and is known to exhibit antioxidant and antiinflammatory activities. However, its effect on breast cancer cells remains unknown. We examined the ability of ramalin to induce apoptosis and its mechanisms in MCF-7 and MDA-MB-231 human breast cancer cell lines. Ramalin inhibited cell growth and induced apoptosis in both cell lines in a concentration-dependent manner. By upregulating Bax and downregulating Bcl-2, ramalin caused cytochrome c and apoptosis-inducing factor to be released from the mitochondria into the cytosol, thus activating the mitochondrial apoptotic pathway. In addition, activated caspase-8 and caspase-9 were detected in both types of cells exposed to ramalin, whereas ramalin activated caspase-3 only in the MDA-MB-231 cells. Ramalin treatment also increased the levels of LC3-II and p62. Moreover, the inhibition of autophagy by 3-methyladenine or Atg5 siRNA significantly enhanced ramalin-induced apoptosis, which was accompanied by a decrease in Bcl-2 levels and an increase in Bax levels. Therefore, autophagy appears to be activated as a protective mechanism against apoptosis in cancer cells exposed to ramalin. These findings suggest that ramalin is a potential anticancer agent for the treatment of patients with non-invasive or invasive breast cancer. Copyright (c) 2015 John Wiley &amp; Sons, Ltd.</t>
  </si>
  <si>
    <t>[Lee, Eunyoung; Lee, Chung Gi; Pyo, Suhkneung] Sungkyunkwan Univ, Sch Pharm, Suwon 440746, Kyunggi Do, South Korea; [Yim, Joung-Han; Lee, Hong-Kum] KORDI, Korea Polar Res Inst, Polar BioCtr, Inchon, South Korea</t>
  </si>
  <si>
    <t>Sungkyunkwan University (SKKU); Korea Polar Research Institute (KOPRI); Korea Institute of Ocean Science &amp; Technology (KIOST)</t>
  </si>
  <si>
    <t>Pyo, S (corresponding author), Sungkyunkwan Univ, Sch Pharm, Suwon 440746, Kyunggi Do, South Korea.</t>
  </si>
  <si>
    <t>snpyo@skku.edu</t>
  </si>
  <si>
    <t>Ministry of Oceans and Fisheries RD project [PM13030]; Korea Polar Research Institute (KOPRI) project [PE13040]</t>
  </si>
  <si>
    <t>Ministry of Oceans and Fisheries RD project; Korea Polar Research Institute (KOPRI) project(Korea Polar Research Institute of Marine Research Placement (KOPRI))</t>
  </si>
  <si>
    <t>This research was supported by grants from the Ministry of Oceans and Fisheries R&amp;D project (PM13030) and the Korea Polar Research Institute (KOPRI) project (PE13040).</t>
  </si>
  <si>
    <t>0951-418X</t>
  </si>
  <si>
    <t>1099-1573</t>
  </si>
  <si>
    <t>PHYTOTHER RES</t>
  </si>
  <si>
    <t>Phytother. Res.</t>
  </si>
  <si>
    <t>10.1002/ptr.5544</t>
  </si>
  <si>
    <t>DG0HR</t>
  </si>
  <si>
    <t>WOS:000371746400011</t>
  </si>
  <si>
    <t>Cefarelli, AO; Ferrario, ME; Vernet, M</t>
  </si>
  <si>
    <t>Cefarelli, Adrian O.; Ferrario, Martha E.; Vernet, Maria</t>
  </si>
  <si>
    <t>Diatoms (Bacillariophyceae) associated with free-drifting Antarctic icebergs: taxonomy and distribution</t>
  </si>
  <si>
    <t>Diatom; Iceberg; Antarctica; Sympagic; Phytoplankton</t>
  </si>
  <si>
    <t>KING-GEORGE-ISLAND; SEA-ICE; SP-NOV; POTTER COVE; GENUS; MORPHOLOGY; ECOLOGY; TERMINOLOGY; RETREAT; SHELF</t>
  </si>
  <si>
    <t>Free-drifting Antarctic icebergs can alter the phytoplankton in surrounding waters. In addition, diatom mats live attached to the submerged walls of the icebergs. In this study we describe a diverse diatom community associated with these mats and an atypical planktonic community in waters affected by icebergs. Samples were collected in the winter of 2008 and fall of 2009 from Antarctic icebergs and their adjacent waters, utilizing a remote operated vehicle and plankton nets, respectively, and subsequently analyzed using light and electron microscopy. Thalassioneis signyensis, dominant species growing on the icebergs' flanks, provided substrate for other diatoms, mainly Synedropsis lata var. angustata, Synedropsis recta, Fragilaria cf. islandica var. adeliae, Attheya gaussii, Navicula cf. perminuta, Amphora sp. and Nitzschia spp. New morphological characteristics are given for S. lata var. angustata, S. recta and A. gaussii. We report also Biddulphia alternans and Coscinodiscus concinnus for the first time in Antarctic waters. Similar to sea ice algae, the term sympagic is used to describe the habitat of these diatom communities. A particular planktonic community is also found close to icebergs, including diatoms known to have a benthic, epiphytic, sympagic or freshwater habitat: Amphora sp., B. alternans, Cocconeis spp., Delphineis minutissima, Licmophora gracilis, Luticola cf. australomutica, Opephora sp., Pinnularia spp., Plagiogramma sp., Psammodictyon panduriforme var. minor, Pseudogomphonema kamtschaticum, Rhaphoneis amphiceros, S. recta and T. signyensis. Our results support the hypothesis that species associated with icebergs exchange freely with plankton, ice shelves and sea ice, suggesting that icebergs can act as physical agents to transport and distribute organisms in between these habitats.</t>
  </si>
  <si>
    <t>[Cefarelli, Adrian O.; Ferrario, Martha E.] Univ Nacl La Plata, Fac Ciencias Nat &amp; Museo, Div Ficiol, Paseo Bosque S-N, RA-1900 La Plata, Argentina; [Ferrario, Martha E.] Consejo Nacl Invest Cientif &amp; Tecn CONICET, Av Rivadavia 1917, RA-1033 Buenos Aires, DF, Argentina; [Vernet, Maria] Univ Calif San Diego, Scripps Inst Oceanog, Integrat Oceanog Div, La Jolla, CA 92093 USA</t>
  </si>
  <si>
    <t>National University of La Plata; Museo La Plata; Consejo Nacional de Investigaciones Cientificas y Tecnicas (CONICET); University of California System; University of California San Diego; Scripps Institution of Oceanography</t>
  </si>
  <si>
    <t>Cefarelli, AO (corresponding author), Univ Nacl La Plata, Fac Ciencias Nat &amp; Museo, Div Ficiol, Paseo Bosque S-N, RA-1900 La Plata, Argentina.</t>
  </si>
  <si>
    <t>acefarelli@fcnym.unlp.edu.ar</t>
  </si>
  <si>
    <t>US National Science Foundation [ANT-0636813, ANT-0636730]; project CONICET [PIP-0173]; Universidad Nacional de La Plata, Argentina</t>
  </si>
  <si>
    <t>US National Science Foundation(National Science Foundation (NSF)); project CONICET; Universidad Nacional de La Plata, Argentina(National University of La Plata)</t>
  </si>
  <si>
    <t>This study was supported in part by grants from the US National Science Foundation, award ANT-0636813 to K. Smith and B. Robison and ANT-0636730 to M. Vernet; and project CONICET PIP-0173. A. O. Cefarelli was supported by a postdoctoral fellowship of the Universidad Nacional de La Plata, Argentina. We thank P. Sarmiento for her excellent technical assistance with SEM work in EM Services of the Museo de La Plata. Special thanks are given to R. Zidarova for help on determining Luticola species and to G. Almandoz for helpful discussions and edits when preparing the manuscript. We extend our deep appreciation to the officers and crew on RVIB NB Palmer during sample collection.</t>
  </si>
  <si>
    <t>10.1007/s00300-015-1791-z</t>
  </si>
  <si>
    <t>DF8WD</t>
  </si>
  <si>
    <t>WOS:000371640300003</t>
  </si>
  <si>
    <t>Song, XK; Gravili, C; Wang, JJ; Deng, YC; Wang, YQ; Fang, L; Lin, HS; Wang, SQ; Zheng, YT; Lin, JH</t>
  </si>
  <si>
    <t>Song, Xikun; Gravili, Cinzia; Wang, Jianjun; Deng, Yacheng; Wang, Yongqiang; Fang, Lu; Lin, Heshan; Wang, Shaoqing; Zheng, Yiting; Lin, Junhui</t>
  </si>
  <si>
    <t>A new deep-sea hydroid (Cnidaria: Hydrozoa) from the Bering Sea Basin reveals high genetic relevance to Arctic and adjacent shallow-water species</t>
  </si>
  <si>
    <t>CHINARE; Subpolar region; Polar relevance; Pacific affinity; Molecular phylogenetics; Macrobenthos</t>
  </si>
  <si>
    <t>SHELF WATERS; SP-NOV; MACROBENTHOS; DIVERSITY; RNA</t>
  </si>
  <si>
    <t>The marine benthic fauna in Arctic shallow-water is reported to be a relatively young assemblage by species of either Pacific or Atlantic affinity. Whether current deep-sea Pacific species are included in the affinity or not is unknown. Combining morphological comparisons and genetic analyses, a new deep-sea hydroid to science, Sertularia xuelongi sp. nov. (Cnidaria: Hydrozoa: Sertulariidae), is described from the northern margin of the Bering Sea Basin at depths of 800-1570 m collected in 2010. It is characterized by slender and zigzag-shaped hydrocauli, alternately arranged hydrothecae and the absence of distal-lateral horns in fully matured female gonothecae. Its distribution, currently known only from Bering Sea Basin, suggests that it could not be an Arctic species with Pacific affinity. However, phylogenetic analyses based on the mitochondrial 16S rRNA gene show that it is clustered into a distinctive clade with four closely related species recorded from shallow-water of Northwest France, Iceland, Chukchi Sea and/or Bering Sea. In addition, its sequence similarity is highly relevant to these four species: Sertularia argentea (98.6 %), S. cupressina (98.8 %), S. plumosa (98.8 %) and S. robusta (99.4 %). All these provide a new insight into the relevance of North Pacific deep-sea species to the benthic fauna in Arctic and adjacent shallow-water. The taxonomic restriction of the genus Sertularia and the re-validation of the genus Polyserias are discussed. Future researches on more deep-sea species from Pacific and/or Atlantic are required to understand the evolution and speciation pattern involved in polar relevance.</t>
  </si>
  <si>
    <t>[Song, Xikun; Wang, Yongqiang; Wang, Shaoqing] Chinese Acad Sci, Inst Oceanol, Dept Marine Organism Taxon &amp; Phylogeny, 7 Nanhai Rd, Qingdao 266071, Peoples R China; [Song, Xikun; Wang, Yongqiang; Wang, Shaoqing] Chinese Acad Sci, Inst Oceanol, Marine Biol Museum, 7 Nanhai Rd, Qingdao 266071, Peoples R China; [Song, Xikun] Univ Chinese Acad Sci, Beijing 100049, Peoples R China; [Gravili, Cinzia] Univ Salento, Dipartimento Sci &amp; Tecnol Biol Ambientali, I-73100 Lecce, Italy; [Wang, Jianjun; Lin, Heshan; Lin, Junhui] State Ocean Adm, Inst Oceanog 3, 178 Daxue Rd, Xiamen 361005, Peoples R China; [Deng, Yacheng; Fang, Lu; Zheng, Yiting] Ocean Univ China, Coll Fisheries, 5 Yushan Rd, Qingdao 266003, Peoples R China</t>
  </si>
  <si>
    <t>Chinese Academy of Sciences; Institute of Oceanology, CAS; Chinese Academy of Sciences; Institute of Oceanology, CAS; Chinese Academy of Sciences; University of Chinese Academy of Sciences, CAS; University of Salento; Third Institute of Oceanography, Ministry of Natural Resources; Ocean University of China</t>
  </si>
  <si>
    <t>Song, XK (corresponding author), Chinese Acad Sci, Inst Oceanol, Dept Marine Organism Taxon &amp; Phylogeny, 7 Nanhai Rd, Qingdao 266071, Peoples R China.;Song, XK (corresponding author), Chinese Acad Sci, Inst Oceanol, Marine Biol Museum, 7 Nanhai Rd, Qingdao 266071, Peoples R China.;Song, XK (corresponding author), Univ Chinese Acad Sci, Beijing 100049, Peoples R China.;Wang, JJ (corresponding author), State Ocean Adm, Inst Oceanog 3, 178 Daxue Rd, Xiamen 361005, Peoples R China.</t>
  </si>
  <si>
    <t>xksong@gmail.com; wangjianjun220@tio.org.cn</t>
  </si>
  <si>
    <t>Song, Xikun/ABA-9101-2021; Gravili, Cinzia/ABB-4127-2020; Han, Jian/ABZ-1060-2022</t>
  </si>
  <si>
    <t>Song, Xikun/0000-0002-3335-0029; Gravili, Cinzia/0000-0001-8412-4390; Han, Jian/0000-0002-0647-4050</t>
  </si>
  <si>
    <t>Institute of Oceanology, CAS; Project of Chinese Polar Scientific Research from Chinese Arctic and Antarctic Administration, Resource-sharing Platform of Polar Samples [CHINARE 2012-2015]; Polar Science Strategic Research Foundation of China [20140309]; Chinese Polar Environment Comprehensive Investigation and Assessment Programs [CHINARE 2011-2015, CHINARE 2014-03-05]; National Natural Science Foundation of China [41306115, 41306116]</t>
  </si>
  <si>
    <t>Institute of Oceanology, CAS(Chinese Academy of Sciences); Project of Chinese Polar Scientific Research from Chinese Arctic and Antarctic Administration, Resource-sharing Platform of Polar Samples; Polar Science Strategic Research Foundation of China; Chinese Polar Environment Comprehensive Investigation and Assessment Programs; National Natural Science Foundation of China(National Natural Science Foundation of China (NSFC))</t>
  </si>
  <si>
    <t>We thank the Editor In Chief, Dr. Dieter Piepenburg, and three anonymous reviewers for critical revisions, Dr. Dale Calder (Royal Ontario Museum, Canada) for revision on the contents and language of the manuscript, Drs. Zongze Shao, Zhaobin Huang and Zhuo Li (TIOSOA) for assisting in molecular experiments and analyses, Dr. Chenlin Liu (FIOSOA) for the donation of CHINARE hydroid collections from FIOSOA to MBMCAS, Dr. Emilie Boissin (CRIOBE, University of Perpignan) for personal communication of molecular analyses. Xikun Song wishes to express his sincere thanks to his supervisor Academician Ruiyu Liu (1922-2012), to Zefeng Xiao (Liaocheng University), Nan Yu, Xiongxiong Sun, Rongrong Gao (Ocean University of China), Gaoyang Li (Xiamen University) and other members of his Queen Team. This work was supported by the extended PhD scholarship from Institute of Oceanology, CAS to Xikun Song, the Project of Chinese Polar Scientific Research under Grant No. CHINARE 2012-2015 from Chinese Arctic and Antarctic Administration, Resource-sharing Platform of Polar Samples (http://birds.chinare.org.cn) maintained by Polar Research Institute of China(PRIC) and Chinese National Arctic &amp; Antarctic Data Center(CN-NADC), the Polar Science Strategic Research Foundation of China under contract No. 20140309, the Chinese Polar Environment Comprehensive Investigation and Assessment Programs (CHINARE 2011-2015, CHINARE 2014-03-05), and the National Natural Science Foundation of China under Grant Nos. 41306115 and 41306116. This is the Queen Team scientific research report QT02.</t>
  </si>
  <si>
    <t>10.1007/s00300-015-1793-x</t>
  </si>
  <si>
    <t>WOS:000371640300004</t>
  </si>
  <si>
    <t>Singh, SM; Tsuji, M; Gawas-Sakhalker, P; Loonen, MJJE; Hoshino, T</t>
  </si>
  <si>
    <t>Singh, Shiv M.; Tsuji, Masaharu; Gawas-Sakhalker, Puja; Loonen, Maarten J. J. E.; Hoshino, Tamotsu</t>
  </si>
  <si>
    <t>Bird feather fungi from Svalbard Arctic</t>
  </si>
  <si>
    <t>Arctic; Bird; Feathers; Culturable fungi; Keratinophilic fungi</t>
  </si>
  <si>
    <t>KERATINOPHILIC FUNGI; ADAPTATION STRATEGIES; CANDIDA-ALBICANS; CRYOCONITE HOLES; COLD ADAPTATION; YEASTS; SOILS; DERMATOPHYTES; BIODIVERSITY; COMMUNITIES</t>
  </si>
  <si>
    <t>Despite feather fungi being an important component of the Arctic fungal flora, their ecological role and diversity are not fully known. In the current study, fungal cultures were isolated from feathers (barnacle goose, common eider, and glaucous gull) collected in the Ny-lesund region, Svalbard. Isolates were identified by ITS region sequences, which include the ITS1, ITS2, and 5.8S rRNA. The result showed culturable yeast and filamentous fungi belonging to three classes: Ascomycota (Pyrenochaetopsis pratorum, Cladosporium herbarum, Thelebolus microsporus, Aspergillus versicolor, Penicillium commune, and Venturia sp.), Basidiomycota (Mrakia blollopis and Rhodotorula mucilaginosa), and Zygomycota (Mucor flavus). Most of the fungal isolates appeared to be cold-tolerant, and about 60 % of the isolates showed keratinase activity. The reasonably low fungal diversity colonizing feathers indicates that the birds of Svalbard are casual carriers of fungi which may result in a negligible impact on their health. To the best of our knowledge, this is the first record of fungal communities present on the feathers of birds in the high Arctic.</t>
  </si>
  <si>
    <t>[Singh, Shiv M.; Gawas-Sakhalker, Puja] Natl Ctr Antarctic &amp; Ocean Res, Minist Earth Sci, Vasco Da Gama 403804, Goa, India; [Tsuji, Masaharu] Natl Inst Polar Res, 10-3 Midori Cho, Tachikawa, Tokyo 1908518, Japan; [Loonen, Maarten J. J. E.] Univ Groningen, Arctic Ctr, POB 716, NL-9700 AS Groningen, Netherlands; [Hoshino, Tamotsu] Natl Inst Adv Ind Sci &amp; Technol, Biomass Refinery Res Ctr, 3-11-32 Kagamiyama, Higashihiroshima 7390046, Japan</t>
  </si>
  <si>
    <t>Ministry of Earth Sciences (MoES) - India; National Centre for Polar and Ocean Research (NCPOR); Research Organization of Information &amp; Systems (ROIS); National Institute of Polar Research (NIPR) - Japan; University of Groningen; National Institute of Advanced Industrial Science &amp; Technology (AIST)</t>
  </si>
  <si>
    <t>Singh, SM (corresponding author), Natl Ctr Antarctic &amp; Ocean Res, Minist Earth Sci, Vasco Da Gama 403804, Goa, India.</t>
  </si>
  <si>
    <t>smsingh@ncaor.gov.in</t>
  </si>
  <si>
    <t>HOSHINO, Tamotsu/R-2959-2019; Tsuji, Masaharu/M-6609-2019; Hoshino, Tamotsu/F-3357-2017</t>
  </si>
  <si>
    <t>Tsuji, Masaharu/0000-0002-9375-7998; Loonen, Maarten J.J.E./0000-0002-3426-4595</t>
  </si>
  <si>
    <t>Grants-in-Aid for Scientific Research [15H06825] Funding Source: KAKEN</t>
  </si>
  <si>
    <t>10.1007/s00300-015-1804-y</t>
  </si>
  <si>
    <t>WOS:000371640300009</t>
  </si>
  <si>
    <t>Sugimoto, F; Tamura, T; Shimoda, H; Uto, S; Simizu, D; Tateyama, K; Hoshino, S; Ozeki, T; Fukamachi, Y; Ushio, S; Ohshima, KI</t>
  </si>
  <si>
    <t>Sugimoto, Fuko; Tamura, Takeshi; Shimoda, Haruhito; Uto, Shotaro; Simizu, Daisuke; Tateyama, Kazutaka; Hoshino, Seita; Ozeki, Toshihiro; Fukamachi, Yasushi; Ushio, Shuki; Ohshima, Kay I.</t>
  </si>
  <si>
    <t>Interannual variability in sea-ice thickness in the pack-ice zone off Lutzow-Holm Bay, East Antarctica</t>
  </si>
  <si>
    <t>Sea-ice thickness; Electromagnetic-induction measurements; Antarctic Ocean; Pack-ice zone; Lutzow-Holm Bay</t>
  </si>
  <si>
    <t>AMUNDSEN SEAS; OCEAN; BELLINGSHAUSEN; SECTOR</t>
  </si>
  <si>
    <t>Under the Japanese Antarctic Research Expedition (JARE) program, sea-ice thickness has been routinely monitored off Lutzow-Holm Bay (East Antarctica) during the summer (mid-December to early January) since 2000/01, using an electromagnetic induction (EM) instrument onboard the icebreaker Shirase. Analysis of these data over a 10-year period, combined with visual observations using a simplified form of the ASPeCt (Antarctic Sea ice Processes and Climate) protocol, suggests a strong interannual variability in sea-ice thickness in this region. For the repeat pack-ice observation area, where the sea-ice thickness averaged over the nine seasons is similar to 1.9 m, mean thicknesses of observed sea-ice in 2010/11 and 2011/12 are exceptionally large, at similar to 3.3 and similar to 5.8 m, respectively. This result is strongly related to regional patterns of sea ice dynamics. Ice convergence caused by anomalous northerly winds was particularly high in 2011/12, suggesting that the extremely thick ice observed in that season resulted largely from sea-ice deformation processes (including pressure ridging). Longer-term analysis of data from the past 34 years confirms that sea-ice conditions and thickness off Lutzow-Holm Bay in summer are determined mainly by the large-scale pattern of atmospheric pressure in December. (C) 2015 Elsevier B.V. and NIPR. All rights reserved.</t>
  </si>
  <si>
    <t>[Sugimoto, Fuko] Hokkaido Univ, Grad Sch Environm Sci, Sapporo, Hokkaido, Japan; [Tamura, Takeshi; Simizu, Daisuke; Ushio, Shuki] Natl Inst Polar Res, Tachikawa, Tokyo, Japan; [Tamura, Takeshi; Ushio, Shuki] SOKENDAI, Tachikawa, Tokyo, Japan; [Tamura, Takeshi] Univ Tasmania, Antarctic Climate &amp; Ecosyst Cooperat Res Ctr, Hobart, Tas, Australia; [Shimoda, Haruhito; Uto, Shotaro] Natl Maritime Res Inst, Mitaka, Tokyo, Japan; [Tateyama, Kazutaka; Hoshino, Seita] Kitami Inst Technol, Kitami, Hokkaido 090, Japan; [Ozeki, Toshihiro] Hokkaido Univ, Sapporo, Hokkaido, Japan; [Fukamachi, Yasushi; Ohshima, Kay I.] Hokkaido Univ, Inst Low Temp Sci, Sapporo, Hokkaido 060, Japan</t>
  </si>
  <si>
    <t>Hokkaido University; Research Organization of Information &amp; Systems (ROIS); National Institute of Polar Research (NIPR) - Japan; University of Tasmania; Antarctic Climate &amp; Ecosystems Cooperative Research Centre (ACE CRC); National Maritime Research Institute; Kitami Institute of Technology; Hokkaido University; Hokkaido University</t>
  </si>
  <si>
    <t>Sugimoto, F (corresponding author), Hokkaido Univ, Grad Sch Environm Sci, Sapporo, Hokkaido, Japan.</t>
  </si>
  <si>
    <t>fuko@pop.lowtem.hokudai.ac.jp</t>
  </si>
  <si>
    <t>Fukamachi, Yasushi/D-1895-2012; Ohshima, Kay I/D-6909-2012</t>
  </si>
  <si>
    <t>Fukamachi, Yasushi/0000-0001-5798-9380; SIMIZU, Daisuke/0000-0003-4214-6756</t>
  </si>
  <si>
    <t>Grants-in-Aid for Scientific Research [25241001, 26249133, 26740007, 15H05116] Funding Source: KAKEN</t>
  </si>
  <si>
    <t>10.1016/j.polar.2015.10.003</t>
  </si>
  <si>
    <t>DF5MU</t>
  </si>
  <si>
    <t>WOS:000371396900005</t>
  </si>
  <si>
    <t>Bölter, M; Müller, F</t>
  </si>
  <si>
    <t>Boelter, Manfred; Mueller, Felix</t>
  </si>
  <si>
    <t>Resilience in polar ecosystems: From drivers to impacts and changes</t>
  </si>
  <si>
    <t>Resilience; Ecosystems; Arctic; Antarctic; DPSIR (driver, pressure, state, impact, response)</t>
  </si>
  <si>
    <t>PLANT COMMUNITY RESPONSES; CLIMATE-CHANGE; METHANE EMISSION; VASCULAR PLANTS; ARCTIC TUNDRA; VEGETATION; FLUXES; FOREST; SOILS; DECOMPOSITION</t>
  </si>
  <si>
    <t>The theory of resilience is increasing in applied ecosystem research and has become a valuable concept for analyzing relationships between natural environments and various stressors, e.g., global warming or direct human impacts. This concept offers opportunities to apply management strategies to different system levels and can provide insights into future ecosystem change. Polar systems are known to be ecologically sensitive to global and local impacts. Records of changes in polar environments, used as alarm signals by governmental and non-governmental institutions, are well documented in various reports. However, it remains difficult to define specific disturbance thresholds, only few methods allow an evaluation of the actual natural state of polar systems, its degree of modification they can accommodate before trophic systems change with severe damages. Some of the main drivers of system changes have been analyzed with respect to possible effects on system changes over different time scales. This paper reviews studies of polar ecosystems and their ability to cope with changes by assessing their resilience in response to human disturbances. Furthermore, we suggest that a customized framework (drivers, pressures, states, impacts, and responses (DPSIR)) should be applied to obtain an improved understanding of the interactions between the state of, and changes in, natural systems. (C) 2015 Elsevier B.V. and NIPR. All rights reserved.</t>
  </si>
  <si>
    <t>[Boelter, Manfred] Univ Kiel, Inst Ecosyst Res, Olshausenstr 75, D-24118 Kiel, Germany; [Mueller, Felix] Univ Kiel, Inst Nat Resource Conservat, Olshausenstr 75, D-24118 Kiel, Germany</t>
  </si>
  <si>
    <t>University of Kiel; University of Kiel</t>
  </si>
  <si>
    <t>Bölter, M (corresponding author), Univ Kiel, Inst Ecosyst Res, Olshausenstr 75, D-24118 Kiel, Germany.</t>
  </si>
  <si>
    <t>mboelter@ipoe.uni-kiel.de</t>
  </si>
  <si>
    <t>10.1016/j.polar.2015.09.002</t>
  </si>
  <si>
    <t>WOS:000371396900006</t>
  </si>
  <si>
    <t>Warrier, AK; Pednekar, H; Mahesh, BS; Mohan, R; Gazi, S</t>
  </si>
  <si>
    <t>Warrier, Anish Kumar; Pednekar, Hemant; Mahesh, B. S.; Mohan, Rahul; Gazi, Sahina</t>
  </si>
  <si>
    <t>Sediment grain size and surface textural observations of quartz grains in late quaternary lacustrine sediments from Schirmacher Oasis, East Antarctica: Paleoenvironmental significance</t>
  </si>
  <si>
    <t>Quartz; Surface texture; Aeolian; Weathering; Climate; Schirmacher oasis; East Antarctica</t>
  </si>
  <si>
    <t>SCANNING-ELECTRON-MICROSCOPY; LARSEMANN HILLS; CLIMATE-CHANGE; ENVIRONMENTAL INTERPRETATION; LAKE-SEDIMENTS; SAND GRAINS; WILKES LAND; MICROTEXTURES; HISTORY; GREENLAND</t>
  </si>
  <si>
    <t>In this study we report the sediment grain size parameters and surface textural observations (using scanning electron microscopy (SEM)) of quartz grains from sediments of Sandy Lake, Schirmacher Oasis, East Antarctica. The sediment core spans the last 43 cal ka B. P. The statistical parameters of grain size data (sorting, skewness, kurtosis, mean grain size, D-10, D-50, D-90 and SPAN index) indicate that the sediments are primarily transported by melt-water streams and glaciers. However, during the last glacial period, sediments seem to be transported due to wind activity as evident by the good correlation between rounded quartz data and dust flux data from EPICA ice-core data. The mean grain size values are low during the last glacial period indicating colder climatic conditions and the values increase after the last glacial maximum suggesting an increase in the energy of the transporting medium, i.e., melt-water streams. The sediments are poorly sorted and finely skewed and show different modes of grain size distribution throughout the last 43 cal ka B. P. SEM studies of selected quartz grains and analyses of various surface textures indicate that glacigenic conditions must have prevailed at the time of their transport. Semi-quantitative analyses of mineral (quartz, feldspar, mica, garnet and rock fragments &amp; other minerals) counts suggest a mixed population of minerals with quartz being the dominant mineral. Higher concentration of quartz grains over other minerals indicates that the sediments are compositionally mature. The study reveals the different types of physical weathering, erosive signatures, and chemical precipitation most of them characteristic of glacial environment which affected these quartz grains before final deposition as lake sediments. The palaeoclimatic signals obtained from this study show similarities with ice-core and lake sediment records from Schirmacher Oasis and other ice-free regions in East Antarctica. (C) 2015 Elsevier B.V. and NIPR. All rights reserved.</t>
  </si>
  <si>
    <t>[Warrier, Anish Kumar; Mahesh, B. S.; Mohan, Rahul; Gazi, Sahina] Govt India, Minist Earth Sci, Earth Syst Sci Org ESSO, Natl Ctr Antarctic &amp; Ocean Res, Vasco 403804, Goa, India; [Pednekar, Hemant] Goa Univ, Dept Earth Sci, Taleigao 403206, Goa, India</t>
  </si>
  <si>
    <t>Earth System Science Organization (ESSO); Ministry of Earth Sciences (MoES) - India; National Centre for Polar and Ocean Research (NCPOR); Goa University</t>
  </si>
  <si>
    <t>Warrier, AK (corresponding author), Govt India, Minist Earth Sci, Earth Syst Sci Org ESSO, Natl Ctr Antarctic &amp; Ocean Res, Vasco 403804, Goa, India.</t>
  </si>
  <si>
    <t>akwarrier@gmail.com</t>
  </si>
  <si>
    <t>Warrier, Anish Kumar/AAW-8890-2020</t>
  </si>
  <si>
    <t>Warrier, Anish Kumar/0000-0003-0044-6224; Badnal, Mahesh/0000-0001-6593-4611</t>
  </si>
  <si>
    <t>10.1016/j.polar.2015.12.005</t>
  </si>
  <si>
    <t>WOS:000371396900010</t>
  </si>
  <si>
    <t>Fukuda, Y; Nogi, Y; Matsuzaki, K</t>
  </si>
  <si>
    <t>Fukuda, Yoichi; Nogi, Yoshifumi; Matsuzaki, Kazuya</t>
  </si>
  <si>
    <t>Precise gravity-field modeling in the area of the Japanese Antarctic station Syowa and evaluation of recent EGMs</t>
  </si>
  <si>
    <t>GOCE; EGM; Geoid; Gravity anomaly; Antarctica; Syowa station</t>
  </si>
  <si>
    <t>GLACIAL-ISOSTATIC-ADJUSTMENT; DRONNING MAUD LAND; SHIRASE GLACIER; EAST ANTARCTICA; MASS-BALANCE; SATELLITE; ANOMALIES; GONDWANA; HEIGHT</t>
  </si>
  <si>
    <t>By combining a Gravity Field and Steady-State Ocean Circulation Explorer (GOCE) Earth Gravity Model (EGM) and in situ gravity data obtained from the Japanese Antarctic Research Expedition (JARE) surveys, we estimated the regional gravity field in the area of Syowa Station, a Japanese research station located in Lutzow-Holm Bay, East Antarctica. In situ data sets that were used consisted of land gravity data collected since 1967, shipborne data collected since 1985 and airborne gravity data collected in 2006. The GOCE direct (DIR) solution release 5 (R5) model was used as the long-wavelength reference of the gravity field. Using these data sets, we calculated gravity anomalies and geoid heights at 1-by-1' grid by means of least-squares collocation. The resulting geoid height at Syowa Station was compared with a local height based on GPS, spirit leveling and tide gauge data. The result suggests that the sea surface height at Syowa Station is -1.57 m, which is consistent with a dynamic ocean topography model. During this investigation, we also evaluated GOCE EGMs and other recent EGMs by comparing them with the airborne gravity data. The results indicate that the GOCE DIR R5 produced the smallest RMS (Root Mean Square) differences and that the newer models performed nearly as well. These comparisons demonstrate the importance of using reliable in situ data when evaluating satellite-only EGMs. (C) 2016 Elsevier B.V. and NIPR. All rights reserved.</t>
  </si>
  <si>
    <t>[Fukuda, Yoichi] Kyoto Univ, Grad Sch Sci, Dept Geophys, Sakyo Ku, Kitashirakawa Oiwake Cho, Kyoto 6068502, Japan; [Nogi, Yoshifumi] Natl Inst Polar Res, 10-3 Midoricho, Tachikawa, Tokyo 1908518, Japan; [Matsuzaki, Kazuya] Natl Inst Adv Ind Sci &amp; Technol, 1-1-1 Umezono, Tsukuba, Ibaraki 3058568, Japan</t>
  </si>
  <si>
    <t>Kyoto University; Research Organization of Information &amp; Systems (ROIS); National Institute of Polar Research (NIPR) - Japan; National Institute of Advanced Industrial Science &amp; Technology (AIST)</t>
  </si>
  <si>
    <t>Fukuda, Y (corresponding author), Kyoto Univ, Grad Sch Sci, Dept Geophys, Sakyo Ku, Kitashirakawa Oiwake Cho, Kyoto 6068502, Japan.</t>
  </si>
  <si>
    <t>fukuda@kugi.kyoto-u.ac.jp</t>
  </si>
  <si>
    <t>Matsuzaki, Kazuya/L-8080-2018</t>
  </si>
  <si>
    <t>Matsuzaki, Kazuya/0000-0002-1700-0707; Fukuda, Yoichi/0000-0002-7731-816X; Nogi, Yoshifumi/0000-0001-8457-4244</t>
  </si>
  <si>
    <t>Japan Society for the Promotion of Science (JSPS) KAKENHI [23540494]; NIPR [2011-13]; Grants-in-Aid for Scientific Research [23540494] Funding Source: KAKEN</t>
  </si>
  <si>
    <t>Japan Society for the Promotion of Science (JSPS) KAKENHI(Ministry of Education, Culture, Sports, Science and Technology, Japan (MEXT)Japan Society for the Promotion of ScienceGrants-in-Aid for Scientific Research (KAKENHI)); NIPR(National Institute of Polar Research (NIPR) - Japan); Grants-in-Aid for Scientific Research(Ministry of Education, Culture, Sports, Science and Technology, Japan (MEXT)Japan Society for the Promotion of ScienceGrants-in-Aid for Scientific Research (KAKENHI))</t>
  </si>
  <si>
    <t>This study was partially supported by Japan Society for the Promotion of Science (JSPS) KAKENHI (Grants-in-Aid for Scientific Research) Grant No. 23540494 and by NIPR through General Collaboration Projects Grant No. 2011-13. The airborne data and related information were provided by Dr. Kazuya Kitada of the Japan Agency for Marine-Earth Science and Technology. The 1992-2002 mean ocean dynamic topography data were obtained by Nikolai Maximenko (IPRC) and Peter Niiler (SIO). The GMT software product (Wessel and Smith, 1998) was used to prepare a few of the figures, and the FORTRAN program HARMONIC_SYNTH, coded by Simon A. Holmes and Nikolaos K. Pavlis, was used to compute the EGMs contributions. Many individuals helped us obtain the in situ gravity data used in this study. We are not able to list them all, but we thank all of those involved in the gravity measurements. Finally we thank two anonymous reviewers whose constructive comments improved the manuscript significantly.</t>
  </si>
  <si>
    <t>10.1016/j.polar.2016.01.002</t>
  </si>
  <si>
    <t>WOS:000371396900011</t>
  </si>
  <si>
    <t>Tarroux, A; Weimerskirch, H; Wang, SH; Bromwich, DH; Cherel, Y; Kato, A; Ropert-Coudert, Y; Varpe, O; Yoccoz, NG; Descamps, S</t>
  </si>
  <si>
    <t>Tarroux, Arnaud; Weimerskirch, Henri; Wang, Sheng-Hung; Bromwich, David H.; Cherel, Yves; Kato, Akiko; Ropert-Coudert, Yan; Varpe, Oystein; Yoccoz, Nigel G.; Descamps, Sebastien</t>
  </si>
  <si>
    <t>Flexible flight response to challenging wind conditions in a commuting Antarctic seabird: do you catch the drift?</t>
  </si>
  <si>
    <t>ANIMAL BEHAVIOUR</t>
  </si>
  <si>
    <t>airspeed; central-place foraging; drift; flight height; flying tactics; orientation; Procellariiformes</t>
  </si>
  <si>
    <t>MIGRATING BIRDS; ENERGY; PETREL; MOVEMENT; WEATHER; COSTS; SPEED; ORIENTATION; SHAPE; ADJUSTMENTS</t>
  </si>
  <si>
    <t>Flight is intrinsically an energetically costly way of moving and birds have developed morphological, physiological and behavioural adaptations to minimize these costs. Central-place foraging seabirds commute regularly between nesting and foraging areas, providing us with opportunities to investigate their behavioural response to environmental conditions that may affect flight, such as wind. Here we tested hypotheses on how wind conditions influence flight behaviour in situations devoid of the confounding effect that, for instance, active foraging behaviour can have on movement patterns. We studied the Antarctic petrel, Thalassoica antarctica, a seabird breeding far inland in Antarctica and commuting through vast ice-covered areas characterized by steady and strong winds as well as a strict absence of foraging opportunities. We combined the three-dimensional location data from 79 GPS tracks with atmospheric wind data over three consecutive breeding seasons (2011-2013) in order to assess individual flight responses to wind conditions. Antarctic petrels encountered generally unfavourable winds, particularly during return flights. Despite their capacity to adjust their speed and heading in order to maintain constant track direction (compensation) in the strongest winds, they generally drifted as wind strengthened. Strong winds induced low-altitude flight. Birds tended to otherwise fly relatively high, but at altitudes with more favourable winds than what they would have encountered if flying higher. Our results show that commuting Antarctic petrels: (1) can tolerate a certain amount of drift according to wind conditions and (2) might be more limited by their ability to assess drift, rather than compensate for it, at least during returning flights. (C) 2015 The Association for the Study of Animal Behaviour. Published by Elsevier Ltd. All rights reserved.</t>
  </si>
  <si>
    <t>[Tarroux, Arnaud; Descamps, Sebastien] Norwegian Polar Res Inst, Fram Ctr, Postboks 6606 Langnes, N-9296 Tromso, Norway; [Weimerskirch, Henri; Cherel, Yves; Kato, Akiko; Ropert-Coudert, Yan] Univ La Rochelle, CEBC, CNRS, UMR 7372, La Rochelle, France; [Wang, Sheng-Hung; Bromwich, David H.] Ohio State Univ, Polar Meteorol Grp, Byrd Polar &amp; Climate Res Ctr, Columbus, OH 43210 USA; [Kato, Akiko; Ropert-Coudert, Yan] CNRS, UMR7178, Strasbourg, France; [Kato, Akiko; Ropert-Coudert, Yan] Univ Strasbourg, Inst Pluridisciplinaire Hubert Curien, Strasbourg, France; [Varpe, Oystein] Univ Ctr Svalbard, Longyearbyen, Norway; [Varpe, Oystein] Akvaplan Niva, Fram Ctr, Tromso, Norway; [Yoccoz, Nigel G.] Arctic Univ Norway, Univ Tromso, Dept Arctic &amp; Marine Biol, Tromso, Norway</t>
  </si>
  <si>
    <t>Norwegian Polar Institute; Centre National de la Recherche Scientifique (CNRS); CNRS - Institute of Ecology &amp; Environment (INEE); La Rochelle Universite; University System of Ohio; Ohio State University; Centre National de la Recherche Scientifique (CNRS); CNRS - National Institute of Nuclear and Particle Physics (IN2P3); Universites de Strasbourg Etablissements Associes; Universite de Strasbourg; Universites de Strasbourg Etablissements Associes; Universite de Strasbourg; University Centre Svalbard (UNIS); Akvaplan-niva; UiT The Arctic University of Tromso</t>
  </si>
  <si>
    <t>Tarroux, A (corresponding author), Norwegian Polar Res Inst, Fram Ctr, Postboks 6606 Langnes, N-9296 Tromso, Norway.</t>
  </si>
  <si>
    <t>arnaud.tarroux@npolar.no</t>
  </si>
  <si>
    <t>Weimerskirch, Henri/F-5562-2013; Weimerskirch, Henri/K-7306-2019; Yoccoz, Nigel/C-8561-2014; Tarroux, Arnaud/AAE-5173-2021; Varpe, Øystein/B-9693-2008; Kato, Akiko/W-2447-2019</t>
  </si>
  <si>
    <t>Weimerskirch, Henri/0000-0002-0457-586X; Yoccoz, Nigel/0000-0003-2192-1039; Tarroux, Arnaud/0000-0001-8306-6694; Varpe, Øystein/0000-0002-5895-6983; Kato, Akiko/0000-0002-8947-3634; Wang, Sheng-Hung/0000-0002-8057-835X</t>
  </si>
  <si>
    <t>Norwegian Antarctic Research Expedition Program of the Norwegian Research Council [2011/70/8/KH/is]; University Corporation for Atmospheric Research [UCAR-GRT-00032749]</t>
  </si>
  <si>
    <t>Norwegian Antarctic Research Expedition Program of the Norwegian Research Council(Research Council of Norway); University Corporation for Atmospheric Research</t>
  </si>
  <si>
    <t>This work was supported by the Norwegian Antarctic Research Expedition Program of the Norwegian Research Council (grant number 2011/70/8/KH/is to S.D.) and by the University Corporation for Atmospheric Research (grant number UCAR-GRT-00032749 to D.H.B.). We are very grateful to our dedicated field assistants (S. Haaland, J. Sward, G. Mabille, T. Nordstad and E. Soininen). This study would not have been possible without support from the logistic department at the Norwegian Polar Institute (NPI) and the Troll Station summer and overwintering teams from 2011 to 2014. We thank Francis Crenner and Nicolas Chatelain for preparing GPS units at the Institut Pluridisciplinaire Hubert Curien in Strasbourg. We also thank Gert Konig-Langlo (Alfred Wegener Institute, Germany) for useful discussions and help with the wind data acquisition and interpretation in early drafts of the manuscript, and Anders Skoglund (NPI) for help with interpretation of spatial data. We are grateful to Tomasz Osiejuk and three anonymous referees who provided constructive comments. This is Contribution 1542 of Byrd Polar and Climate Research Center.</t>
  </si>
  <si>
    <t>0003-3472</t>
  </si>
  <si>
    <t>1095-8282</t>
  </si>
  <si>
    <t>ANIM BEHAV</t>
  </si>
  <si>
    <t>Anim. Behav.</t>
  </si>
  <si>
    <t>10.1016/j.anbehav.2015.12.021</t>
  </si>
  <si>
    <t>Behavioral Sciences; Zoology</t>
  </si>
  <si>
    <t>DF3PO</t>
  </si>
  <si>
    <t>WOS:000371257300015</t>
  </si>
  <si>
    <t>Myers, N</t>
  </si>
  <si>
    <t>Myers, Nicholas</t>
  </si>
  <si>
    <t>Longitudinal Antarctica: A Continent in the Abstract</t>
  </si>
  <si>
    <t>CARTOGRAPHICA</t>
  </si>
  <si>
    <t>Antarctica; Aristotle; James Cook; territorial claims; spatial history; cartographic grid</t>
  </si>
  <si>
    <t>The history of the Antarctic is one of hypothesis and abstraction. Aristotle and James Cook, both prominent figures in Antarctic historiography, never laid eyes on the continent. Despite further exploration and accurate mapping of the continent during the Heroic Age'' of the early twentieth century, competing territorial claims continued to render Antarctica in the abstract. The continent became a space of contested ideology, serving as a canvas for both nationalist pride and imperial might.</t>
  </si>
  <si>
    <t>[Myers, Nicholas] Cornell Univ, Ithaca, NY USA</t>
  </si>
  <si>
    <t>Cornell University</t>
  </si>
  <si>
    <t>Myers, N (corresponding author), Cornell Univ, Ithaca, NY USA.</t>
  </si>
  <si>
    <t>ngm34@cornell.edu</t>
  </si>
  <si>
    <t>UNIV TORONTO PRESS INC</t>
  </si>
  <si>
    <t>TORONTO</t>
  </si>
  <si>
    <t>JOURNALS DIVISION, 5201 DUFFERIN ST, DOWNSVIEW, TORONTO, ON M3H 5T8, CANADA</t>
  </si>
  <si>
    <t>0317-7173</t>
  </si>
  <si>
    <t>1911-9925</t>
  </si>
  <si>
    <t>Cartographica</t>
  </si>
  <si>
    <t>SPR</t>
  </si>
  <si>
    <t>10.3138/cart.51.1.3182</t>
  </si>
  <si>
    <t>Geography</t>
  </si>
  <si>
    <t>DF2IR</t>
  </si>
  <si>
    <t>WOS:000371166500004</t>
  </si>
  <si>
    <t>Papot, C; Cascella, K; Toullec, JY; Jollivet, D</t>
  </si>
  <si>
    <t>Papot, Claire; Cascella, Kevin; Toullec, Jean-Yves; Jollivet, Didier</t>
  </si>
  <si>
    <t>Divergent ecological histories of two sister Antarctic krill species led to contrasted patterns of genetic diversity in their heat-shock protein (hsp70) arsenal</t>
  </si>
  <si>
    <t>ECOLOGY AND EVOLUTION</t>
  </si>
  <si>
    <t>Balancing selection; duplication; heat-shock proteins; krill; sweep; thermal adaptation</t>
  </si>
  <si>
    <t>DROSOPHILA-MELANOGASTER; POPULATION PERSISTENCE; PHENOTYPIC PLASTICITY; MAXIMUM-LIKELIHOOD; THERMAL TOLERANCE; EUPHAUSIA-SUPERBA; OCEAN CURRENTS; EVOLUTION; EXPRESSION; COLD</t>
  </si>
  <si>
    <t>The Arctic and the Antarctic Peninsula are currently experiencing some of the most rapid rates of ocean warming on the planet. This raises the question of how the initial adaptation to extreme cold temperatures was put in place and whether or not directional selection has led to the loss of genetic variation at key adaptive systems, and thus polar species' (re) adaptability to higher temperatures. In the Southern Ocean, krill represents the most abundant fauna and is a critical member at the base of the Antarctic food web. To better understand the role of selection in shaping current patterns of polymorphisms, we examined genetic diversity of the cox-1 and hsp70 genes by comparing two closely related species of Euphausiid that differ in ecology. Results on mtcox-1 agreed with previous studies, indicating high and similar effective population sizes. However, a coalescent-based approach on hsp70 genes highlighted the role of positive selection and past demographic changes in their recent evolution. Firstly, some form of balancing selection was acting on the inducible isoform C, which reflected the maintenance of an ancestral adaptive polymorphism in both species. Secondly, E. crystallorophias seems to have lost most of its hsp70 diversity because of a population crash and/or directional selection to cold. Nonsynonymous diversities were always greater in E. superba, suggesting that it might have evolved under more heterogeneous conditions. This can be linked to species' ecology with E. superba living in more variable pelagic conditions, while E. crystallorophias is strictly associated with continental shelves and sea ice.</t>
  </si>
  <si>
    <t>[Papot, Claire] Univ Lille 1, CNRS, Grp Ecoimmunol Marine Annelids, UMR8198, Bat SN2,1er Etage,Porte 113, F-59655 Villeneuve Dascq, France; [Cascella, Kevin; Toullec, Jean-Yves; Jollivet, Didier] CNRS, Equipe ABICE, Stn Biol Roscoff, UMR 7144, F-29682 Roscoff, France; [Cascella, Kevin; Toullec, Jean-Yves; Jollivet, Didier] UPMC, Lab Adaptat &amp; Diversite Milieu Marin, Stn Biol, F-29682 Roscoff, France</t>
  </si>
  <si>
    <t>Universite de Lille; Centre National de la Recherche Scientifique (CNRS); CNRS - Institute of Ecology &amp; Environment (INEE); Centre National de la Recherche Scientifique (CNRS); CNRS - Institute of Ecology &amp; Environment (INEE); Sorbonne Universite; Sorbonne Universite</t>
  </si>
  <si>
    <t>Jollivet, D (corresponding author), CNRS, Equipe ABICE, Stn Biol Roscoff, UMR 7144, F-29682 Roscoff, France.</t>
  </si>
  <si>
    <t>jollivet@sb-roscoff.fr</t>
  </si>
  <si>
    <t>Papot, Claire/0000-0002-8324-2261</t>
  </si>
  <si>
    <t>Emergence-UPMC research program; Region Bretagne; Institut Paul Emile Victor (IPEV) [KREVET-1039]; Region Bretagne (SAD-1 - DRAKAR program)</t>
  </si>
  <si>
    <t>Emergence-UPMC research program; Region Bretagne(Region Bretagne); Institut Paul Emile Victor (IPEV); Region Bretagne (SAD-1 - DRAKAR program)</t>
  </si>
  <si>
    <t>KC received a PhD grant by the Emergence-UPMC 2011 research program and the Region Bretagne. JYT and DJ benefited from funding provided by Institut Paul Emile Victor (IPEV) (KREVET-1039 program) and also by the Region Bretagne (SAD-1 - DRAKAR program).</t>
  </si>
  <si>
    <t>2045-7758</t>
  </si>
  <si>
    <t>ECOL EVOL</t>
  </si>
  <si>
    <t>Ecol. Evol.</t>
  </si>
  <si>
    <t>10.1002/ece3.1989</t>
  </si>
  <si>
    <t>DF3CP</t>
  </si>
  <si>
    <t>WOS:000371221600023</t>
  </si>
  <si>
    <t>Rahaman, W; Thamban, M; Laluraj, CM</t>
  </si>
  <si>
    <t>Rahaman, Waliur; Thamban, Meloth; Laluraj, C. M.</t>
  </si>
  <si>
    <t>Twentieth-century sea ice variability in the Weddell Sea and its effect on moisture transport: Evidence from a coastal East Antarctic ice core record</t>
  </si>
  <si>
    <t>HOLOCENE</t>
  </si>
  <si>
    <t>Antarctica; d-excess; El Nino Southern Oscillations; ice core; sea ice extent; sea salt; Southern Annular Mode</t>
  </si>
  <si>
    <t>SURFACE MASS-BALANCE; NINO-SOUTHERN OSCILLATION; SHALLOW FIRN CORES; DRONNING MAUD LAND; DEUTERIUM EXCESS; METHANESULFONIC-ACID; STABLE ISOTOPES; ANNULAR MODE; SNOW; ACCUMULATION</t>
  </si>
  <si>
    <t>High-resolution study of deuterium excess (d-excess), sea salt sodium (ss-Na+), and methane sulfonic acid (MSA) in an ice core from coastal Dronning Maud Land (cDML), East Antarctica, revealed the history of moisture transport and sea ice extent (SIE) during the last century. Backward wind trajectories show that air parcels were mainly derived from the Weddell Sea region. The d-excess profile shows a dramatic shift from an average value of 8% during 1905-1920 to -1% during similar to 1940 and thereafter positive excursion during 1940-1980. The dramatic shift during 1920-1940 has been attributed to the reduced moisture supply from low/mid-latitude to Antarctica associated with shifting of Southern Annular Mode (SAM) from positive to negative mode. The ss-Na+ flux profile shows systematic positive excursion during 1940-1980 which coincide with that of the d-excess profile. The MSA flux shows a negative excursion during 1950-1965, overlapping with the period of positive excursions in ss-Na+ and d-excess profiles. The concomitant increase of ss-Na+ and d-excess values and positive excursions during 1940-1980 indicate higher SIE. Based on significant correlation between the Na+ flux and satellite-derived winter SIE record of the Weddell Sea, similar to 10% increase in SIE is estimated compared to its average value of the last century. The power spectrum analysis of d-excess and ss-Na+ flux shows a significant periodicity at similar to 3.5 years, exactly matching with that of the winter SIE in the Weddell Sea. Wavelet analysis of SAM index and Southern Oscillation Index (SOI) shows the highest common power in 4 to 8 year band, overlapping with the periods of higher SIE and opposite phase in 10 to 16 year band, overlapping with the periods of higher d-excess. This study highlights the role of SAM and its teleconnection to El Nino Southern Oscillations (ENSO) in controlling sea ice and moisture source variability in annual to decadal scale in the coastal regions of Antarctica.</t>
  </si>
  <si>
    <t>[Rahaman, Waliur; Thamban, Meloth; Laluraj, C. M.] ESSO Natl Ctr Antarctic &amp; Ocean Res, Vasco Da Gama 403804, Goa, India</t>
  </si>
  <si>
    <t>Ministry of Earth Sciences (MoES) - India; National Centre for Polar and Ocean Research (NCPOR)</t>
  </si>
  <si>
    <t>Rahaman, W (corresponding author), ESSO Natl Ctr Antarctic &amp; Ocean Res, Vasco Da Gama 403804, Goa, India.</t>
  </si>
  <si>
    <t>waliur@ncaor.gov.in</t>
  </si>
  <si>
    <t>Rahaman, Waliur/V-7742-2019</t>
  </si>
  <si>
    <t>Rahaman, Waliur/0000-0001-6439-4529; Thamban, Meloth/0000-0003-3379-8189</t>
  </si>
  <si>
    <t>Ministry of Earth Sciences; NCAOR</t>
  </si>
  <si>
    <t>We sincerely acknowledge Ministry of Earth Sciences and Director, NCAOR, for funding and support.</t>
  </si>
  <si>
    <t>SAGE PUBLICATIONS LTD</t>
  </si>
  <si>
    <t>1 OLIVERS YARD, 55 CITY ROAD, LONDON EC1Y 1SP, ENGLAND</t>
  </si>
  <si>
    <t>0959-6836</t>
  </si>
  <si>
    <t>1477-0911</t>
  </si>
  <si>
    <t>Holocene</t>
  </si>
  <si>
    <t>10.1177/0959683615609749</t>
  </si>
  <si>
    <t>DF1XO</t>
  </si>
  <si>
    <t>WOS:000371133100002</t>
  </si>
  <si>
    <t>Witharana, C; LaRue, MA; Lynch, HJ</t>
  </si>
  <si>
    <t>Witharana, Chandi; LaRue, Michelle A.; Lynch, Heather J.</t>
  </si>
  <si>
    <t>Benchmarking of data fusion algorithms in support of earth observation based Antarctic wildlife monitoring</t>
  </si>
  <si>
    <t>ISPRS JOURNAL OF PHOTOGRAMMETRY AND REMOTE SENSING</t>
  </si>
  <si>
    <t>Penguins; Seals; Guano; Data fusion; VHSR imagery</t>
  </si>
  <si>
    <t>MULTISENSOR IMAGE FUSION; PANSHARPENING ALGORITHMS; QUALITY; PENGUINS; MULTIRESOLUTION; COLONIES</t>
  </si>
  <si>
    <t>Remote sensing is a rapidly developing tool for mapping the abundance and distribution of Antarctic wildlife. While both panchromatic and multispectral imagery have been used in this context, image fusion techniques have received little attention. We tasked seven widely-used fusion algorithms: Ehlers fusion, hyperspherical color space fusion, high-pass fusion, principal component analysis (PCA) fusion, University of New Brunswick fusion, and wavelet-PCA fusion to resolution enhance a series of single-date QuickBird-2 and Worldview-2 image scenes comprising penguin guano, seals, and vegetation. Fused images were assessed for spectral and spatial fidelity using a variety of quantitative quality indicators and visual inspection methods. Our visual evaluation elected the high-pass fusion algorithm and the University of New Brunswick fusion algorithm as best for manual wildlife detection while the quantitative assessment suggested the Gram-Schmidt fusion algorithm and the University of New Brunswick fusion algorithm as best for automated classification. The hyperspherical color space fusion algorithm exhibited mediocre results in terms of spectral and spatial fidelities. The PCA fusion algorithm showed spatial superiority at the expense of spectral inconsistencies. The Ehlers fusion algorithm and the wavelet-PCA algorithm showed the weakest performances. As remote sensing becomes a more routine method of surveying Antarctic wildlife, these benchmarks will provide guidance for image fusion and pave the way for more standardized products for specific types of wildlife surveys. (C) 2016 International Society for Photogrammetry and Remote Sensing, Inc. (ISPRS). Published by Elsevier B.V. All rights reserved.</t>
  </si>
  <si>
    <t>[Witharana, Chandi; Lynch, Heather J.] SUNY Stony Brook, Dept Ecol &amp; Evolut, Stony Brook, NY 11794 USA; [LaRue, Michelle A.] Univ Minnesota, Dept Earth Sci, Minneapolis, MN USA; [Witharana, Chandi] Univ Connecticut, Dept Nat Resources &amp; Environm, Storrs, CT USA</t>
  </si>
  <si>
    <t>State University of New York (SUNY) System; State University of New York (SUNY) Stony Brook; University of Minnesota System; University of Minnesota Twin Cities; University of Connecticut</t>
  </si>
  <si>
    <t>Witharana, C (corresponding author), SUNY Stony Brook, Dept Ecol &amp; Evolut, Stony Brook, NY 11794 USA.</t>
  </si>
  <si>
    <t>chandi.witharana@stonybrook.edu</t>
  </si>
  <si>
    <t>National Science Foundation Office of Polar Programs (OPP) [1255058]; National Science Foundation Geography and Spatial Sciences (GSS) [1255058]; Directorate For Geosciences; Office of Polar Programs (OPP) [1255058] Funding Source: National Science Foundation</t>
  </si>
  <si>
    <t>National Science Foundation Office of Polar Programs (OPP)(National Science Foundation (NSF)); National Science Foundation Geography and Spatial Sciences (GSS); Directorate For Geosciences; Office of Polar Programs (OPP)(National Science Foundation (NSF)NSF - Directorate for Geosciences (GEO))</t>
  </si>
  <si>
    <t>C.W. and H.L. would like to acknowledge funding provided by the National Science Foundation's Office of Polar Programs (OPP) and Geography and Spatial Sciences (GSS) divisions (Award No. 1255058). We would also like to thank the University of Minnesota's Polar Geospatial Center for imagery processing support.</t>
  </si>
  <si>
    <t>0924-2716</t>
  </si>
  <si>
    <t>1872-8235</t>
  </si>
  <si>
    <t>ISPRS J PHOTOGRAMM</t>
  </si>
  <si>
    <t>ISPRS-J. Photogramm. Remote Sens.</t>
  </si>
  <si>
    <t>10.1016/j.isprsjprs.2015.12.009</t>
  </si>
  <si>
    <t>Geography, Physical; Geosciences, Multidisciplinary; Remote Sensing; Imaging Science &amp; Photographic Technology</t>
  </si>
  <si>
    <t>Physical Geography; Geology; Remote Sensing; Imaging Science &amp; Photographic Technology</t>
  </si>
  <si>
    <t>DF7RJ</t>
  </si>
  <si>
    <t>WOS:000371555000010</t>
  </si>
  <si>
    <t>Pauling, AG; Bitz, CM; Smith, IJ; Langhorne, PJ</t>
  </si>
  <si>
    <t>Pauling, Andrew G.; Bitz, Cecilia M.; Smith, Inga J.; Langhorne, Patricia J.</t>
  </si>
  <si>
    <t>The Response of the Southern Ocean and Antarctic Sea Ice to Freshwater from Ice Shelves in an Earth System Model</t>
  </si>
  <si>
    <t>Geographic location/entity; Antarctica; Models and modeling; General circulation models; Ice shelves; Oceanic mixed layer; Atm/Ocean Structure/ Phenomena; Sea ice; Freshwater</t>
  </si>
  <si>
    <t>MASS CHANGES; LEVEL RISE; TRENDS; CLIMATE; MELT; GREENLAND; ICEBERGS; SURFACE; RECORD; SCALE</t>
  </si>
  <si>
    <t>The possibility that recent Antarctic sea ice expansion resulted from an increase in freshwater reaching the Southern Ocean is investigated here. The freshwater flux from ice sheet and ice shelf mass imbalance is largely missing in models that participated in phase 5 of the Coupled Model Intercomparison Project (CMIP5). However, on average, precipitation minus evaporation (P - E) reaching the Southern Ocean has increased in CMIP5 models to a present value that is about [GRAPHICS] greater than preindustrial times and 5-22 times larger than estimates of the mass imbalance of Antarctic ice sheets and shelves (119-544 [GRAPHICS] ). Two sets of experiments were conducted from 1980 to 2013 in CESM1(CAM5), one of the CMIP5 models, artificially distributing freshwater either at the ocean surface to mimic iceberg melt or at the ice shelf fronts at depth. An anomalous reduction in vertical advection of heat into the surface mixed layer resulted in sea surface cooling at high southern latitudes and an associated increase in sea ice area. Enhancing the freshwater input by an amount within the range of estimates of the Antarctic mass imbalance did not have any significant effect on either sea ice area magnitude or trend. Freshwater enhancement of [GRAPHICS] raised the total sea ice area by 1 x 10(6) km(2), yet this and even an enhancement of [GRAPHICS] was insufficient to offset the sea ice decline due to anthropogenic forcing for any period of 20 years or longer. Further, the sea ice response was found to be insensitive to the depth of freshwater injection.</t>
  </si>
  <si>
    <t>[Pauling, Andrew G.; Smith, Inga J.; Langhorne, Patricia J.] Univ Otago, Dept Phys, Dunedin 9054, New Zealand; [Bitz, Cecilia M.] Univ Washington, Dept Atmospher Sci, Seattle, WA 98195 USA</t>
  </si>
  <si>
    <t>University of Otago; University of Washington; University of Washington Seattle</t>
  </si>
  <si>
    <t>Pauling, AG (corresponding author), Univ Otago, POB 56, Dunedin 9054, New Zealand.</t>
  </si>
  <si>
    <t>pauan857@student.otago.ac.nz</t>
  </si>
  <si>
    <t>Bitz, Cecilia M/S-8423-2016; Langhorne, Pat/C-3539-2018</t>
  </si>
  <si>
    <t>Langhorne, Pat/0000-0003-0239-7657; Pauling, Andrew/0000-0003-4545-0809; Bitz, Cecilia/0000-0002-9477-7499</t>
  </si>
  <si>
    <t>Fulbright U.S. Senior Scholar award; Fulbright New Zealand; National Science Foundation [PLR-1341497]; University of Otago [111030]; Ministry of Business, Innovation, and Employment [CO1X1226]; Crown Research Institute; NeSI's collaborator institutions; Ministry of Business, Innovation and Employment's Research Infrastructure programme; National Science Foundation; University of Otago; Antarctica New Zealand Postgraduate Research Scholarships Programme; Office of Polar Programs (OPP); Directorate For Geosciences [1341497] Funding Source: National Science Foundation</t>
  </si>
  <si>
    <t>Fulbright U.S. Senior Scholar award; Fulbright New Zealand; National Science Foundation(National Science Foundation (NSF)); University of Otago; Ministry of Business, Innovation, and Employment(New Zealand Ministry of Business, Innovation and Employment (MBIE)); Crown Research Institute; NeSI's collaborator institutions; Ministry of Business, Innovation and Employment's Research Infrastructure programme(New Zealand Ministry of Business, Innovation and Employment (MBIE)); National Science Foundation(National Science Foundation (NSF)); University of Otago; Antarctica New Zealand Postgraduate Research Scholarships Programme; Office of Polar Programs (OPP); Directorate For Geosciences(National Science Foundation (NSF)NSF - Directorate for Geosciences (GEO))</t>
  </si>
  <si>
    <t>We thank three anonymous reviewers whose detailed and thoughtful comments helped greatly in preparing the manuscript. We thank Dr. Torge Martin for providing the iceberg melt distributions from his earlier study and for helpful discussions. CMB gratefully acknowledges receiving a Fulbright U.S. Senior Scholar award along with the support of Fulbright New Zealand and funding from the National Science Foundation through Grant PLR-1341497. PJL and IJS were supported through University of Otago Research Grant 111030 and two subcontracts to NIWA: one for the Ministry of Business, Innovation, and Employment funded project Climatic variability in the Ross Sea region of Antarctica and its potential influences on the marine ecosystem (CO1X1226), and one from Crown Research Institute core funding. The authors wish to acknowledge the contribution of NeSI high-performance computing facilities to the results of this research. NZ's national facilities are provided by the NZ eScience Infrastructure and funded jointly by NeSI's collaborator institutions and through the Ministry of Business, Innovation and Employment's Research Infrastructure programme. We thank Peter Maxwell in particular for his assistance in running CESM1(CAM5) on the cluster. We would like to acknowledge high-performance computing support from Yellowstone (ark:/85065/d7wd3xhc) provided by NCAR's Computational and Information Systems Laboratory, sponsored by the National Science Foundation. AGP's initial involvement in the project was supported by a University of Otago Summer Scholarship from the Polar Environments Research Theme, and his continued involvement through a Kelly Tarlton's Antarctic Scholarship (awarded through the Antarctica New Zealand Postgraduate Research Scholarships Programme). We acknowledge the CESM1(CAM5) Large Ensemble Community Project and the World Climate Research Programme's Working Group on Coupled Modelling, which is responsible for CMIP. We thank the climate modelling groups (shown in Fig. 5 of this paper) for producing and making available their model output. For CMIP, the U.S. Department of Energy's Program for Climate Model Diagnosis and Intercomparison provides coordinating support and led development of software infrastructure in partnership with the Global Organization for Earth System Science Portals.</t>
  </si>
  <si>
    <t>10.1175/JCLI-D-15-0501.1</t>
  </si>
  <si>
    <t>DF4ET</t>
  </si>
  <si>
    <t>WOS:000371301300001</t>
  </si>
  <si>
    <t>Schneider, DP; Reusch, DB</t>
  </si>
  <si>
    <t>Schneider, David P.; Reusch, David B.</t>
  </si>
  <si>
    <t>Antarctic and Southern Ocean Surface Temperatures in CMIP5 Models in the Context of the Surface Energy Budget*</t>
  </si>
  <si>
    <t>Climatology; Models and modeling; Model evaluation/performance; Climate models; Southern Ocean; Geographic location/entity; Physical Meteorology and Climatology; Antarctica</t>
  </si>
  <si>
    <t>EARTH SYSTEM MODEL; OF-ATMOSPHERE RADIATION; SEA-ICE TRENDS; CLIMATE-CHANGE; COUPLED MODEL; CLOUD BIASES; VARIABILITY; SIMULATION; CIRCULATION; SATELLITE</t>
  </si>
  <si>
    <t>This study examines the biases, intermodel spread, and intermodel range of surface air temperature (SAT) across the Antarctic ice sheet and Southern Ocean in 26 structurally different climate models. Over the ocean (40 degrees-60 degrees S), an ensemble-mean warm bias peaks in late austral summer concurrently with the peak in the intermodel range of SAT. This warm bias lags a spring-summer positive bias in net surface radiation due to weak shortwave cloud forcing and is gradually reduced during autumn and winter. For the ice sheet, inconsistencies among reanalyses and observational datasets give low confidence in the ensemble-mean bias of SAT, but a small summer warm bias is suggested in comparison with nonreanalysis SAT data. The ensemble mean hides a large intermodel range of SAT, which peaks during the summer insolation maximum. In summer on the ice sheet, the SAT intermodel spread is largely associated with the surface albedo. In winter, models universally exhibit a too-strong deficit in net surface radiation related to the downward longwave radiation, implying that the lower atmosphere is too stable. This radiation deficit is balanced by the transfer of sensible heat toward the surface (which largely explains the intermodel spread in SAT) and by a subsurface heat flux. The winter bias in downward longwave radiation is due to the longwave cloud radiative effect, which the ensemble mean underestimates by a factor of 2. The implications of these results for improving climate simulations over Antarctica and the Southern Ocean are discussed.</t>
  </si>
  <si>
    <t>[Schneider, David P.] Natl Ctr Atmospher Res, Climate &amp; Global Dynam Lab, Box 3000, Boulder, CO 80307 USA; [Reusch, David B.] New Mexico Inst Min &amp; Technol, Dept Earth &amp; Environm Sci, Socorro, NM 87801 USA</t>
  </si>
  <si>
    <t>National Center Atmospheric Research (NCAR) - USA; New Mexico Institute of Mining Technology</t>
  </si>
  <si>
    <t>Schneider, DP (corresponding author), Natl Ctr Atmospher Res, Climate &amp; Global Dynam Lab, Box 3000, Boulder, CO 80307 USA.</t>
  </si>
  <si>
    <t>dschneid@ucar.edu</t>
  </si>
  <si>
    <t>Keyes, Dennis/AAZ-9285-2021; Schneider, David/E-2726-2010</t>
  </si>
  <si>
    <t>Schneider, David/0000-0001-5308-1834; Reusch, David/0000-0002-7582-363X</t>
  </si>
  <si>
    <t>National Science Foundation (NSF) [1235231, 1048899]; NSF [1043580]; U.S. Department of Energy's Program for Climate Model Diagnosis and Intercomparison; Directorate For Geosciences; Div Atmospheric &amp; Geospace Sciences [1048899] Funding Source: National Science Foundation; Office of Polar Programs (OPP); Directorate For Geosciences [1043580] Funding Source: National Science Foundation</t>
  </si>
  <si>
    <t>National Science Foundation (NSF)(National Science Foundation (NSF)); NSF(National Science Foundation (NSF)); U.S. Department of Energy's Program for Climate Model Diagnosis and Intercomparison(United States Department of Energy (DOE)); Directorate For Geosciences; Div Atmospheric &amp; Geospace Sciences(National Science Foundation (NSF)NSF - Directorate for Geosciences (GEO)); Office of Polar Programs (OPP); Directorate For Geosciences(National Science Foundation (NSF)NSF - Directorate for Geosciences (GEO))</t>
  </si>
  <si>
    <t>D. P. Schneider was supported by National Science Foundation (NSF) Grants 1235231 and 1048899. D. B. Reusch was supported by NSF Grant 1043580. We thank the individual climate modeling groups that have produced and made available the model output summarized in Tables 1 and 2 of this paper, as well as the coordination of these experiments by the World Climate Research Programme's Working Group on Coupled Modelling, and the software infrastructure for distributing model data supported by the U.S. Department of Energy's Program for Climate Model Diagnosis and Intercomparison. The primary software used for the analyses and figures presented in this work was the NCAR Command Language (http://dx.doi.org/10.5065/D6WD3XH5). We thank three anonymous reviewers and the editor, whose constructive comments led to a greatly improved manuscript.</t>
  </si>
  <si>
    <t>10.1175/JCLI-D-15-0429.1</t>
  </si>
  <si>
    <t>DF4EW</t>
  </si>
  <si>
    <t>WOS:000371301600001</t>
  </si>
  <si>
    <t>Welhouse, LJ; Lazzara, MA; Keller, LM; Tripoli, GJ; Hitchman, MH</t>
  </si>
  <si>
    <t>Welhouse, Lee J.; Lazzara, Matthew A.; Keller, Linda M.; Tripoli, Gregory J.; Hitchman, Matthew H.</t>
  </si>
  <si>
    <t>Composite Analysis of the Effects of ENSO Events on Antarctica</t>
  </si>
  <si>
    <t>Antarctica; Atm/Ocean Structure/ Phenomena; La Nina; El Nino; Circulation/ Dynamics; Geographic location/entity; ENSO; Antarctic Oscillation</t>
  </si>
  <si>
    <t>NINO-SOUTHERN-OSCILLATION; EL-NINO; ATMOSPHERIC CIRCULATION; ANNULAR MODE; HEMISPHERE; PACIFIC; TELECONNECTIONS; REANALYSES; LATITUDES; FEATURES</t>
  </si>
  <si>
    <t>Previous investigations of the relationship between El Nino-Southern Oscillation (ENSO) and the Antarctic climate have focused on regions that are impacted by both El Nino and La Nina, which favors analysis over the Amundsen and Bellingshausen Seas (ABS). Here, 35 yr (1979-2013) of European Centre for Medium-Range Weather Forecasts interim reanalysis (ERA-Interim) data are analyzed to investigate the relationship between ENSO and Antarctica for each season using a compositing method that includes nine El Nino and nine La Nina periods. Composites of 2-m temperature (T-2m), sea level pressure (SLP), 500-hPa geopotential height, sea surface temperatures (SST), and 300-hPa geopotential height anomalies were calculated separately for El Nino minus neutral and La Nina minus neutral conditions, to provide an analysis of features associated with each phase of ENSO. These anomaly patterns can differ in important ways from El Nino minus La Nina composites, which may be expected from the geographical shift in tropical deep convection and associated pattern of planetary wave propagation into the Southern Hemisphere. The primary new result is the robust signal, during La Nina, of cooling over East Antarctica. This cooling is found from December to August. The link between the southern annular mode (SAM) and this cooling is explored. Both El Nino and La Nina experience the weakest signal during austral autumn. The peak signal for La Nina occurs during austral summer, while El Nino is found to peak during austral spring.</t>
  </si>
  <si>
    <t>[Welhouse, Lee J.; Lazzara, Matthew A.] Univ Wisconsin, Antarctic Meteorites Res Ctr, Space Sci &amp; Engn Ctr, Madison, WI USA; [Lazzara, Matthew A.] Madison Area Tech Coll, Sch Arts &amp; Sci, Dept Phys Sci, Madison, WI USA; [Keller, Linda M.; Tripoli, Gregory J.; Hitchman, Matthew H.] Univ Wisconsin, Dept Atmospher &amp; Ocean Sci, Madison, WI USA</t>
  </si>
  <si>
    <t>University of Wisconsin System; University of Wisconsin Madison; University of Wisconsin System; University of Wisconsin Madison</t>
  </si>
  <si>
    <t>Welhouse, LJ (corresponding author), Space Sci &amp; Engn Ctr, 1225 W Dayton St, Madison, WI 53706 USA.</t>
  </si>
  <si>
    <t>lee.welhouse@ssec.wisc.edu</t>
  </si>
  <si>
    <t>Lazzara, Matthew/0000-0002-4343-498X; Welhouse, Lee/0000-0002-7466-5836</t>
  </si>
  <si>
    <t>National Science Foundation [ANT-1245663, ANT-0944018, AGS-1256215]; Directorate For Geosciences; Office of Polar Programs (OPP) [1245663] Funding Source: National Science Foundation; Div Atmospheric &amp; Geospace Sciences; Directorate For Geosciences [1555851] Funding Source: National Science Foundation</t>
  </si>
  <si>
    <t>National Science Foundation(National Science Foundation (NSF)); Directorate For Geosciences; Office of Polar Programs (OPP)(National Science Foundation (NSF)NSF - Directorate for Geosciences (GEO)); Div Atmospheric &amp; Geospace Sciences; Directorate For Geosciences(National Science Foundation (NSF)NSF - Directorate for Geosciences (GEO))</t>
  </si>
  <si>
    <t>This material is based upon work supported by the National Science Foundation Grants ANT-1245663, ANT-0944018, and AGS-1256215. ECMWF ERA-40 and ERA-Interim data used in this study have been obtained from the ECMWF data server. The CFSR and NCEP-NCAR reanalysis data were developed by NOAA's National Centers for Environmental Prediction (NCEP). The data for this study are from the Research Data Archive (RDA), which is maintained by the Computational and Information Systems Laboratory (CISL) at the National Center for Atmospheric Research (NCAR). The National Center for Atmospheric Research is sponsored by the National Science Foundation. The original data are available from the RDA (http://rda.ucar.edu) in dataset number ds093.2. Uninterpolated OLR data were provided by the NOAA/OAR/ESRL PSD, Boulder, Colorado, from their web site at http://www.esrl.noaa.gov/psd/. The authors thank Dan Vimont of the Atmospheric and Oceanic Sciences Department at the University of Wisconsin-Madison, and Ryan Fogt of the Department of Geography at The Ohio State University, for their assistance in methods for analyzing interactions between ENSO and SAM. The authors would also like to thank David Bromwich of The Ohio State University for organizing this special issue, as well as the editor and reviewers for their comments that resulted in a greatly improved paper.</t>
  </si>
  <si>
    <t>10.1175/JCLI-D-15-0108.1</t>
  </si>
  <si>
    <t>WOS:000371301600007</t>
  </si>
  <si>
    <t>Giglio, D; Johnson, GC</t>
  </si>
  <si>
    <t>Giglio, Donata; Johnson, Gregory C.</t>
  </si>
  <si>
    <t>Subantarctic and Polar Fronts of the Antarctic Circumpolar Current and Southern Ocean Heat and Freshwater Content Variability: A View from Argo*,+</t>
  </si>
  <si>
    <t>Fronts; Atm/Ocean Structure/ Phenomena; Circulation/ Dynamics; Freshwater; Ocean circulation; Variability; Ekman pumping; Oceanic variability; Interannual variability</t>
  </si>
  <si>
    <t>ANTHROPOGENIC CARBON-DIOXIDE; SEA-LEVEL RISE; DRAKE PASSAGE; GLOBAL OCEAN; INTERMEDIATE WATER; BOTTOM WATER; TRENDS; JETS; TEMPERATURE; ABYSSAL</t>
  </si>
  <si>
    <t>Argo profiling floats initiated a revolution in observational physical oceanography by providing numerous, high-quality, global, year-round, in situ (0-2000 dbar) temperature and salinity observations. This study uses Argo's unprecedented sampling of the Southern Ocean during 2006-13 to describe the position of the Antarctic Circumpolar Current's Subantarctic and Polar Fronts, comparing and contrasting two different methods for locating fronts using the same dataset. The first method locates three fronts along dynamic height contours, each corresponding to a local maximum in vertically integrated shear. The second approach locates the fronts using specific features in the potential temperature field, following Orsi et al. Results from the analysis of Argo data are compared to those from Orsi et al. and other more recent studies. Argo spatial resolution is not adequate to resolve annual and interannual movements of the fronts on a circumpolar scale since they are on the order of 1 degrees latitude (Kim and Orsi), which is smaller than the resolution of the gridded product analyzed. Argo's four-dimensional coverage of the Southern Ocean equatorward of ~60 degrees S is used to quantify variations in heat and freshwater content there with respect to the time-mean front locations. These variations are described during 2006-13, considering both pressure and potential density ranges (within different water masses) and relations to wind forcing (Ekman upwelling and downwelling).</t>
  </si>
  <si>
    <t>[Giglio, Donata] Univ Washington, Joint Inst Study Atmosphere &amp; Ocean, Box 355672, Seattle, WA 98195 USA; [Johnson, Gregory C.] NOAA, Pacific Marine Environm Lab, 7600 Sand Point Way Ne, Seattle, WA 98115 USA</t>
  </si>
  <si>
    <t>University of Washington; University of Washington Seattle; National Oceanic Atmospheric Admin (NOAA) - USA</t>
  </si>
  <si>
    <t>Giglio, D (corresponding author), Univ Washington, Joint Inst Study Atmosphere &amp; Ocean, Box 355672, Seattle, WA 98195 USA.</t>
  </si>
  <si>
    <t>dgiglio@uw.edu</t>
  </si>
  <si>
    <t>Giglio, Donata/AAD-5483-2021; Johnson, Gregory C/I-6559-2012</t>
  </si>
  <si>
    <t>Giglio, Donata/0000-0002-3738-4293; Johnson, Gregory C/0000-0002-8023-4020</t>
  </si>
  <si>
    <t>Joint Institute for the Study of the Atmosphere and Ocean (JISAO) under NOAA [NA15OAR4320063]; NOAA Research; NOAA Climate Observations Division</t>
  </si>
  <si>
    <t>Joint Institute for the Study of the Atmosphere and Ocean (JISAO) under NOAA(National Oceanic Atmospheric Admin (NOAA) - USA); NOAA Research(National Oceanic Atmospheric Admin (NOAA) - USA); NOAA Climate Observations Division(National Oceanic Atmospheric Admin (NOAA) - USA)</t>
  </si>
  <si>
    <t>The Argo data used here were collected and are made freely available by the International Argo Program and by the national programs that contribute to it. The efforts of many international partners in planning and implementing the Argo array are gratefully acknowledged. ECMWF ERA-Interim momentum flux at the ocean-atmosphere interface and SST reanalysis fields used in this study have been obtained from the ECMWF data server. The objectively mapped Argo data were provided by John Gilson. DG was supported through a postdoctoral fellowship by the Joint Institute for the Study of the Atmosphere and Ocean (JISAO) under NOAA Cooperative Agreement NA15OAR4320063. GCJ is supported by NOAA Research and the NOAA Climate Observations Division. The statements, findings, conclusions, and recommendations herein are those of the authors and do not necessarily reflect the views of the National Oceanic and Atmospheric Administration or the Department of Commerce. Thanks to David Ferreira (U. Reading) and Matthew R. Mazloff (SIO) for the discussion about this work. Thanks to the two anonymous reviewers for providing valuable feedback.</t>
  </si>
  <si>
    <t>10.1175/JPO-D-15-0131.1</t>
  </si>
  <si>
    <t>DF6ON</t>
  </si>
  <si>
    <t>WOS:000371475200001</t>
  </si>
  <si>
    <t>Mortimer, N; Kohn, B; Seward, D; Spell, T; Tulloch, A</t>
  </si>
  <si>
    <t>Mortimer, Nick; Kohn, Barry; Seward, Diane; Spell, Terry; Tulloch, Andy</t>
  </si>
  <si>
    <t>Reconnaissance thermochronology of southern Zealandia</t>
  </si>
  <si>
    <t>JOURNAL OF THE GEOLOGICAL SOCIETY</t>
  </si>
  <si>
    <t>FISSION-TRACK ANALYSIS; POTASSIUM-ARGON AGES; CAMPBELL PLATEAU; (U-TH)/HE THERMOCHRONOMETRY; TRANSANTARCTIC MOUNTAINS; TECTONIC DEVELOPMENT; DIFFUSION KINETICS; EXHUMATION HISTORY; BASEMENT GEOLOGY; RADIATION-DAMAGE</t>
  </si>
  <si>
    <t>We report new fission-track, (U-Th)/He and 40Ar/39Ar ages for minerals in surface, dredge and borehole cuttings samples from the southern South Island, Campbell Plateau and Chatham Rise regions of the Zealandia continent. Our results indicate that much of southern Zealandia underwent rapid cooling in the interval 105-80 Ma, probably during widespread intracontinental rifting before Zealandia split from Gondwana. The 108 +/- 11 Ma rapid exhumation of a zircon He retention zone in the Chatham Schist, however, may record cessation of long-lived subduction at the Gondwana margin owing to Hikurangi Plateau collision and/or the onset of the extensional rifting episode. Locally, basement rocks have been appreciably heated, and thermochronological systems reset, in response to deepening of the Great South Basin and by local Miocene intraplate volcanism. An apatite fission-track age of 179 +/- 17 Ma from a dredge sample of Precambrian granite at the southern tip of the Campbell Plateau indicates that it is probably ice-rafted, thus in situ Precambrian crust in Zealandia is still unconfirmed. In contrast, a zircon (U-Th)/He age of 99 +/- 9 Ma from a Precambrian metarhyolite from Iselin Bank at the conjugate Antarctic continental margin plausibly indicates an in situ position.</t>
  </si>
  <si>
    <t>[Mortimer, Nick; Tulloch, Andy] GNS Sci, Private Bag 1930, Dunedin 9054, New Zealand; [Kohn, Barry] Univ Melbourne, Sch Earth Sci, Melbourne, Vic 3010, Australia; [Seward, Diane] Victoria Univ, POB 600, Wellington 6140, New Zealand; [Spell, Terry] Univ Nevada, Dept Geosci, Las Vegas, NV 89154 USA</t>
  </si>
  <si>
    <t>GNS Science - New Zealand; University of Melbourne; Melbourne Bioinformatics; Victoria University Wellington; Nevada System of Higher Education (NSHE); University of Nevada Las Vegas</t>
  </si>
  <si>
    <t>Mortimer, N (corresponding author), GNS Sci, Private Bag 1930, Dunedin 9054, New Zealand.</t>
  </si>
  <si>
    <t>n.mortimer@gns.cri.nz</t>
  </si>
  <si>
    <t>; Mortimer, Nick/D-5791-2011</t>
  </si>
  <si>
    <t>Kohn, Barry/0000-0001-5064-5454; Mortimer, Nick/0000-0002-6812-3379</t>
  </si>
  <si>
    <t>New Zealand Ministry of Business, Innovation and Employment [C05X1103]; New Zealand Ministry of Business, Innovation &amp; Employment (MBIE) [C05X1103] Funding Source: New Zealand Ministry of Business, Innovation &amp; Employment (MBIE)</t>
  </si>
  <si>
    <t>New Zealand Ministry of Business, Innovation and Employment(New Zealand Ministry of Business, Innovation and Employment (MBIE)); New Zealand Ministry of Business, Innovation &amp; Employment (MBIE)(New Zealand Ministry of Business, Innovation and Employment (MBIE))</t>
  </si>
  <si>
    <t>We thank C. Adams and H. Campbell for supplying some samples for this study, J. Simes and B. Smith Lyttle for mineral separation work, and L. Chung and A. Alimanovic for their assistance with the University of Melbourne fission-track and (U-Th)/He measurements. An earlier version of the paper was improved by comments from A. Nicol. The project was funded by the New Zealand Ministry of Business, Innovation and Employment Core Funding Contract C05X1103 to GNS Science. The University of Melbourne thermochronology laboratory receives operational and equipment support from the Australian Research Council, the AuScope Program of the National Collaborative Research Infrastructure Strategy and the Australian Geophysical Observing System of the Education Investment Fund.</t>
  </si>
  <si>
    <t>GEOLOGICAL SOC PUBL HOUSE</t>
  </si>
  <si>
    <t>BATH</t>
  </si>
  <si>
    <t>UNIT 7, BRASSMILL ENTERPRISE CENTRE, BRASSMILL LANE, BATH BA1 3JN, AVON, ENGLAND</t>
  </si>
  <si>
    <t>0016-7649</t>
  </si>
  <si>
    <t>2041-479X</t>
  </si>
  <si>
    <t>J GEOL SOC LONDON</t>
  </si>
  <si>
    <t>J. Geol. Soc.</t>
  </si>
  <si>
    <t>10.1144/jgs2015-021</t>
  </si>
  <si>
    <t>DF3BR</t>
  </si>
  <si>
    <t>WOS:000371219200011</t>
  </si>
  <si>
    <t>Fromont, J; Huggett, MJ; Lengger, SK; Grice, K; Schönberg, CHL</t>
  </si>
  <si>
    <t>Fromont, Jane; Huggett, Megan J.; Lengger, Sabine K.; Grice, Kliti; Schoenberg, Christine H. L.</t>
  </si>
  <si>
    <t>Characterization of Leucetta prolifera, a calcarean cyanosponge from south-western Australia, and its symbionts</t>
  </si>
  <si>
    <t>Porifera; Calcarea; Cyanobacteria; Hormoscilla spongeliae; photosymbiosis; chlorophyll; 16S gene sequencing; membrane fatty acids; stable isotopes; photosynthate translocation</t>
  </si>
  <si>
    <t>CARBON ISOTOPIC COMPOSITIONS; CORAL-REEF SPONGES; FATTY-ACIDS; MICROBIAL COMMUNITIES; ELECTRON-MICROSCOPE; ANTARCTIC SPONGES; INTERACTIVE TREE; MARINE SPONGES; SEQUENCE DATA; PORIFERA</t>
  </si>
  <si>
    <t>The biology and ecology of calcarean sponges are not as well understood as they are for demosponges. Here, in order to gain new insights, particularly about symbiotic relationships, the calcarean sponge Leucetta prolifera was sampled from southwestern Australia and examined for its assumed photosymbionts. Pulse amplitude modulated fluorometry and extraction of photopigments established that the sponge was photosynthetic. Molecular analysis of the bacterial symbionts via sequencing of the V1 V3 region of the 16S rDNA gene confirmed that between 5 and 22% of all sequences belonged to the phylum Cyanobacteria, depending on the individual sample, with the most dominant strain aligning with Hormoscilla spongeliae, a widely distributed sponge symbiont. Analysis of fatty acids suggested that the sponge obtains nutrition through photosynthates from its symbionts. The relationship is assumed to be mutualistic, with the sponge receiving dietary support and the cyanobacteria sheltering in the sponge tissues. We list all Calcarea presently known to harbour photosymbionts.</t>
  </si>
  <si>
    <t>[Fromont, Jane; Schoenberg, Christine H. L.] Western Australian Museum, Dept Aquat Zool, Locked Bag 49, Welshpool Dc, WA 6986, Australia; [Huggett, Megan J.] Edith Cowan Univ, Sch Nat Sci, Ctr Marine Ecosyst Res, 270 Joondalup Dr, Joondalup, WA 6027, Australia; [Lengger, Sabine K.; Grice, Kliti] Curtin Univ, Inst Geosci Res, WA Organ &amp; Isotope Geochem Ctr, Dept Chem, GPO Box U1987, Perth, WA 6845, Australia; [Lengger, Sabine K.] Univ Bristol, Sch Chem, Organ Geochem Unit, Cantocks Close, Bristol BS8 1TS, Avon, England; [Schoenberg, Christine H. L.] Australian Inst Marine Sci, Oceans Inst, 39 Fairway, Crawley, WA 6009, Australia; [Schoenberg, Christine H. L.] Univ Western Australia, 35 Stirling Highway, Crawley, WA 6009, Australia</t>
  </si>
  <si>
    <t>Western Australian Museum; Edith Cowan University; Curtin University; University of Bristol; Australian Institute of Marine Science; University of Western Australia; University of Western Australia</t>
  </si>
  <si>
    <t>Schönberg, CHL (corresponding author), Australian Inst Marine Sci, Oceans Inst, 39 Fairway, Crawley, WA 6009, Australia.</t>
  </si>
  <si>
    <t>christine.schonberg@uwa.edu.au</t>
  </si>
  <si>
    <t>Lengger, Sabine/IZD-7999-2023; Lengger, Sabine K/L-7124-2016; Schönberg, Christine Hanna Lydia/B-3925-2009; Huggett, Megan/ABB-9400-2021; Lengger, Sabine/Q-4402-2019; Huggett, Megan/G-3328-2012</t>
  </si>
  <si>
    <t>Lengger, Sabine/0000-0003-4047-8773; Schönberg, Christine Hanna Lydia/0000-0001-6286-8196; Lengger, Sabine/0000-0003-4047-8773; Huggett, Megan/0000-0002-3401-0704; Grice, Kliti/0000-0003-2136-3508</t>
  </si>
  <si>
    <t>ARC DORA; ARC; Thermo Delta V Advantage via an ARC LIEFP grant</t>
  </si>
  <si>
    <t>ARC DORA(Australian Research Council); ARC(Australian Research Council); Thermo Delta V Advantage via an ARC LIEFP grant</t>
  </si>
  <si>
    <t>Sabine Lengger was funded by an ARC DORA grant provided to Kliti Grice, who also thanks the ARC for funding the purchase of a Thermo Delta V Advantage via an ARC LIEFP grant.</t>
  </si>
  <si>
    <t>10.1017/S0025315415000491</t>
  </si>
  <si>
    <t>DF2HR</t>
  </si>
  <si>
    <t>WOS:000371163700028</t>
  </si>
  <si>
    <t>Lewis, LR; Liu, Y; Rozzi, R; Goffinet, B</t>
  </si>
  <si>
    <t>Lewis, Lily R.; Liu, Yang; Rozzi, Ricardo; Goffinet, Bernard</t>
  </si>
  <si>
    <t>Infraspecific variation within and across complete organellar genomes and nuclear ribosomal repeats in a moss</t>
  </si>
  <si>
    <t>Genomics; Infraspecific polymorphism; Early land plant; Bryophyte; Tetraplodon</t>
  </si>
  <si>
    <t>CHLOROPLAST GENOME; PHYSCOMITRELLA-PATENS; SEQUENCE; LAND; DNA; MITOCHONDRIAL; EVOLUTION; POLYMORPHISM; INSIGHT; ORIGIN</t>
  </si>
  <si>
    <t>Bryophytes (mosses, liverworts, and hornworts) are diverse and ecologically and evolutionarily significant yet genome scale data sets and analyses remain extremely sparse relative to other groups of plants, and are completely lacking at the infraspecific level. By sequencing the complete organellar genomes and nuclear ribosomal repeat from seven patches of a South American sub-Antarctic neo-endemic non-model moss, we present the first characterization of infraspecific polymorphism within and across the three genomic compartments for a bryophyte. Diversity within patches is accounted for by both intraindividual and interindividual variation for the nuclear ribosomal repeat and plastid genome, respectively. This represents the most extensive infraspecific genomic dataset generated for an early land plant lineage thus far and provides insight into relative rates of substitution between organellar genomes, including high rates of nonsynonymous to synonymous substitutions. (C) 2015 Elsevier Inc. All rights reserved.</t>
  </si>
  <si>
    <t>[Lewis, Lily R.; Liu, Yang; Goffinet, Bernard] Univ Connecticut, Dept Ecol &amp; Evolutionary Biol, 75 North Eagleville Rd, Storrs, CT 06269 USA; [Rozzi, Ricardo] Univ N Texas, Dept Philosophy, 1704 West Mulberry, Denton, TX 76201 USA; [Lewis, Lily R.; Rozzi, Ricardo] Inst Ecol &amp; Biodivers, Omora Ethnobot Pk, Puerto Williams, Antarctic Provi, Chile; [Lewis, Lily R.; Rozzi, Ricardo] Univ Magallanes, Omora Ethnobot Pk, Puerto Williams, Antarctic Provi, Chile</t>
  </si>
  <si>
    <t>University of Connecticut; University of North Texas System; University of North Texas Denton; Universidad de Magallanes</t>
  </si>
  <si>
    <t>Lewis, LR (corresponding author), Univ Connecticut, Dept Ecol &amp; Evolutionary Biol, 75 North Eagleville Rd, Storrs, CT 06269 USA.</t>
  </si>
  <si>
    <t>LilyRLewis@gmail.com; yang.liu@uconn.edu; ricardo.rozzi@unt.edu; bernard.goffinet@uconn.edu</t>
  </si>
  <si>
    <t>liu, yang/H-6324-2011; Rozzi, Ricardo/G-1047-2012</t>
  </si>
  <si>
    <t>Rozzi, Ricardo/0000-0001-5265-8726; Liu, Yang/0000-0002-5942-839X</t>
  </si>
  <si>
    <t>National Science Foundation [DEB-1311405, DEB-1212505]; Direct For Biological Sciences; Division Of Environmental Biology [1240045] Funding Source: National Science Foundation</t>
  </si>
  <si>
    <t>National Science Foundation(National Science Foundation (NSF)); Direct For Biological Sciences; Division Of Environmental Biology(National Science Foundation (NSF)NSF - Directorate for Biological Sciences (BIO))</t>
  </si>
  <si>
    <t>This work was supported by the National Science Foundation (DEB-1311405 to L.R.L.; DEB-1212505 to B.G.). Fieldwork in the Cape Horn Archipelago, Chile, was made possible by Iniciativa Cientifica Milenio and Comision Nacional de Investigacion Cientifica y Tecnologica (ICM P05-002 and Basal-CONICYT PFB-23, respectively, to Institute of Ecology and Biodiversity, IEB-Chile, R.R.), and the National Science Foundation (DEB-0948380 to William R. Buck). For comments on earlier drafts we thank Rafael Medina, Jessica Budke, Paul Lewis, and Kent Holsinger.</t>
  </si>
  <si>
    <t>10.1016/j.ympev.2015.12.005</t>
  </si>
  <si>
    <t>DF2SD</t>
  </si>
  <si>
    <t>WOS:000371193200019</t>
  </si>
  <si>
    <t>Sen, IS; Bizimis, M; Tripathi, SN; Paul, D</t>
  </si>
  <si>
    <t>Sen, Indra S.; Bizimis, Michael; Tripathi, Sachchida Nand; Paul, Debajyoti</t>
  </si>
  <si>
    <t>Lead isotopic fingerprinting of aerosols to characterize the sources of atmospheric lead in an industrial city of India</t>
  </si>
  <si>
    <t>ATMOSPHERIC ENVIRONMENT</t>
  </si>
  <si>
    <t>Lead isotopes as tracer of Pb pollution source; Elevated concentrations of heavy metals in India; Lead pollution in India; Lead in Indian aerosols; Lead in environment</t>
  </si>
  <si>
    <t>ANTHROPOGENIC LEAD; SOURCE SIGNATURES; LAKE-SEDIMENTS; ANTARCTIC SNOW; METAL CONTENT; POWER-PLANTS; FLY-ASH; PB; POLLUTION; URBAN</t>
  </si>
  <si>
    <t>Anthropogenic Pb in the environment is primarily sourced from combustion of fossil fuel and high temperature industries such as smelters. Identifying the sources and pathways of anthropogenic Pb in the environment is important because Pb toxicity is known to have adverse effects on human health. Pb pollution sources for America, Europe; and China are well documented. However, sources of atmospheric Pb are unknown in India, particularly after leaded gasoline was phased out in 2000. India has a developing economy with a rapidly emerging automobile and high temperature industry, and anthropogenic Pb emission is expected to rise in the next decade. In this study, we report on the Pb-isotope compositions and trace metal ratios of airborne particulates collected in Kanpur, a large city in northern part of India. The study shows that the PIVIie aerosols had elevated concentration of Cd, Pb, Zn, As, and Cu in the Kanpur area, however their concentrations are well below the United States Environmental Protection Agency chronic exposure limit. Lead isotopic and trace metal data reveal industrial emission as the plausible source of anthropogenic Pb in the atmosphere in Kanpur. However, Pb isotopic compositions of potential source end-members are required to fully evaluate Pb contamination in India over time. This is the first study that characterizes the isotopic composition of atmospheric Pb in an Indian city after leaded gasoline was phased out by 2000. (C) 2016 Elsevier Ltd. All rights reserved.</t>
  </si>
  <si>
    <t>[Sen, Indra S.; Paul, Debajyoti] Indian Inst Technol Kanpur, Dept Earth Sci, WLE 201, Kanpur 208016, Uttar Pradesh, India; [Bizimis, Michael] Univ S Carolina, Dept Earth &amp; Ocean Sci, Columbia, SC 29208 USA; [Tripathi, Sachchida Nand] Indian Inst Technol Kanpur, Dept Civil Engn, Kanpur 208016, Uttar Pradesh, India</t>
  </si>
  <si>
    <t>Indian Institute of Technology System (IIT System); Indian Institute of Technology (IIT) - Kanpur; University of South Carolina System; University of South Carolina Columbia; Indian Institute of Technology System (IIT System); Indian Institute of Technology (IIT) - Kanpur</t>
  </si>
  <si>
    <t>Sen, IS (corresponding author), Indian Inst Technol Kanpur, Dept Earth Sci, WLE 201, Kanpur 208016, Uttar Pradesh, India.</t>
  </si>
  <si>
    <t>isen@iitk.ac.in</t>
  </si>
  <si>
    <t>Paul, Debajyoti/CAG-6683-2022; Sen, Indra/S-4611-2019; Tripathi, Sachchida Nand/J-4840-2016</t>
  </si>
  <si>
    <t>Sen, Indra/0000-0001-7302-2313;</t>
  </si>
  <si>
    <t>Indian Institute of Technology Kanpur Initiation Grant [IITK /ES /2013389]</t>
  </si>
  <si>
    <t>Indian Institute of Technology Kanpur Initiation Grant</t>
  </si>
  <si>
    <t>I.S. acknowledges an Indian Institute of Technology Kanpur Initiation Grant (IITK /ES /2013389) that supported this work. Many thanks to Elizabeth Bair at the CEMS lab at USC for keeping the facility in top shape.</t>
  </si>
  <si>
    <t>1352-2310</t>
  </si>
  <si>
    <t>1873-2844</t>
  </si>
  <si>
    <t>ATMOS ENVIRON</t>
  </si>
  <si>
    <t>Atmos. Environ.</t>
  </si>
  <si>
    <t>10.1016/j.atmosenv.2016.01.005</t>
  </si>
  <si>
    <t>DE8KX</t>
  </si>
  <si>
    <t>WOS:000370886000004</t>
  </si>
  <si>
    <t>Molina-Montenegro, MA; Galleguillos, C; Oses, R; Acuña-Rodríguez, IS; Lavín, P; Gallardo-Cerda, J; Torres-Díaz, C; Diez, B; Pizarro, GE; Atala, C</t>
  </si>
  <si>
    <t>Molina-Montenegro, Marco A.; Galleguillos, Carolina; Oses, Romulo; Acuna-Rodriguez, Ian S.; Lavin, Paris; Gallardo-Cerda, Jorge; Torres-Diaz, Cristian; Diez, Beatriz; Pizarro, Gonzalo E.; Atala, Cristian</t>
  </si>
  <si>
    <t>Adaptive phenotypic plasticity and competitive ability deployed under a climate change scenario may promote the invasion of Poa annua in Antarctica</t>
  </si>
  <si>
    <t>Alien species; Climate change; Deschampsia antarctica; Ecophysiological traits; Poa annua; Survival</t>
  </si>
  <si>
    <t>TARAXACUM-OFFICINALE DANDELION; DESCHAMPSIA-ANTARCTICA; BIOLOGICAL INVASIONS; GENETIC DIVERSITY; COLOBANTHUS-QUITENSIS; GLOBAL CHANGE; HELP EXPLAIN; DROUGHT; PLANTS; RESPONSES</t>
  </si>
  <si>
    <t>Antarctica is one of the less prone environments for plant invasions, nevertheless a growing number of non-native species have been registered in the last decades with negative effects on native flora. Here we assessed adaptive phenotypic plasticity in three photoprotective traits (non-photochemical quenching, total soluble sugars, and de-epoxidation state of xanthophylls cycle), and fitness-related traits (maximum quantum yield, photosynthetic rate and total biomass) in the invasive species Poa annua and Deschampsia antarctica under current conditions of water availability and those projected by climate change models. In addition, two manipulative experiments in controlled and field conditions were conducted to evaluate the competitive ability and survival of both species under current and climate change conditions. Moreover, we performed an experiment with different water availabilities to assess cell damage as a potential mechanism involved in the competitive ability deployed in both species. Finally, was assessed the plasticity and biomass of both species subject to factorial abiotic scenarios (water x temperature, and water x nutrients) ranging from current to climate change condition. Overall, results showed that P. annua had greater phenotypic plasticity in photoprotective strategies, higher performance, and greater competitive ability and survival than D. antarctica under current and climate change conditions. Also, cell damage, assessed by lipid peroxidation, was significantly greater in D. antarctica when grown in presence of P. annua compared when grown alone. Finally, P. annua showed a greater plasticity and biomass than D. antarctica under the factorial abiotic scenarios, being more evident under a climate change scenario (i.e., higher soil moisture). Our study suggests that the high adaptive plasticity and competitive ability deployed by P. annua under current and climate change conditions allows it to cope with harsh abiotic conditions and could help explain its successful invasion in the Antarctica.</t>
  </si>
  <si>
    <t>[Molina-Montenegro, Marco A.; Galleguillos, Carolina] Univ Talca, Inst Ciencias Biol, Campus Talca,Avda Lircay S-N, Talca, Chile; [Molina-Montenegro, Marco A.; Oses, Romulo; Acuna-Rodriguez, Ian S.] Univ Catolica Norte, Fac Ciencias Mar, Ctr Estudios Avanzados Zonas Aridas, Coquimbo, Chile; [Lavin, Paris; Gallardo-Cerda, Jorge] Inst Antartico Chileno INACH, Dept Cient, Punta Arenas, Chile; [Torres-Diaz, Cristian] Univ Bio Bio, Fac Ciencias, Dept Ciencias Basicas, Chillan, Chile; [Diez, Beatriz] Pontificia Univ Catolica Chile, Fac Ciencias Biol, Alameda 340, Santiago, Chile; [Pizarro, Gonzalo E.] Pontificia Univ Catolica Chile, Dept Ingn Hidraul &amp; Ambiental, Alameda 340, Santiago, Chile; [Atala, Cristian] Pontificia Univ Catolica Valparaiso, Fac Ciencias, Lab Anat &amp; Ecol Func Plantas, Campus Curauma, Valparaiso, Chile</t>
  </si>
  <si>
    <t>Universidad de Talca; Universidad Catolica del Norte; Universidad del Bio-Bio; Pontificia Universidad Catolica de Chile; Pontificia Universidad Catolica de Chile; Pontificia Universidad Catolica de Valparaiso</t>
  </si>
  <si>
    <t>Molina-Montenegro, MA (corresponding author), Univ Talca, Inst Ciencias Biol, Campus Talca,Avda Lircay S-N, Talca, Chile.</t>
  </si>
  <si>
    <t>marco.molina@utalca.cl</t>
  </si>
  <si>
    <t>Lavin, Paris/AAI-9053-2020; Pizarro, Gonzalo E/A-1815-2013; Díez, Beatriz/AAG-2244-2021; Pizarro, Gonzalo/AAN-9820-2021</t>
  </si>
  <si>
    <t>Pizarro, Gonzalo E/0000-0001-9554-8383; Díez, Beatriz/0000-0002-9371-8083; Pizarro, Gonzalo/0000-0001-9554-8383; Atala, Cristian/0000-0003-1337-9534; Torres Diaz, Cristian/0000-0002-5741-5288; Oses-Pedraza, Romulo/0000-0003-2310-3339; Molina-Montenegro, Marco/0000-0001-6801-8942; Lavin, Paris/0000-0002-8893-526X</t>
  </si>
  <si>
    <t>Chilean Antarctic Institute [T-14-08, G_22_11]</t>
  </si>
  <si>
    <t>Chilean Antarctic Institute</t>
  </si>
  <si>
    <t>We are grateful to Fernando Carrasco-Urra for their assistance in the field and logistic support from Antarctic station Arctowski''. Also we acknowledge the financial and logistic support of the Chilean Antarctic Institute (INACH Project T-14-08 and G_22_11).</t>
  </si>
  <si>
    <t>10.1007/s10530-015-1033-x</t>
  </si>
  <si>
    <t>DE5FR</t>
  </si>
  <si>
    <t>WOS:000370657100002</t>
  </si>
  <si>
    <t>Sun, WP; Han, ZB; Hu, CY; Pan, JM</t>
  </si>
  <si>
    <t>Sun, Wei-Ping; Han, Zheng-Bing; Hu, Chuan-Yu; Pan, Jian-Ming</t>
  </si>
  <si>
    <t>Source composition and seasonal variation of particulate trace element fluxes in Prydz Bay, East Antarctica</t>
  </si>
  <si>
    <t>CHEMOSPHERE</t>
  </si>
  <si>
    <t>Trace element; Particle flux; Sources; Sediment trap; Antarctica</t>
  </si>
  <si>
    <t>DEEP NORTH-ATLANTIC; SOUTHERN-OCEAN; PARTICLE-FLUX; CONTINENTAL-SHELF; PACIFIC SECTOR; BIOGENIC OPAL; TIME-SERIES; WEDDELL SEA; CADMIUM; ZINC</t>
  </si>
  <si>
    <t>Particulate fluxes of trace elements (Al, Fe, Mn, Cu, Pb, Zn, Cd and Co) in the polynya area of Prydz Bay were measured using time series sediment trap lasting from December 16th 2010 to December 16th 2011. The comparison of annual fluxes from different regions, the seasonality and sources of trace element, and their association with organic matters were investigated. The fluxes of Cu, Zn and Cd in the polynya area of Prydz Bay are dominated by marine biogenic sources. Their similar seasonality with the export of biological materials (biogenic silica, organic carbon, and calcite carbonate) is strongly related to the ice coverage and biological production. Mineral debris derived from Antarctic continent is suggested to account for the particulate fluxes of Al, Fe, Mn, Pb and Co in the polynya. Their seasonal variations are most likely controlled by ice melting and freezing process. Furthermore, their fluxes are also influenced by scavenging onto biogenic material for Pb and uptake by phytoplankton for Co. The excess fluxes of Cu, Zn and Cd have good relationship with organic carbon export. The coupling patterns are mainly regulated by source composition of trace elements and non-lithogenic input from atmospheric deposition or upwelling, and partly influenced by biological uptake process. (C) 2015 Elsevier Ltd. All rights reserved.</t>
  </si>
  <si>
    <t>[Sun, Wei-Ping; Han, Zheng-Bing; Hu, Chuan-Yu; Pan, Jian-Ming] State Ocean Adm, Inst Oceanog 2, Hangzhou 310012, Zhejiang, Peoples R China</t>
  </si>
  <si>
    <t>Sun, WP (corresponding author), State Ocean Adm, Inst Oceanog 2, Hangzhou 310012, Zhejiang, Peoples R China.</t>
  </si>
  <si>
    <t>sunwp1998@hotmail.com</t>
  </si>
  <si>
    <t>Sun, W.P./AAM-2113-2020</t>
  </si>
  <si>
    <t>National Natural Science Foundation of China [41206182, 41406219]; Chinese Polar Environment Comprehensive Investigation &amp; Assessment Programs (CHINARE) [2015-04-04, 2015-04-01, 2015-01-04]</t>
  </si>
  <si>
    <t>National Natural Science Foundation of China(National Natural Science Foundation of China (NSFC)); Chinese Polar Environment Comprehensive Investigation &amp; Assessment Programs (CHINARE)</t>
  </si>
  <si>
    <t>This study was funded by National Natural Science Foundation of China (No. 41206182; 41406219) and Chinese Polar Environment Comprehensive Investigation &amp; Assessment Programs (CHINARE 2015-04-04, 2015-04-01, and 2015-01-04). The authors are deeply grateful to the staff on Xuelong during the 28th scientific expedition to Antarctica. We also thank Dr. Zhu Jihao for the technical support during ICP-MS measurement of trace elements.</t>
  </si>
  <si>
    <t>0045-6535</t>
  </si>
  <si>
    <t>1879-1298</t>
  </si>
  <si>
    <t>Chemosphere</t>
  </si>
  <si>
    <t>10.1016/j.chemosphere.2015.12.105</t>
  </si>
  <si>
    <t>DE7SD</t>
  </si>
  <si>
    <t>WOS:000370836100041</t>
  </si>
  <si>
    <t>Stefanovic, DI; Manzon, LA; McDougall, CS; Boreham, DR; Somers, CM; Wilson, JY; Manzon, RG</t>
  </si>
  <si>
    <t>Stefanovic, Daniel I.; Manzon, Lori A.; McDougall, Chance S.; Boreham, Douglas R.; Somers, Christopher M.; Wilson, Joanna Y.; Manzon, Richard G.</t>
  </si>
  <si>
    <t>Thermal stress and the heat shock response in embryonic and young of the year juvenile lake whitefish</t>
  </si>
  <si>
    <t>COMPARATIVE BIOCHEMISTRY AND PHYSIOLOGY A-MOLECULAR &amp; INTEGRATIVE PHYSIOLOGY</t>
  </si>
  <si>
    <t>Heat shock response; Lake whitefish; Embryos; Young of the year juvenile; Gene expression; Heat shock proteins; hsp70; hsc70; hsp90 alpha; hsp90 beta; hsp47</t>
  </si>
  <si>
    <t>PROTEIN GENE-EXPRESSION; COREGONUS-CLUPEAFORMIS; ANTARCTIC FISH; ACCLIMATION TEMPERATURE; INCUBATION TEMPERATURES; HSP70 EXPRESSION; MESSENGER-RNA; SEA BREAM; FOOD-WEB; ZEBRAFISH</t>
  </si>
  <si>
    <t>We investigated the effects of thermal stress on embryonic (fin flutter, vitelline circulation stage) and young of the year (YOY) juvenile lake whitefish by characterizing the kinetics of the heat shock response (HSR). Lake whitefish were subjected to one of three different heat shock (HS) temperatures (3, 6, or 9 degrees C above control) for six different lengths of time (0.25, 0.50,1, 2, 3, or 4 h) followed by a 2 h recovery period at the control temperature of 2 degrees C or 14 degrees C for embryos and YOY juveniles, respectively. The duration of the HSR was examined by allowing the fish to recover for 1, 2, 4, 8, 12, 16, 24, 36, or 48 h following a 2 h HS. In embryos, at the fin flutter stage, only hsp70 mRNA levels were upregulated in response to the various HS treatments. By comparison, all three typically inducible hsps, hsp90 alpha, hsp70 and hsp47, were upregulated in the YOY juveniles. In both instances the HSR was long lasting, but much more so in embryos where hsp70 mRNA levels continued to increase for 48 h after a 2 h HS and remained significantly higher than untreated controls. Collectively our data indicate that both embryo and YOY juvenile lake whitefish have a robust HSR which permits them to survive a 4 h, 9 degrees C HS. Moreover, both life history stages are capable of triggering a HSR following a moderate 3 degrees C HS which is likely an important protective mechanism against environmental stressors during embryogenesis and early life history stages of lake whitefish. (C) 2015 Elsevier Inc. All rights reserved.</t>
  </si>
  <si>
    <t>[Stefanovic, Daniel I.; Manzon, Lori A.; McDougall, Chance S.; Somers, Christopher M.; Manzon, Richard G.] Univ Regina, Dept Biol, 3737 Wascana Pkwy, Regina, SK S4S 0A2, Canada; [Boreham, Douglas R.] Laurentian Univ, Northern Ontario Sch Med, Med Sci, Sudbury, ON P3E 2C6, Canada; [Wilson, Joanna Y.] McMaster Univ, Dept Biol, 1280 Main St W, Hamilton, ON L8S 4K1, Canada</t>
  </si>
  <si>
    <t>University of Regina; Laurentian University; NOSM University; McMaster University</t>
  </si>
  <si>
    <t>Manzon, RG (corresponding author), Univ Regina, Dept Biol, 3737 Wascana Pkwy, Regina, SK S4S 0A2, Canada.</t>
  </si>
  <si>
    <t>Richard.Manzon@uregina.ca</t>
  </si>
  <si>
    <t>Somers, Christopher/AAE-6390-2019</t>
  </si>
  <si>
    <t>Wilson, Joanna/0000-0003-4245-1304</t>
  </si>
  <si>
    <t>Natural Sciences and Engineering Research Council of Canada (NSERC) [CRDPC 4331614-12]; Bruce Power research contracts</t>
  </si>
  <si>
    <t>Natural Sciences and Engineering Research Council of Canada (NSERC)(Natural Sciences and Engineering Research Council of Canada (NSERC)); Bruce Power research contracts</t>
  </si>
  <si>
    <t>We gratefully acknowledge Rebecca Eberts and Katherine Sessions for assistance with animal collection and care, and statistical analyses via the 'MCMC.qPCR' package, respectively. This study was supported by a Natural Sciences and Engineering Research Council of Canada (NSERC) Collaborative Research and Development grant [CRDPC 4331614-12] awarded to R.G.M., C.M.S. and J.W. and by Bruce Power research contracts to D.B., R.G.M., C.M.S. and J.W.</t>
  </si>
  <si>
    <t>1095-6433</t>
  </si>
  <si>
    <t>1531-4332</t>
  </si>
  <si>
    <t>COMP BIOCHEM PHYS A</t>
  </si>
  <si>
    <t>Comp. Biochem. Physiol. A-Mol. Integr. Physiol.</t>
  </si>
  <si>
    <t>10.1016/j.cbpa.2015.12.001</t>
  </si>
  <si>
    <t>Biochemistry &amp; Molecular Biology; Physiology; Zoology</t>
  </si>
  <si>
    <t>DE7RW</t>
  </si>
  <si>
    <t>WOS:000370835400001</t>
  </si>
  <si>
    <t>Acharya, SS; Panigrahi, MK; Kurian, J; Gupta, AK; Tripathy, S</t>
  </si>
  <si>
    <t>Acharya, Shiba Shankar; Panigrahi, Mruganka Kumar; Kurian, John; Gupta, Anil Kumar; Tripathy, Subhasish</t>
  </si>
  <si>
    <t>Speciation of phosphorus in the continental shelf sediments in the Eastern Arabian Sea</t>
  </si>
  <si>
    <t>P speciation; Provenance; CIA; CIW; Sedimentation</t>
  </si>
  <si>
    <t>ORGANIC-CARBON; MARINE-SEDIMENTS; SURFICIAL SEDIMENTS; BURIAL; GEOCHEMISTRY; MARGIN; IRON; ACCUMULATION; ENVIRONMENT; DIAGENESIS</t>
  </si>
  <si>
    <t>The distributions of various forms of phosphorus (P) and their relation with sediment geochemistry in two core sediments near Karwar and Mangalore offshore have been studied through the modified SEDEX procedure (Ruttenberg et al., 2009) and bulk chemical analysis. The present study provides the first quantitative analysis of complete phosphorus speciation in the core sediments of the Eastern Arabian shelf. The chemical index of alteration (CIA), chemical Index of Weathering (CIW) and Al-Ti-Zr ternary diagram suggest low to moderate source area weathering of granodioritic to tonalitic source rock composition, despite the intense orographic rainfall in the source area. Due to the presence of same source rock and identical oxic depositional environment, the studied sediments show the same range of variation of total phosphorus (24 to 83 mu mol/g) with a down-depth depleting trend. Organic bound P and detrital P are the two major chemical forms followed by iron-bound P, exchangeable/loosely bound P and authigenic P. The authigenic P content in the sediments near Mangalore coast varies linearly with calcium (r=0.88) unlike that of Karwar coast. The different reactive-phosphorus pools exhibit identical depleting trend with depth. This indicates that the phosphorus released from the organic matter and Fe bound fractions are prevented from precipitating as authigenic phosphates in the deeper parts of the sediment column. The low concentration of total P, dominance of detrital non-reactive fraction of P and inhibition of formation of authigenic phosphate result in the absence of active phosphatization in the Eastern Arabian Shelf in the studied region. High sedimentation rate (35-58 cm/kyr) and absence of winnowing effect appear to be the dominant factor controlling the P-speciation in the studied sediments. (C) 2016 Elsevier Ltd. All rights reserved.</t>
  </si>
  <si>
    <t>[Acharya, Shiba Shankar; Panigrahi, Mruganka Kumar; Gupta, Anil Kumar; Tripathy, Subhasish] Indian Inst Technol, Dept Geol &amp; Geophys, Kharagpur 721302, W Bengal, India; [Kurian, John] Natl Ctr Antarctic &amp; Ocean Res, Vasco Da Gama, Goa, India; [Gupta, Anil Kumar] Wadia Inst Himalayan Geol, 32 Gen Mahadeo Singh Rd, Dehra Dun, India; [Tripathy, Subhasish] Indian Inst Technol, Sch Earth Ocean &amp; Climate Sci, Bhubaneswar 751013, Odisha, India</t>
  </si>
  <si>
    <t>Indian Institute of Technology System (IIT System); Indian Institute of Technology (IIT) - Kharagpur; Ministry of Earth Sciences (MoES) - India; National Centre for Polar and Ocean Research (NCPOR); Department of Science &amp; Technology (India); Wadia Institute of Himalayan Geology (WIHG); Indian Institute of Technology System (IIT System); Indian Institute of Technology (IIT) - Bhubaneswar</t>
  </si>
  <si>
    <t>Panigrahi, MK (corresponding author), Indian Inst Technol, Dept Geol &amp; Geophys, Kharagpur 721302, W Bengal, India.</t>
  </si>
  <si>
    <t>mkp@gg.iitkgp.ernet.in</t>
  </si>
  <si>
    <t>Acharya, Shiba/AIA-4188-2022</t>
  </si>
  <si>
    <t>Acharya, Shiba Shankar/0000-0003-0397-0494; Gupta, Anil/0000-0003-0536-3911</t>
  </si>
  <si>
    <t>Ministry of Earth Sciences, Government of India [MoES/16/49/09/RDEAS]; Government of India Ministry of Earth Science; HRD; J C Bose national fellowship scheme of DST, Government of India</t>
  </si>
  <si>
    <t>Ministry of Earth Sciences, Government of India(Ministry of Earth Science (MoES), Government of India); Government of India Ministry of Earth Science; HRD; J C Bose national fellowship scheme of DST, Government of India</t>
  </si>
  <si>
    <t>We acknowledge support from the Ministry of Earth Sciences, Government of India in the form of a research project (sanction number MoES/16/49/09/RDEAS). SSA acknowledges financial support from the Government of India Ministry of Earth Science and HRD in the form Fellowship and Research scholarship available through the host Institute. The Biotechnology Department of the host Institute is acknowledged for instrumental support for phosphorus speciation. The radiocarbon age determination was done by financial support to Prof. Anil K Gupta under the J C Bose national fellowship scheme of DST, Government of India. We thank the anonymous reviewer and the associate editor Tim Jickells for their insightful reviews that helped us in improving the quality of presentation.</t>
  </si>
  <si>
    <t>MAR 1</t>
  </si>
  <si>
    <t>10.1016/j.csr.2016.01.005</t>
  </si>
  <si>
    <t>DF2QK</t>
  </si>
  <si>
    <t>WOS:000371188700007</t>
  </si>
  <si>
    <t>Sheldon, ND; Grimes, ST; Hooker, JJ; Collinson, ME; Bugler, MJ; Hren, MT; Price, GD; Sutton, PA</t>
  </si>
  <si>
    <t>Sheldon, Nathan D.; Grimes, Stephen T.; Hooker, Jerry J.; Collinson, Margaret E.; Bugler, Melanie J.; Hren, Michael T.; Price, Gregory D.; Sutton, Paul A.</t>
  </si>
  <si>
    <t>Coupling of marine and continental oxygen isotope records during the Eocene-Oligocene transition</t>
  </si>
  <si>
    <t>ISLE-OF-WIGHT; SOLENT GROUP; CLIMATE; STRATIGRAPHY; DELTA-O-18; MAMMALS; RATIOS; WATER</t>
  </si>
  <si>
    <t>While marine records of the Eocene-Oligocene transition indicate a generally coherent response to global cooling and the growth of continental ice on Antarctica, continental rec-ords indicate substantial spatial variability. Marine Eocene-Oligocene transition records are marked by an similar to+1.1% foraminiferal delta O-18 shift, but continental rec-ords rarely record the same geochemical signature, making both correlation and linking of causal mechanisms between -marine and continental records challenging. Here, a new high-resolution continental delta O-18 record, derived from the freshwater gill-breathing gastropod Viviparus lentus, is presented from the Hampshire Basin, UK. The Solent Group records marine incursions and has an established magnetostratigraphy, making it possible to correlate the succession directly with marine records. The V. lentus delta O-18 record indicates a penecontemporaneous, higher-magnitude shift (&gt;+1.4%) than marine records, which reflects both cooling and a source moisture compositional shift consistent with the growth of Antarctic ice. When combined with clumped isotope measurements from the same succession, about half of the isotopic shift can be attrib-uted to cooling and about half to source moisture change, proportions similar to marine forami-niferal rec-ords. Thus, the new record indicates strong hydro-logical cycle connections between marine and marginal continental environments during the Eocene-Oligocene transition not observed in continental interior records.</t>
  </si>
  <si>
    <t>[Sheldon, Nathan D.] Univ Michigan, Dept Earth &amp; Environm Sci, Ann Arbor, MI 48109 USA; [Grimes, Stephen T.; Bugler, Melanie J.; Price, Gregory D.; Sutton, Paul A.] Univ Plymouth, Sch Geog Earth &amp; Environm Sci, Plymouth PL4 8AA, Devon, England; [Hooker, Jerry J.] Nat Hist Museum, Dept Earth Sci, Cromwell Rd, London SW7 5BD, England; [Collinson, Margaret E.] Royal Holloway Univ London, Dept Earth Sci, Egham TW20 0EX, Surrey, England; [Hren, Michael T.] Univ Connecticut, Dept Chem, Storrs, CT 06269 USA</t>
  </si>
  <si>
    <t>University of Michigan System; University of Michigan; University of Plymouth; Natural History Museum London; University of London; Royal Holloway University London; University of Connecticut</t>
  </si>
  <si>
    <t>Sheldon, ND (corresponding author), Univ Michigan, Dept Earth &amp; Environm Sci, Ann Arbor, MI 48109 USA.</t>
  </si>
  <si>
    <t>nsheldon@umich.edu</t>
  </si>
  <si>
    <t>Price, Gregory/AAC-1801-2020; Sheldon, Nathan D/K-6717-2015</t>
  </si>
  <si>
    <t>Sheldon, Nathan D/0000-0003-3371-0036; Hren, Michael/0000-0002-2866-8892; Price, Gregory/0000-0002-2461-7465</t>
  </si>
  <si>
    <t>Plymouth University; National Trust; University of Michigan's Turner Postdoctoral Fellowship</t>
  </si>
  <si>
    <t>We would like to thank Plymouth University for funding a Ph.D. studentship (Bugler), the National Trust and Mr. and Mrs. Cool for access to sampling sites, the University of Michigan's Turner Postdoctoral Fellowship (to Hren), and Dave Alderton from Royal Holloway University of London for assistance with X-ray diffraction analysis. Associate Editor Brian Pratt and reviewers Lee Nordt and Karlis Muehlenbachs are all thanked for their constructive reviews, which have improved the final manuscript.</t>
  </si>
  <si>
    <t>10.1130/B31315.1</t>
  </si>
  <si>
    <t>DE9QM</t>
  </si>
  <si>
    <t>WOS:000370973000008</t>
  </si>
  <si>
    <t>Fox, BRS; Wilson, GS; Lee, DE</t>
  </si>
  <si>
    <t>Fox, B. R. S.; Wilson, G. S.; Lee, D. E.</t>
  </si>
  <si>
    <t>A unique annually laminated maar lake sediment record shows orbital control of Southern Hemisphere midlatitude climate across the Oligocene-Miocene boundary</t>
  </si>
  <si>
    <t>NEOGENE MARINE-SEDIMENTS; ANTARCTIC ICE-SHEET; NEW-ZEALAND; ROSS SEA; OTAGO; STRATIGRAPHY; OSCILLATIONS; METAMORPHISM; DEPOSITS; DUNEDIN</t>
  </si>
  <si>
    <t>The Foulden Maar deposit, a finely laminated lacustrine diatomite from the South Island of New Zealand, is the first high-resolution Oligocene-Miocene terrestrial climate record from the midlatitudes of the Southern Hemisphere. We use the presence of orbital and solar cycles within the physical properties records from the deposit to infer that the laminations are annual varves and that the deposit spans similar to 100 k.y. When combined with magnetostratigraphy and 40Ar/39Ar data, we can assign the diatomite to chron C6Cn.2n (23.033-22.931 Ma), coeval with the rapid deglaciation of Antarctica during the second half of the Mi-1 transient glaciation event. Both obliquity and precession cycles occur in the physical properties records from the site, indicating a strong ocean-atmosphere coupling in the Southern Hemisphere and influence from both low and high latitudes. The appearance of a strong obliquity component, in particular, may indicate a transient incursion of the Subtropical Front onto the Camp-bell Plateau during the Mi-1 deglaciation.</t>
  </si>
  <si>
    <t>[Fox, B. R. S.] Univ Waikato, Sch Sci, Private Bag 3105, Hamilton 3240, New Zealand; [Wilson, G. S.] Univ Otago, Dept Marine Sci, POB 56, Dunedin 9054, New Zealand; [Wilson, G. S.; Lee, D. E.] Univ Otago, Dept Geol, POB 56, Dunedin 9054, New Zealand</t>
  </si>
  <si>
    <t>University of Waikato; University of Otago; University of Otago</t>
  </si>
  <si>
    <t>Fox, BRS (corresponding author), Univ Waikato, Sch Sci, Private Bag 3105, Hamilton 3240, New Zealand.</t>
  </si>
  <si>
    <t>bfox@waikato.ac.nz</t>
  </si>
  <si>
    <t>Wilson, Gary S/B-3803-2010</t>
  </si>
  <si>
    <t>Wilson, Gary/0000-0003-0025-3641; Fox, Bethany/0000-0001-9848-7838</t>
  </si>
  <si>
    <t>Marsden Fund of the Royal Society of New Zealand; University of Otago</t>
  </si>
  <si>
    <t>Marsden Fund of the Royal Society of New Zealand(Royal Society of New ZealandMarsden Fund (NZ)); University of Otago</t>
  </si>
  <si>
    <t>We are grateful to reviewers Chris Hollis, Clifford Heil, and Michael Weber and editors David Ian Schofield and Andrew Cohen for their helpful comments on the manuscript. The drilling operations and analyses were funded by the Marsden Fund of the Royal Society of New Zealand. B.R.S.F. was funded by a University of Otago postgraduate scholarship. Thanks are due to Webster Drilling Ltd., the Gibsons, the Macraes, Yu- Shen Liu, Uwe Kaulfuss, Andy Clifford, and Daniel Jones. The data for this study can be found at http://doi.pangaea.de/10.1594/PANGAEA.846195.</t>
  </si>
  <si>
    <t>10.1130/B31349.1</t>
  </si>
  <si>
    <t>WOS:000370973000015</t>
  </si>
  <si>
    <t>McConnochie, CD; Kerr, RC</t>
  </si>
  <si>
    <t>McConnochie, Craig D.; Kerr, Ross C.</t>
  </si>
  <si>
    <t>The effect of a salinity gradient on the dissolution of a vertical ice face</t>
  </si>
  <si>
    <t>JOURNAL OF FLUID MECHANICS</t>
  </si>
  <si>
    <t>ice sheets; pliunes/thermals; solidification/melting</t>
  </si>
  <si>
    <t>OCEAN STRATIFICATION; DISTRIBUTED SOURCE; ANTARCTICA; BUOYANCY; WATER; WALL</t>
  </si>
  <si>
    <t>We investigate experimentally the effect of stratification on a vertical ice face dissolving into cold salty water. We measure the interface temperature, ablation velocity and turbulent plume velocity over a range of salinity gradients and compare our measurements with results of similar experiments without a salinity gradient (Kerr &amp; McConnochie, J. Fluid Mech, vol. 765, 2015, pp. 211-228; McConnochie &amp; Kerr, J. Fluid Mech., vol. 787, 2016, pp. 237-253). We observe that stratification acts to reduce the ablation velocity, interface temperature, plume velocity and plume acceleration. We define a stratification parameter, S = N-2/Phi(0), that describes where stratification will he important, where N is the Brunt-Vaisala frequency, Q is the height-dependent plume volume flux and Phi(0) is the buoyancy flux per unit area without stratification. The relevance of this stratification parameter is supported by our experiments, which deviate from the homogeneous theory at approximately S = 1. Finally, we calculate values for the stratification parameter at a number of ice shelves and conclude that ocean stratification will have a significant effect on the dissolution of both the Antarctic and Greenland ice sheets.</t>
  </si>
  <si>
    <t>[McConnochie, Craig D.; Kerr, Ross C.] Australian Natl Univ, Res Sch Earth Sci, GPO Box 4, Canberra, ACT 2601, Australia</t>
  </si>
  <si>
    <t>McConnochie, CD (corresponding author), Australian Natl Univ, Res Sch Earth Sci, GPO Box 4, Canberra, ACT 2601, Australia.</t>
  </si>
  <si>
    <t>craig.mcconnochie@anu.edu.au</t>
  </si>
  <si>
    <t>Kerr, Ross/H-8315-2014</t>
  </si>
  <si>
    <t>Kerr, Ross/0000-0002-8022-1326; McConnochie, Craig/0000-0001-7105-192X</t>
  </si>
  <si>
    <t>Australian Research Council Discovery [DP120102772]</t>
  </si>
  <si>
    <t>Australian Research Council Discovery(Australian Research Council)</t>
  </si>
  <si>
    <t>We thank P. Dutrieux for providing some useful oceanographic observations under Pine Island Glacier. We gratefully acknowledge the technical assistance of B. Tranter, T. Beasley and A. Rummery, and the financial support of the Australian Research Council Discovery grant DP120102772 Finally, we are grateful for the contribution of anonymous reviewers who provided valuable suggestions throughout the review process.</t>
  </si>
  <si>
    <t>0022-1120</t>
  </si>
  <si>
    <t>1469-7645</t>
  </si>
  <si>
    <t>J FLUID MECH</t>
  </si>
  <si>
    <t>J. Fluid Mech.</t>
  </si>
  <si>
    <t>10.1017/jfm.2016.62</t>
  </si>
  <si>
    <t>Mechanics; Physics, Fluids &amp; Plasmas</t>
  </si>
  <si>
    <t>Mechanics; Physics</t>
  </si>
  <si>
    <t>DF0ZT</t>
  </si>
  <si>
    <t>WOS:000371068900031</t>
  </si>
  <si>
    <t>Yokoyama, Y; Anderson, JB; Yamane, M; Simkins, LM; Miyairi, Y; Yamazaki, T; Koizumi, M; Suga, H; Kusahara, K; Prothro, L; Hasumi, H; Southon, JR; Ohkouchi, N</t>
  </si>
  <si>
    <t>Yokoyama, Yusuke; Anderson, John B.; Yamane, Masako; Simkins, Lauren M.; Miyairi, Yosuke; Yamazaki, Takahiro; Koizumi, Mamito; Suga, Hisami; Kusahara, Kazuya; Prothro, Lindsay; Hasumi, Hiroyasu; Southon, John R.; Ohkouchi, Naohiko</t>
  </si>
  <si>
    <t>Widespread collapse of the Ross Ice Shelf during the late Holocene</t>
  </si>
  <si>
    <t>ice shelf; Antarctica; radiocarbon; Ross Sea; ice sheet</t>
  </si>
  <si>
    <t>GROUNDING-LINE RETREAT; LAST GLACIAL MAXIMUM; PINE ISLAND GLACIER; SEA-LEVEL; SHEET SYSTEM; BREAK-UP; ANTARCTICA; CLIMATE; RADIOCARBON; FLOW</t>
  </si>
  <si>
    <t>The stability of modern ice shelves is threatened by atmospheric and oceanic warming. The geologic record of formerly glaciated continental shelves provides a window into the past of how ice shelves responded to a warming climate. Fields of deep (-560 m), linear iceberg furrows on the outer, western Ross Sea continental shelf record an early post-Last Glacial Maximum episode of ice-shelf collapse that was followed by continuous retreat of the grounding line for similar to 200 km. Runaway grounding line conditions culminated once the ice became pinned on shallow banks in the western Ross Sea. This early episode of ice-shelf collapse is not observed in the eastern Ross Sea, where more episodic grounding line retreat took place. More widespread (similar to 280,000 km(2)) retreat of the ancestral Ross Ice Shelf occurred during the late Holocene. This event is recorded in sediment cores by a shift from terrigenous glacimarine mud to diatomaceous open-marine sediment as well as an increase in radiogenic beryllium (Be-10) concentrations. The timing of ice-shelf breakup is constrained by compound specific radiocarbon ages, the first application of this technique systematically applied to Antarctic marine sediments. Breakup initiated around 5 ka, with the ice shelf reaching its current configuration similar to 1.5 ka. In the eastern Ross Sea, the ice shelf retreated up to 100 km in about a thousand years. Three-dimensional thermodynamic ice-shelf/ocean modeling results and comparison with ice-core records indicate that ice-shelf breakup resulted from combined atmospheric warming and warm ocean currents impinging onto the continental shelf.</t>
  </si>
  <si>
    <t>[Yokoyama, Yusuke; Yamane, Masako; Miyairi, Yosuke; Yamazaki, Takahiro; Koizumi, Mamito; Hasumi, Hiroyasu] Univ Tokyo, Atmosphere &amp; Ocean Res Inst, 5-1-5 Kashiwa No Ha, Kashiwa, Chiba 2758564, Japan; [Yokoyama, Yusuke; Yamazaki, Takahiro; Koizumi, Mamito] Univ Tokyo, Dept Earth &amp; Planetary Sci, Bunkyo Ku, 7-3-1 Hongo, Tokyo 1130033, Japan; [Yokoyama, Yusuke; Yamane, Masako; Suga, Hisami; Ohkouchi, Naohiko] Japan Agcy Marine Earth Sci &amp; Technol, Dept Biogeochem, 2-15 Natsushima Cho, Yokosuka, Kanagawa 2370061, Japan; [Anderson, John B.; Simkins, Lauren M.; Prothro, Lindsay] Rice Univ, Dept Earth Sci, Houston, TX 77005 USA; [Kusahara, Kazuya] Antarctic Climate &amp; Ecosyst Cooperat Res Ctr, Hobart, Tas 7001, Australia; [Southon, John R.] Univ Calif Irvine, Dept Earth Syst Sci, Irvine, CA 92697 USA</t>
  </si>
  <si>
    <t>University of Tokyo; University of Tokyo; Japan Agency for Marine-Earth Science &amp; Technology (JAMSTEC); Rice University; Antarctic Climate &amp; Ecosystems Cooperative Research Centre (ACE CRC); University of California System; University of California Irvine</t>
  </si>
  <si>
    <t>Yokoyama, Y (corresponding author), Univ Tokyo, Atmosphere &amp; Ocean Res Inst, 5-1-5 Kashiwa No Ha, Kashiwa, Chiba 2758564, Japan.;Yokoyama, Y (corresponding author), Univ Tokyo, Dept Earth &amp; Planetary Sci, Bunkyo Ku, 7-3-1 Hongo, Tokyo 1130033, Japan.</t>
  </si>
  <si>
    <t>Prothro, Lindsay/Y-9837-2019; Ohkouchi, Naohiko/B-2071-2008</t>
  </si>
  <si>
    <t>Prothro, Lindsay/0000-0003-3385-8487; Ohkouchi, Naohiko/0000-0002-6355-7469; Kusahara, Kazuya/0000-0003-4067-7959; Yamane, Masako/0000-0002-5063-0719; Miller, Lauren/0000-0002-9075-5196</t>
  </si>
  <si>
    <t>National Science Foundation [ANT-0837925]; Japan Society for the Promotion of Science (JSPS) [GR031]; JSPS [KAKENHI-26247085]; Rice University; Grants-in-Aid for Scientific Research [16H02236, 15H02131, 15H05825, 26247085, 25247092, 26247080, 15KK0151] Funding Source: KAKEN; Directorate For Geosciences; Office of Polar Programs (OPP) [1246353] Funding Source: National Science Foundation</t>
  </si>
  <si>
    <t>National Science Foundation(National Science Foundation (NSF)); Japan Society for the Promotion of Science (JSPS)(Ministry of Education, Culture, Sports, Science and Technology, Japan (MEXT)Japan Society for the Promotion of Science); JSPS(Ministry of Education, Culture, Sports, Science and Technology, Japan (MEXT)Japan Society for the Promotion of Science); Rice University; Grants-in-Aid for Scientific Research(Ministry of Education, Culture, Sports, Science and Technology, Japan (MEXT)Japan Society for the Promotion of ScienceGrants-in-Aid for Scientific Research (KAKENHI)); Directorate For Geosciences; Office of Polar Programs (OPP)(National Science Foundation (NSF)NSF - Directorate for Geosciences (GEO))</t>
  </si>
  <si>
    <t>We thank C. Sawada, M. Toyoda, M. Iwai, and H. Matsuzaki for laboratory assistance and S. Obrochta for discussion. This work was supported by National Science Foundation Polar Programs Grant ANT-0837925 (to J.B.A.), Japan Society for the Promotion of Science (JSPS) NEXT program Grant GR031, JSPS Grant KAKENHI-26247085 (to Y.Y.), and Rice University (Wiess Visiting Professorship, to Y.Y.).</t>
  </si>
  <si>
    <t>10.1073/pnas.1516908113</t>
  </si>
  <si>
    <t>DF2WG</t>
  </si>
  <si>
    <t>WOS:000371204500035</t>
  </si>
  <si>
    <t>Vidal, V; Ortiz, J; Diaz, JI; Zafrilla, B; Bonete, MJ; De Ybañez, MRR; Palacios, MJ; Benzal, J; Valera, F; De la Cruz, C; Motas, M; Bautista, V; Machordom, A; Barbosa, A</t>
  </si>
  <si>
    <t>Vidal, V.; Ortiz, J.; Diaz, J. I.; Zafrilla, B.; Bonete, M. J.; Ruiz De Ybanez, M. R.; Palacios, M. J.; Benzal, J.; Valera, F.; De la Cruz, C.; Motas, M.; Bautista, V.; Machordom, A.; Barbosa, A.</t>
  </si>
  <si>
    <t>Morphological, molecular and phylogenetic analyses of the spirurid nematode Stegophorus macronectes (Johnston &amp; Mawson, 1942)</t>
  </si>
  <si>
    <t>JOURNAL OF HELMINTHOLOGY</t>
  </si>
  <si>
    <t>RIBOSOMAL DNA-SEQUENCES</t>
  </si>
  <si>
    <t>Stegophorus macronectes (Johnston &amp; Mawson, 1942) is a gastrointestinal parasite found in Antarctic seabirds. The original description of the species, which was based only on females, is poor and fragmented with some unclear diagnostic characters. This study provides new morphometric and molecular data on this previously poorly described parasite. Nuclear rDNA sequences (18S, 5.8S, 28S and internal transcribed spacer (ITS) regions) were isolated from S. macronectes specimens collected from the chinstrap penguin Pygoscelis antarctica Forster on Deception Island, Antarctica. Using 18S rDNA sequences, phylogenetic analyses (maximum likelihood, maximum parsimony and Bayesian inference) of the order Spirurida were performed to determine the phylogenetic location of this species. Primer pairs of the ITS regions were designed for genus-level identification of specimens, regardless of their cycle, as an alternative to coprological methods. The utility of this molecular method for identification of morphologically altered specimens is also discussed.</t>
  </si>
  <si>
    <t>[Vidal, V.; Ortiz, J.; Ruiz De Ybanez, M. R.] Univ Murcia, Fac Vet, Dept Sanidad Anim Parasitol, Campus Excelencia Int Reg Campus Mare Nostrum, Espinardo 30100, Murcia, Spain; [Vidal, V.; Barbosa, A.] MNCN CSIC, Dept Ecol Evolut, Museo Nacl Ciencias Nat, Jose Gutierrez Abascal 2, Madrid 28006, Spain; [Vidal, V.; Ortiz, J.; Ruiz De Ybanez, M. R.; Motas, M.; Barbosa, A.] CSIC Univ Murcia, Unidad Asociada Ecol &amp; Inmunol Parasitaria, Murcia, Spain; [Diaz, J. I.] CCT CONICET La Plata CONICET UNLP, Ctr Estudios Parasitol &amp; Vectores, Calle 120 S-N,Entre 61 &amp; 62, RA-1900 La Plata, Buenos Aires, Argentina; [Zafrilla, B.; Bonete, M. J.; Bautista, V.] Univ Alicante, Fac Ciencias, Dept Agroquim &amp; Bioquim, Ctr San Vicente Raspeig S-N, San Vicente Del Raspeig 03690, Alicante, Spain; [Palacios, M. J.; Benzal, J.; Valera, F.; Barbosa, A.] EEZA CSIC, Dept Ecol Func &amp; Evolut, Estn Expt Zonas Aridas, Ctr Sacramento S-N, La Canada De San Urbano 04120, Almeria, Spain; [De la Cruz, C.] Univ Extremadura, Fac Ciencias, Dept Biol Anim, Badajoz 06006, Spain; [Motas, M.] Univ Murcia, Fac Vet, Dept Ciencias Sociosanitarias Toxicol, Campus Excelencia Int Reg Campus Mare Nostrum, Espinardo 30100, Murcia, Spain; [Machordom, A.] MNCN CSIC, Dept Biodiversidad &amp; Biol Evolut, Museo Nacl Ciencias Nat, Jose Gutierrez Abascal 2, Madrid 28006, Spain</t>
  </si>
  <si>
    <t>University of Murcia; Consejo Superior de Investigaciones Cientificas (CSIC); CSIC - Museo Nacional de Ciencias Naturales (MNCN); Consejo Superior de Investigaciones Cientificas (CSIC); Consejo Nacional de Investigaciones Cientificas y Tecnicas (CONICET); Universitat d'Alacant; Consejo Superior de Investigaciones Cientificas (CSIC); CSIC - Estacion Experimental de Zonas Aridas (EEZA); Universidad de Extremadura; University of Murcia; Consejo Superior de Investigaciones Cientificas (CSIC); CSIC - Museo Nacional de Ciencias Naturales (MNCN)</t>
  </si>
  <si>
    <t>Barbosa, A (corresponding author), MNCN CSIC, Dept Ecol Evolut, Museo Nacl Ciencias Nat, Jose Gutierrez Abascal 2, Madrid 28006, Spain.;Barbosa, A (corresponding author), CSIC Univ Murcia, Unidad Asociada Ecol &amp; Inmunol Parasitaria, Murcia, Spain.;Barbosa, A (corresponding author), EEZA CSIC, Dept Ecol Func &amp; Evolut, Estn Expt Zonas Aridas, Ctr Sacramento S-N, La Canada De San Urbano 04120, Almeria, Spain.</t>
  </si>
  <si>
    <t>barbosa@mncn.csic.es</t>
  </si>
  <si>
    <t>Bautista Saiz, Vanesa/K-8223-2017; Motas, Miguel/L-3061-2014; Barbosa, Andrés/C-3208-2008; Benzal, Jesús/T-4555-2017; Machordom, Annie/K-1737-2014; Ruiz de Ybáñez, M. Rocío/P-8866-2015; Zafrilla, Basilio/AAB-1650-2019; Ortiz, Juana/AAA-4874-2019; Valera, Francisco/R-3437-2019; PEREZ, MARIA JOSE BONETE/AAB-3083-2022; Bonete, Maria-Jose/L-4225-2014</t>
  </si>
  <si>
    <t>Barbosa, Andrés/0000-0001-8434-3649; Machordom, Annie/0000-0003-0341-0809; Ruiz de Ybáñez, M. Rocío/0000-0003-1402-8023; Zafrilla, Basilio/0000-0001-5582-4355; Ortiz, Juana/0000-0002-0889-2985; Valera, Francisco/0000-0003-2266-8899; Motas Guzman, Miguel/0000-0002-2229-7779; Bautista, Vanesa/0000-0002-0119-3874; Bonete, Maria-Jose/0000-0003-0714-3998</t>
  </si>
  <si>
    <t>Spanish Ministry of Economy and Competiveness; European Regional Development Fund [CGL2004-01348, POL2006-05175, CGL2007-60369, CTM2011-24427]; Spanish Council of Scientific Research (CSIC); European Social Fund [JAEPre08-01053]; Spanish Ministry of Science and Innovation [BES2005-8465]; CONICET [PIP 698]; UNLP [N628, N726]</t>
  </si>
  <si>
    <t>Spanish Ministry of Economy and Competiveness(Spanish Government); European Regional Development Fund(European Union (EU)); Spanish Council of Scientific Research (CSIC); European Social Fund(European Social Fund (ESF)); Spanish Ministry of Science and Innovation(Spanish Government); CONICET(Consejo Nacional de Investigaciones Cientificas y Tecnicas (CONICET)); UNLP(National University of La Plata)</t>
  </si>
  <si>
    <t>This study was funded by the Spanish Ministry of Economy and Competiveness and the European Regional Development Fund Projects CGL2004-01348, POL2006-05175, CGL2007-60369 and CTM2011-24427. V.V. was supported by a PhD grant from the Spanish Council of Scientific Research (CSIC) and the European Social Fund (JAEPre08-01053). M.J.P. was supported by a PhD grant from the Spanish Ministry of Science and Innovation (BES2005-8465). J.I.D. is a member of CONICET and is partially supported by PIP 698 (CONICET), N628 and N726 (UNLP).</t>
  </si>
  <si>
    <t>0022-149X</t>
  </si>
  <si>
    <t>1475-2697</t>
  </si>
  <si>
    <t>J HELMINTHOL</t>
  </si>
  <si>
    <t>J. Helminthol.</t>
  </si>
  <si>
    <t>10.1017/S0022149X15000218</t>
  </si>
  <si>
    <t>Parasitology; Zoology</t>
  </si>
  <si>
    <t>DE3DE</t>
  </si>
  <si>
    <t>WOS:000370506200010</t>
  </si>
  <si>
    <t>Alexander, SP; Sato, K; Watanabe, S; Kawatani, Y; Murphy, DJ</t>
  </si>
  <si>
    <t>Alexander, Simon P.; Sato, Kaoru; Watanabe, Shingo; Kawatani, Yoshio; Murphy, Damian J.</t>
  </si>
  <si>
    <t>Southern Hemisphere Extratropical Gravity Wave Sources and Intermittency Revealed by a Middle-Atmosphere General Circulation Model</t>
  </si>
  <si>
    <t>JOURNAL OF THE ATMOSPHERIC SCIENCES</t>
  </si>
  <si>
    <t>Gravity waves; General circulation models; Middle atmosphere; Atm/Ocean Structure/ Phenomena; Models and modeling; Circulation/ Dynamics</t>
  </si>
  <si>
    <t>POLAR STRATOSPHERIC CLOUDS; MOMENTUM FLUX; MOUNTAIN WAVES; MU-RADAR; SPONTANEOUS RADIATION; DOWNWARD CONTROL; CLIMATE MODELS; PART II; FRONTS; SENSITIVITY</t>
  </si>
  <si>
    <t>Southern Hemisphere extratropical gravity wave activity is examined using simulations from a free-running middle-atmosphere general circulation model called Kanto that contains no gravity wave parameterizations. The total absolute gravity wave momentum flux (MF) and its intermittency, diagnosed by the Gini coefficient, are examined during January and July. The MF and intermittency results calculated from the Kanto model agree well with results from satellite limb and superpressure balloon observations. The analysis of the Kanto model simulations indicates the following results. Nonorographic gravity waves are generated in Kanto in the frontal regions of extratropical depressions and around tropopause-level jets. Regions with lower (higher) intermittency in the July midstratosphere become more (less) intermittent by the mesosphere as a result of lower-level wave removal. The gravity wave intermittency is low and nearly homogeneous throughout the SH middle atmosphere during January. This indicates that nonorographic waves dominate at this time of year, with sources including continental convection as well as oceanic depressions. Most of the zonal-mean MF at 40 degrees-65 degrees S in January and July is due to gravity waves located above the oceans. The zonal-mean MF at lower latitudes in both months has a larger contribution from the land regions but the fraction above the oceans remains larger.</t>
  </si>
  <si>
    <t>[Alexander, Simon P.; Murphy, Damian J.] Australian Antarctic Div, Hobart, Tas, Australia; [Sato, Kaoru] Univ Tokyo, Dept Earth &amp; Planetary Sci, Tokyo, Japan; [Watanabe, Shingo; Kawatani, Yoshio] Japan Agcy Marine Earth Sci &amp; Technol, Res Inst Global Change, Yokohama, Kanagawa, Japan</t>
  </si>
  <si>
    <t>Australian Antarctic Division; University of Tokyo; Japan Agency for Marine-Earth Science &amp; Technology (JAMSTEC)</t>
  </si>
  <si>
    <t>Alexander, SP (corresponding author), Australian Antarctic Div, 203 Channel Highway, Kingston, Tas 7050, Australia.</t>
  </si>
  <si>
    <t>simon.alexander@aad.gov.au</t>
  </si>
  <si>
    <t>Watanabe, Shingo/L-9689-2014; Watanabe, Shingo/X-2336-2019; Kawatani, Yoshio/B-1777-2013; Sato, Kaoru/E-1693-2012</t>
  </si>
  <si>
    <t>Watanabe, Shingo/0000-0002-2228-0088; Watanabe, Shingo/0000-0002-2228-0088; Kawatani, Yoshio/0000-0003-3260-8830; Murphy, Damian/0000-0003-1738-5560; Alexander, Simon/0000-0001-6823-8857; Sato, Kaoru/0000-0002-6225-6066</t>
  </si>
  <si>
    <t>Australian Antarctic program [4025]; JSPS [25247075, 26610153]; Grants-in-Aid for Scientific Research [25247075, 26610153] Funding Source: KAKEN</t>
  </si>
  <si>
    <t>Australian Antarctic program; JSPS(Ministry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</si>
  <si>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This research was conducted for project 4025 of the Australian Antarctic program and supported by JSPS KAKENHI Grants 25247075 and 26610153. The simulation was performed using the Earth Simulator. We appreciate the helpful insights and comments provided by the anonymous reviewers on an earlier version of this manuscript.</t>
  </si>
  <si>
    <t>0022-4928</t>
  </si>
  <si>
    <t>1520-0469</t>
  </si>
  <si>
    <t>J ATMOS SCI</t>
  </si>
  <si>
    <t>J. Atmos. Sci.</t>
  </si>
  <si>
    <t>10.1175/JAS-D-15-0149.1</t>
  </si>
  <si>
    <t>DE2ZH</t>
  </si>
  <si>
    <t>WOS:000370496100001</t>
  </si>
  <si>
    <t>Gutman, N; Hansen, MJ; Bertelsen, MF; Bojesen, AM</t>
  </si>
  <si>
    <t>Gutman, N.; Hansen, M. J.; Bertelsen, M. F.; Bojesen, A. M.</t>
  </si>
  <si>
    <t>Pasteurellaceae bacteria from the oral cavity of Tasmanian devils (Sarcophilus Harrisii) show high minimum inhibitory concentration values towards aminoglycosides and clindamycin</t>
  </si>
  <si>
    <t>LETTERS IN APPLIED MICROBIOLOGY</t>
  </si>
  <si>
    <t>antimicrobial susceptibility; MIC; minimum inhibitory concentration; Pasteurellaceae; Sarcophilus harrisii; Tasmanian devil</t>
  </si>
  <si>
    <t>FACIAL TUMOR DISEASE; ROB-1 BETA-LACTAMASE; MULTOCIDA; TRANSMISSION; BITE</t>
  </si>
  <si>
    <t>Threatened by Devil Facial Tumor Disease, the Tasmanian devil populations are vulnerable and decreasing. Additionally, the devils' biting behaviour elevates their risk of acquiring bite wound infections caused by members of the bacterial Pasteurellaceae family that are natural inhabitants of the oral microbiota. In medical management of such bite wounds, antimicrobial susceptibility profiles are crucial. Prior to this investigation, no available data on minimal inhibitory concentration (MIC) values existed. A total of 26 isolates obtained from the oral cavity of 26 healthy Tasmanian devils were tested for their antimicrobial susceptibility by broth micro dilution. Most prominently, high MIC values for clindamycin (4gml(-1)), gentamicin (8gml(-1)) and amikacin (32gml(-1)), were observed for 92, 77 and 73% of the strains tested respectively. This study may be used as a guideline for antimicrobial therapy against bite wound infections caused by Pasteurellaceae originating from the oral cavity of Tasmanian devils.</t>
  </si>
  <si>
    <t>[Gutman, N.; Hansen, M. J.; Bojesen, A. M.] Univ Copenhagen, Fac Hlth &amp; Med, Dept Vet Dis Biol, Stigbojlen 4, DK-1870 Frederiksberg C, Denmark; [Hansen, M. J.; Bertelsen, M. F.] Copenhagen Zoo, Ctr Zoo &amp; Wild Anim Hlth, Frederiksberg, Denmark; [Hansen, M. J.] Univ Tasmania, Inst Marine &amp; Antarctic Studies, Launceston, Tas 7250, Australia</t>
  </si>
  <si>
    <t>University of Copenhagen; University of Tasmania</t>
  </si>
  <si>
    <t>Bojesen, AM (corresponding author), Univ Copenhagen, Fac Hlth &amp; Med, Dept Vet Dis Biol, Stigbojlen 4, DK-1870 Frederiksberg C, Denmark.</t>
  </si>
  <si>
    <t>miki@sund.ku.dk</t>
  </si>
  <si>
    <t>Bojesen, Anders Miki/CAG-0739-2022; Bertelsen, Mads/AAA-5746-2022; Gutman, Nicole/I-6984-2017</t>
  </si>
  <si>
    <t>Bertelsen, Mads/0000-0001-9201-7499; Gutman, Nicole/0000-0002-3858-5337; Hansen, Mie/0000-0002-2527-9488; Bojesen, Anders Miki/0000-0003-4030-0019</t>
  </si>
  <si>
    <t>Carlsberg Foundation</t>
  </si>
  <si>
    <t>Carlsberg Foundation(Carlsberg Foundation)</t>
  </si>
  <si>
    <t>The authors thank the staff at Trowunna Wildlife Park, Bonorong, Devils@cradle and Copenhagen Zoo for their help during sampling. The study was partly funded by a travel grant from the Carlsberg Foundation.</t>
  </si>
  <si>
    <t>0266-8254</t>
  </si>
  <si>
    <t>1472-765X</t>
  </si>
  <si>
    <t>LETT APPL MICROBIOL</t>
  </si>
  <si>
    <t>Lett. Appl. Microbiol.</t>
  </si>
  <si>
    <t>10.1111/lam.12545</t>
  </si>
  <si>
    <t>DE6AZ</t>
  </si>
  <si>
    <t>WOS:000370716400005</t>
  </si>
  <si>
    <t>Barrat, JA; Dauphas, N; Gillet, P; Bollinger, C; Etoubleau, J; Bischoff, A; Yamaguchi, A</t>
  </si>
  <si>
    <t>Barrat, J. A.; Dauphas, N.; Gillet, P.; Bollinger, C.; Etoubleau, J.; Bischoff, A.; Yamaguchi, A.</t>
  </si>
  <si>
    <t>Evidence from Tm anomalies for non-CI refractory lithophile element proportions in terrestrial planets and achondrites</t>
  </si>
  <si>
    <t>RARE-EARTH-ELEMENTS; ICP-MS; ISOTOPE SYSTEMATICS; BUILDING-BLOCKS; SOLAR NEBULA; FRACTIONATION; CONDENSATION; GEOCHEMISTRY; ABUNDANCES; CHONDRITES</t>
  </si>
  <si>
    <t>Thulium is a heavy rare earth element (REE) whose geochemical behavior is intermediate between Er and Yb, and that is not expected to be decoupled from these elements during accretion of planetary bodies and geological processes. However, irregularities in REE volatilities at higher temperature could have decoupled the REEs relative to one another during the early stages of condensation of the solar nebula. Indeed, positive Tm anomalies are found in some refractory inclusions from carbonaceous chondrites, and it is possible that large scale nebular reservoirs displaying positive or negative Tm anomalies were formed during the early history of the solar system. We analyzed a series of meteorites and terrestrial rocks in order to evaluate the existence of Tm anomalies in planetary materials. Relative to CIs (Ivuna-type carbonaceous chondrites), carbonaceous chondrites display unresolved or positive Tm anomalies, while most of the noncarbonaceous chondrites show slightly negative Tm anomalies. Quantification of these anomalies in terrestrial samples is complicated when samples display fractionated heavy REE patterns. Taking this effect into account, we show that the Earth, Mars, Vesta, the aubrite and ureilite parent bodies display small negative anomalies (Tm/Tm* approximate to 0.975), very similar to those found in ordinary and enstatite chondrites. We suggest that a slight negative Tm anomaly relative to CI is a widespread feature of the materials from the inner solar system. This finding suggests that CI chondrites may not be appropriate for normalizing REE abundances of most planetary materials as they may be enriched in a high-temperature refractory component with non-solar composition. The presence of Tm anomalies at a bulk planetary scale is, to this day, the strongest piece of evidence that refractory lithophile elements are not present in constant CI proportions in planetary bodies. (C) 2015 Elsevier Ltd. All rights reserved.</t>
  </si>
  <si>
    <t>[Barrat, J. A.] Univ Bretagne Occidentale, Inst Univ Europeen Mer, CNRS, UMR 6538, Pl Nicolas Copern, F-29280 Plouzane, France; [Dauphas, N.] Univ Chicago, Dept Geophys Sci, Origins Lab, 5734 South Ellis Ave, Chicago, IL 60637 USA; [Dauphas, N.] Univ Chicago, Enrico Fermi Inst, 5734 South Ellis Ave, Chicago, IL 60637 USA; [Gillet, P.] Ecole Polytech Fed Lausanne, Inst Condensed Matter Phys, Stn 3, CH-1015 Lausanne, Switzerland; [Bollinger, C.] Inst Univ Europeen Mer, CNRS, UMS 3113, Pl Nicolas Copern, F-29280 Plouzane, France; [Etoubleau, J.] IFREMER, Ctr Brest, F-29280 Plouzane, France; [Bischoff, A.] Univ Munster, Inst Planetol, Wilhelm Klemm Str 10, D-48149 Munster, Germany; [Yamaguchi, A.] Natl Inst Polar Res, Tachikawa, Tokyo 1908518, Japan; [Yamaguchi, A.] Grad Univ Adv Studies, SOKENDAI, Sch Multidisciplinary Sci, Dept Polar Sci, Tachikawa, Tokyo 1908518, Japan</t>
  </si>
  <si>
    <t>Universite de Bretagne Occidentale; Institut Universitaire Europeen de la Mer (IUEM); Centre National de la Recherche Scientifique (CNRS); CNRS - National Institute for Earth Sciences &amp; Astronomy (INSU); University of Chicago; University of Chicago; Swiss Federal Institutes of Technology Domain; Ecole Polytechnique Federale de Lausanne; Centre National de la Recherche Scientifique (CNRS); CNRS - National Institute for Earth Sciences &amp; Astronomy (INSU); Universite de Bretagne Occidentale; Institut Universitaire Europeen de la Mer (IUEM); Ifremer; University of Munster; Research Organization of Information &amp; Systems (ROIS); National Institute of Polar Research (NIPR) - Japan; Graduate University for Advanced Studies - Japan</t>
  </si>
  <si>
    <t>Barrat, JA (corresponding author), Univ Bretagne Occidentale, Inst Univ Europeen Mer, CNRS, UMR 6538, Pl Nicolas Copern, F-29280 Plouzane, France.</t>
  </si>
  <si>
    <t>barrat@univ-brest.fr</t>
  </si>
  <si>
    <t>Barrat, Jean Alix/C-8416-2017</t>
  </si>
  <si>
    <t>Barrat, Jean Alix/0000-0003-3158-3109</t>
  </si>
  <si>
    <t>Laboratoire d'Excellence LabexMER [ANR-10-LABX-19]; French Government under the program Investissements d'Avenir; Programme National de Planetologie (CNRS-INSU)</t>
  </si>
  <si>
    <t>Laboratoire d'Excellence LabexMER; French Government under the program Investissements d'Avenir(Agence Nationale de la Recherche (ANR)); Programme National de Planetologie (CNRS-INSU)(Centre National de la Recherche Scientifique (CNRS))</t>
  </si>
  <si>
    <t>The samples analyzed during the course of this study were kindly provided to the first author during the last 25 years by the Museum National d'Histoire Naturelle (Paris), Ifremer, the Universite Pierre et Marie Curie, the Universite de Rennes 1, the Institute for Meteoritics, Albuquerque, the National Institut of Polar Research, Tokyo, the Natural History Museum, Vienna, the Smithsonian Institution, the Meteorite Working Group (NASA), Patrick Bachelery, Ted Bunch, Alain et Louis Carion, Martial Caroff, Bruno and Carine Fectay, Luc Labenne, Robert Roccia, Don Simptson, and our late colleagues Theodore Monod and Jean- Louis Cheminee. US Antarctic meteorite samples are recovered by the Antarctic search for Meteorites (ANSMET) program which has been funded by NSF and NASA, and characterized and curated in the department of Mineral Sciences of the Smithsonian Institution and Astromaterials Curation Office at NASA Johnson Space Center. Special thanks to Frederik Paulsen who kindly provided a large sample of Chelyabinsk. We thank Marc Norman and Mark Rehkamper for the editorial handling and their helpful comments which greatly improved the manuscript, Christine Floss, Herbert Palme, two anonymous reviewers for their constructive comments and Pascale Barrat for her help. This work was supported by the Laboratoire d'Excellence LabexMER (ANR-10-LABX-19) and co-funded by grants from the French Government under the program Investissements d'Avenir and from the Programme National de Planetologie (CNRS-INSU) to the first author.</t>
  </si>
  <si>
    <t>10.1016/j.gca.2015.12.004</t>
  </si>
  <si>
    <t>DD6PP</t>
  </si>
  <si>
    <t>Green Submitted, Green Published, hybrid</t>
  </si>
  <si>
    <t>WOS:000370046400001</t>
  </si>
  <si>
    <t>Broadley, MW; Ballentine, CJ; Chavrit, D; Dallai, L; Burgess, R</t>
  </si>
  <si>
    <t>Broadley, Michael W.; Ballentine, Chris J.; Chavrit, Deborah; Dallai, Luigi; Burgess, Ray</t>
  </si>
  <si>
    <t>Sedimentary halogens and noble gases within Western Antarctic xenoliths: Implications of extensive volatile recycling to the sub continental lithospheric mantle</t>
  </si>
  <si>
    <t>NORTHERN VICTORIA-LAND; ROSS-SEA-RIFT; PORE WATERS; NEW-ZEALAND; TRANSANTARCTIC MOUNTAINS; SOUTHEASTERN AUSTRALIA; SUBCONTINENTAL MANTLE; THERMAL EVOLUTION; VOLCANIC ACTIVITY; FLUID INCLUSIONS</t>
  </si>
  <si>
    <t>Recycling of marine volatiles back into the mantle at subduction zones has a profound, yet poorly constrained impact on the geochemical evolution of the Earth's mantle. Here we present a combined noble gas and halogen study on mantle xenoliths from the Western Antarctic Rift System (WARS) to better understand the flux of subducted volatiles to the sub continental lithospheric mantle (SCLM) and assess the impact this has on mantle chemistry. The xenoliths are extremely enriched in the heavy halogens (Br and I), with I concentrations up to 1 ppm and maximum measured I/C1 ratios (85.2 x 10(-3)) being similar to 2000 times greater than mid ocean ridge basalts (MORB). The Br/C1 and I/C1 ratios of the xenoliths span a range from MORB-like ratios to values similar to marine pore fluids and serpentinites, whilst the Kr-84/Ar-36 and Xe-136/Ar-36 ratios range from modern atmosphere to oceanic sediments. This indicates that marine derived volatiles have been incorporated into the SCLM during an episode of subduction related metasomatism. Helium isotopic analysis of the xenoliths show average He-3/He-4 ratios of 7.5 +/- 0.5 R-A (where R-A is the He-3/He-4 ratio of air = 1.39 x 10(-6)), similar to that of MORB. The He-3/He-4 ratios within the xenoliths are higher than expected for the xenoliths originating from the SCLM which has been extensively modified by the addition of subducted volatiles, indicating that the SCLM beneath the WARS must have seen a secondary alteration from the infiltration and rise of asthenospheric fluids/melts as a consequence of rifting and lithospheric thinning. Noble gases and halogens within these xenoliths have recorded past episodes of volatile interaction within the SCLM and can be used to reconstruct a tectonic history of the WARS. Marine halogen and noble gas signatures within the SCLM xenoliths provide evidence for the introduction and retention of recycled volatiles within the SCLM by subduction related metasomatism, signifying that not all volatiles that survive subduction are mixed efficiently through the convecting mantle. The global SCLM therefore represents a potentially important reservoir for the long term residence of subducted volatiles. (C) 2016 Published by Elsevier Ltd.</t>
  </si>
  <si>
    <t>[Broadley, Michael W.; Chavrit, Deborah; Burgess, Ray] Univ Manchester, Sch Earth Atmospher &amp; Environm Sci, Oxford Rd, Manchester M13 9PL, Lancs, England; [Broadley, Michael W.] Univ Tokyo, Grad Sch Sci, Geochem Res Ctr, Bunkyo Ku, 7-3-1 Hongo, Tokyo 1130033, Japan; [Ballentine, Chris J.] Univ Oxford, Dept Earth Sci, S Parks Rd, Oxford OX1 3AN, England; [Chavrit, Deborah] Univ Paris Diderot, Sorbonne Paris Cite, Inst Phys Globe Paris, CNRS, F-75005 Paris, France; [Dallai, Luigi] CNR, Ist Geosci &amp; Georisorse, Via Moruzzi 1, I-56124 Pisa, Italy</t>
  </si>
  <si>
    <t>University of Manchester; University of Tokyo; University of Oxford; Universite Paris Cite; Centre National de la Recherche Scientifique (CNRS); Consiglio Nazionale delle Ricerche (CNR); Istituto di Geoscienze e Georisorse (IGG-CNR)</t>
  </si>
  <si>
    <t>Broadley, MW (corresponding author), Univ Manchester, Sch Earth Atmospher &amp; Environm Sci, Oxford Rd, Manchester M13 9PL, Lancs, England.;Broadley, MW (corresponding author), Univ Tokyo, Grad Sch Sci, Geochem Res Ctr, Bunkyo Ku, 7-3-1 Hongo, Tokyo 1130033, Japan.</t>
  </si>
  <si>
    <t>broadley@eqchem.s.u-tokyo.ac.jp</t>
  </si>
  <si>
    <t>Chavrit, Déborah/ITT-8221-2023; Burgess, Ray/A-5767-2009</t>
  </si>
  <si>
    <t>Burgess, Ray/0000-0001-7674-8718; Ballentine, Chris/0000-0001-9382-070X; Broadley, Michael/0000-0002-5031-4687; Dallai, Luigi/0000-0002-1514-5013</t>
  </si>
  <si>
    <t>NERC [B100581H, ERC-267692 NOBLE, NE/G018014/1]; PNRA; NERC [NE/M000427/1, NE/D004292/1] Funding Source: UKRI; Natural Environment Research Council [NE/M000427/1, 1088481, NE/D004292/1] Funding Source: researchfish</t>
  </si>
  <si>
    <t>NERC(UK Research &amp; Innovation (UKRI)Natural Environment Research Council (NERC)); PNRA; NERC(UK Research &amp; Innovation (UKRI)Natural Environment Research Council (NERC)); Natural Environment Research Council(UK Research &amp; Innovation (UKRI)Natural Environment Research Council (NERC))</t>
  </si>
  <si>
    <t>The authors would like to thank the Programma Nazionale di Ricerche in Antartide (PNRA) for supporting sample collection in Antarctica. We would also like to thank Dr J. Cowpe, D. Blagburn, B. Clementson and C. Davies for extensive help with running and maintaining the laboratory. Further thanks go to Katherine Joy and Natalie Curran for help in interpreting the data. We are grateful to Jens Hopp and an anonymous reviewer for their insightful and constructive reviews, which greatly improved this manuscript. This work was financially supported though a NERC studentship B100581H (to MWB), ERC-267692 NOBLE and NERC NE/G018014/1 grants (CJB and RB) and the PNRA.</t>
  </si>
  <si>
    <t>10.1016/j.gca.2015.12.013</t>
  </si>
  <si>
    <t>WOS:000370046400008</t>
  </si>
  <si>
    <t>Kaczmarek, L; Jakubowska, N; Celewicz-Goldyn, S; Zawierucha, K</t>
  </si>
  <si>
    <t>Kaczmarek, Lukasz; Jakubowska, Natalia; Celewicz-Goldyn, Sofia; Zawierucha, Krzysztof</t>
  </si>
  <si>
    <t>The microorganisms of cryoconite holes (algae, Archaea, bacteria, cyanobacteria, fungi, and Protista): a review</t>
  </si>
  <si>
    <t>SP NOV.; ANNOTATED ZOOGEOGRAPHY; BASIDIOMYCETOUS YEAST; MICROBIAL COMMUNITIES; ARCTIC GLACIER; CARBON FLUXES; ROSS-ISLAND; SVALBARD; ALPINE; DIVERSITY</t>
  </si>
  <si>
    <t>We provide a comprehensive list of microorganisms (algae, Archaea, bacteria, cyanobacteria, fungi, and Protista) inhabiting cryoconite holes on glaciers throughout the world, giving an updated taxonomy accompanied by geographic coordinates and localities. The list consists of 370 taxa reported from cryoconite holes (mostly from Arctic and Antarctic regions and European Alps). However, most of the taxa were not identified to the species level. Until now only 39 identified species or subspecies of bacteria and Archaea, 11 fungi, 17 cyanobacteria, 62 algae, and 13 Protista are known from cryoconite holes, which are only about 38% of total number of taxa reported from these ephemeral environments. Almost 62% of the taxa were marked as cf. (confer) or were identified only to the genera or even to the higher taxonomic units (such as families or orders). This wide and detailed review assists other scientists to identify the gaps in our knowledge about cryobionts and indicates directions for further zoogeographical and taxonomical studies in this unique freshwater habitat.</t>
  </si>
  <si>
    <t>[Kaczmarek, Lukasz; Zawierucha, Krzysztof] Adam Mickiewicz Univ, Dept Anim Taxon &amp; Ecol, Umultowska 89, PL-61614 Poznan, Poland; [Jakubowska, Natalia] Adam Mickiewicz Univ, Fac Biol, Dept Water Protect, Umultowska 89, PL-61614 Poznan, Poland; [Celewicz-Goldyn, Sofia] Poznan Univ Life Sci, Dept Bot, Wojska Polskiego 71c, PL-60625 Poznan, Poland</t>
  </si>
  <si>
    <t>Adam Mickiewicz University; Adam Mickiewicz University; Poznan University of Life Sciences</t>
  </si>
  <si>
    <t>Kaczmarek, L (corresponding author), Adam Mickiewicz Univ, Dept Anim Taxon &amp; Ecol, Umultowska 89, PL-61614 Poznan, Poland.</t>
  </si>
  <si>
    <t>kaczmar@amu.edu.pl</t>
  </si>
  <si>
    <t>Kaczmarek, Lukasz/A-2000-2008; Zawierucha, Krzysztof/HTP-6506-2023; Zawierucha, Krzysztof/HDN-5985-2022; Celewicz, Sofia/Q-9399-2018</t>
  </si>
  <si>
    <t>Zawierucha, Krzysztof/0000-0002-0754-1411; Kaczmarek, Lukasz/0000-0002-5260-6253; Celewicz, Sofia/0000-0003-2033-2777</t>
  </si>
  <si>
    <t>National Science Center [NCN 2013/11/N/NZ8/00597, N N304 014939]; Prometeo Project of the Secretariat for Higher Education, Science, Technology and Innovation of the Republic of Ecuador</t>
  </si>
  <si>
    <t>National Science Center(National Science Centre, Poland); Prometeo Project of the Secretariat for Higher Education, Science, Technology and Innovation of the Republic of Ecuador</t>
  </si>
  <si>
    <t>Studies were partially supported by National Science Center, grant no. NCN 2013/11/N/NZ8/00597 for K.Z. and grant no. N N304 014939 for L.K. This work was also partially funded by the Prometeo Project of the Secretariat for Higher Education, Science, Technology and Innovation of the Republic of Ecuador. Studies have been partially conducted in the framework of activities of the BARg (Biodiversity and Astrobiology Research group).</t>
  </si>
  <si>
    <t>10.1017/S0032247415000637</t>
  </si>
  <si>
    <t>DD6MU</t>
  </si>
  <si>
    <t>WOS:000370039100006</t>
  </si>
  <si>
    <t>Young, OR</t>
  </si>
  <si>
    <t>Young, Oran R.</t>
  </si>
  <si>
    <t>Governing the antipodes: international cooperation in Antarctica and the Arctic</t>
  </si>
  <si>
    <t>The Arctic and the Antarctic appear to be polar opposites with regard to many matters, including the systems of governance that have evolved in the two regions. Antarctica is demilitarised, closed to economic development, open to a wide range of scientific activities, and subject to strict environmental regulations under the terms of the legally binding Antarctic Treaty of 1959 along with several supplementary measures that together form the Antarctic Treaty System (ATS). The Arctic, by contrast, is a theatre of military operations, a site of largescale industrial activities, a homeland for sizable groups of indigenous peoples, and a focus of growing concern regarding the environmental impacts of human activities. The Arctic Council, the principal international body concerned with governance at the regional level, operates under the terms of a ministerial declaration that is not legally binding; it lacks the authority to make formal decisions about matters of current interest. Digging a little deeper, however, one turns up some illuminating similarities between the governance systems operating in the antipodes. In this article, I pursue this line of thinking, setting forth a range of observations relating to (i) the history of governance in the antipodes, (ii) institutional innovations occurring in these regions, (iii) issues of membership, (iv) jurisdictional concerns, (v) the role of science, (vi) relations with the UN system, (vii) institutional interplay, and (viii) the adaptiveness of governance systems in the face of changing circumstances. The governance systems for the polar regions are not likely to converge anytime soon. Nevertheless, this analysis should be of interest not only to those concerned with the fate of Antarctica and the Arctic but also to those seeking to find effective means of addressing needs for governance in other settings calling for governance without government.</t>
  </si>
  <si>
    <t>[Young, Oran R.] Univ Calif Santa Barbara, Bren Sch Environm Sci &amp; Management, Santa Barbara, CA 93106 USA</t>
  </si>
  <si>
    <t>Young, OR (corresponding author), Univ Calif Santa Barbara, Bren Sch Environm Sci &amp; Management, Santa Barbara, CA 93106 USA.</t>
  </si>
  <si>
    <t>oran.young@gmail.com</t>
  </si>
  <si>
    <t>U.S. National Science Foundation; Office of Polar Programs (OPP); Directorate For Geosciences [1641241] Funding Source: National Science Foundation</t>
  </si>
  <si>
    <t>U.S. National Science Foundation(National Science Foundation (NSF)); Office of Polar Programs (OPP); Directorate For Geosciences(National Science Foundation (NSF)NSF - Directorate for Geosciences (GEO))</t>
  </si>
  <si>
    <t>An earlier version of this article was presented at the Conference on 'Finding the Antipodes,' U.S. Library of Congress, Washington, DC, 14-15 May 2015. The Arctic Options project, funded by the U.S. National Science Foundation under Award No. 1263819, supported the preparation of the article.</t>
  </si>
  <si>
    <t>10.1017/S0032247415000704</t>
  </si>
  <si>
    <t>WOS:000370039100009</t>
  </si>
  <si>
    <t>Summerhayes, CP</t>
  </si>
  <si>
    <t>Summerhayes, C. P.</t>
  </si>
  <si>
    <t>Polar science strategies for institute managers</t>
  </si>
  <si>
    <t>CHALLENGES</t>
  </si>
  <si>
    <t>Managing polar research is a tremendous challenge. It covers work at sea on rough and intimidating oceans, and on land over crevassed terrain or rotten sea ice with the prospect of death or frostbite. These environments are extremely hostile and difficult to work in. Results are costly to obtain, and yet the work is of vital importance, as the polar regions are the world's freezers, critical components of the climate system, and repositories of amazing biodiversity. These regions are grossly undersampled, and relatively poorly monitored. National efforts are best carried out in an international framework, in which cooperation is essential for major breakthroughs, and the exchange and sharing of data and information and facilities is essential for ongoing monitoring of change. Under the circumstances the managers of polar research institutes must proceed with well-developed strategies. Given the growing interest of different countries in the polar regions, it would seem useful to bring together advice won through hard effort over the years in how best to develop strategies for polar scientific institute management. This discussion paper offers advice on how such strategies may best be developed. The author has compiled this based on many years of management experience in both the ocean and polar sciences with the following institutions: the UK Natural Environment Research Council's Institute of Oceanographic Sciences Deacon Laboratory, the UK's National Oceanography Centre, UNESCO's Intergovernmental Oceanographic Commission, and the International Council for Science's Scientific Committee on Antarctic Research</t>
  </si>
  <si>
    <t>[Summerhayes, C. P.] Univ Cambridge, Scott Polar Res Inst, Lensfield Rd, Cambridge CB2 1ER, England</t>
  </si>
  <si>
    <t>University of Cambridge</t>
  </si>
  <si>
    <t>Summerhayes, CP (corresponding author), Univ Cambridge, Scott Polar Res Inst, Lensfield Rd, Cambridge CB2 1ER, England.</t>
  </si>
  <si>
    <t>cps32@cam.ac.uk</t>
  </si>
  <si>
    <t>10.1017/S0032247415000716</t>
  </si>
  <si>
    <t>WOS:000370039100010</t>
  </si>
  <si>
    <t>Hu, Y; Luo, W; Yu, ZY; Yuan, LW; Lü, GN</t>
  </si>
  <si>
    <t>Hu, Yong; Luo, Wen; Yu, Zhaoyuan; Yuan, Linwang; Lu, Guonian</t>
  </si>
  <si>
    <t>Geometric Algebra-based Modeling and Analysis for Multi-layer, Multi-temporal Geographic Data</t>
  </si>
  <si>
    <t>ADVANCES IN APPLIED CLIFFORD ALGEBRAS</t>
  </si>
  <si>
    <t>GIS; Geometric algebra; Data model; Spatio-temporal analysis</t>
  </si>
  <si>
    <t>REMOTE-SENSING DATA; CLASSIFICATION; AREA</t>
  </si>
  <si>
    <t>Aiming at the modeling and analysis of the multi-layer, multi-temporal geographical model simulation data, the geometric algebra (GA) is introduced to design methods for data modeling, spatio-temporal queries and dynamic visualization. Algorithms, including the slices and cross-section, area and volume computation, morphology characteristics computation and change detection, are constructed directly based on the GA operators. We developed a prototype system GA-Coupling Analyzer to integrate all the methods. The system is demonstrated with the simulation data of Antarctic Ice-Ocean-Land coupled changes. The results suggest that our approach can provide a unified geometric meaningful approach for complex geo-simulation data representation and analysis. The representation can well integrate the geometric representation and algebraic computation. With the powerful GA operators, the spatio-temporal analysis methods can be directly and simply constructed and implemented.</t>
  </si>
  <si>
    <t>[Hu, Yong; Luo, Wen; Yu, Zhaoyuan; Yuan, Linwang; Lu, Guonian] Minist Educ, Key Lab Virtual Geog Environm, Nanjing, Jiangsu, Peoples R China; [Hu, Yong] Nanjing Normal Univ, Dept Comp Sci &amp; Technol, 1 Wenyuan Rd, Nanjing, Jiangsu, Peoples R China; [Yu, Zhaoyuan; Yuan, Linwang; Lu, Guonian] Nanjing Normal Univ, Jiangsu Ctr Collaborat Innovat Geog Informat Reso, 1 Wenyuan Rd, Nanjing, Jiangsu, Peoples R China</t>
  </si>
  <si>
    <t>Nanjing Normal University; Nanjing Normal University</t>
  </si>
  <si>
    <t>Yu, ZY (corresponding author), Minist Educ, Key Lab Virtual Geog Environm, Nanjing, Jiangsu, Peoples R China.;Yu, ZY (corresponding author), Nanjing Normal Univ, Jiangsu Ctr Collaborat Innovat Geog Informat Reso, 1 Wenyuan Rd, Nanjing, Jiangsu, Peoples R China.</t>
  </si>
  <si>
    <t>yuzhaoyuan@njnu.edu.cn</t>
  </si>
  <si>
    <t>Yu, Zhaoyuan/I-3356-2019</t>
  </si>
  <si>
    <t>Yu, Zhaoyuan/0000-0003-4225-9435</t>
  </si>
  <si>
    <t>NSCF Project [41231173, 41471319]; NCET program [NCET-12-0735]; PAPD program</t>
  </si>
  <si>
    <t>NSCF Project; NCET program(Program for New Century Excellent Talents in University (NCET)); PAPD program</t>
  </si>
  <si>
    <t>We acknowledge Prof. A-Xing Zhu for his helpful comments on our paper. This work was supported by the NSCF Project (Grant No. 41231173; 41471319), the NCET program (Grant No. NCET-12-0735) and the PAPD program.</t>
  </si>
  <si>
    <t>0188-7009</t>
  </si>
  <si>
    <t>1661-4909</t>
  </si>
  <si>
    <t>ADV APPL CLIFFORD AL</t>
  </si>
  <si>
    <t>Adv. Appl. Clifford Algebr.</t>
  </si>
  <si>
    <t>10.1007/s00006-015-0574-5</t>
  </si>
  <si>
    <t>Mathematics, Applied; Physics, Mathematical</t>
  </si>
  <si>
    <t>Mathematics; Physics</t>
  </si>
  <si>
    <t>DE0UB</t>
  </si>
  <si>
    <t>WOS:000370339300011</t>
  </si>
  <si>
    <t>Wu, GM; Cong, ZY; Kang, SC; Kawamura, K; Fu, PQ; Zhang, YL; Wan, X; Gao, SP; Liu, B</t>
  </si>
  <si>
    <t>Wu Guang-Ming; Cong Zhi-Yuan; Kang Shi-Chang; Kawamura, Kimitaka; Fu Ping-Qing; Zhang Yu-Lan; Wan Xin; Gao Shao-Peng; Liu Bin</t>
  </si>
  <si>
    <t>Brown carbon in the cryosphere: Current knowledge and perspective</t>
  </si>
  <si>
    <t>ADVANCES IN CLIMATE CHANGE RESEARCH</t>
  </si>
  <si>
    <t>Brown carbon; Black carbon; Atmospheric aerosol; Snow; Glacier</t>
  </si>
  <si>
    <t>HUMIC-LIKE SUBSTANCES; SOLUBLE ORGANIC-CARBON; BLACK CARBON; LIGHT-ABSORPTION; ABSORBING AEROSOL; TIBETAN PLATEAU; MINERAL DUST; TAR BALLS; BIOMASS; SNOW</t>
  </si>
  <si>
    <t>Recently, the light-absorbing organic carbon, i.e., brown carbon (BrC), has received an increasing attention, because they could significantly absorb the solar radiation in the range of short wavelengths rather than the purely scattering effect. BrC is ubiquitous in the troposphere. It could undergo long range transport within the atmospheric circulation. After the deposition on the surface of snow or ice in the cryospheric region, as the major light absorbing impurities with black carbon and dust, BrC could reduce the snow albedo and accelerate the glacier melting. In this context, this paper summarized the current knowledge of BrC (in aerosols and snow) in the cryospheric regions including the Arctic, Antarctic, and Alpines. Although some works have been conducted in those region, the current dataset on the optical properties of BrC like Absorption Angstrom Exponent (AAE) and Mass Absorption Efficiency (MAE) is still limited, which hampers stimulating an accurate evaluation of its climate effects. Especially in the Himalayas and Tibetan Plateau, where very limited information concerning BrC is available. Considering biomass burning as a dominant source of BrC, a large amount of emissions from biomass burning in South Asia could reach the Himalayas and Tibetan Plateau, where the climate effect of BrC merits more investigation in the future.</t>
  </si>
  <si>
    <t>[Wu Guang-Ming; Cong Zhi-Yuan; Wan Xin; Gao Shao-Peng; Liu Bin] Chinese Acad Sci, Inst Tibetan Plateau Res, Key Lab Tibetan Environm Changes &amp; Land Surface P, Beijing 100101, Peoples R China; [Kang Shi-Chang; Zhang Yu-Lan] Chinese Acad Sci, Res Inst, State Key Lab Cryospher Sci Cold &amp; Arid Regions E, Lanzhou 730000, Gansu, Peoples R China; [Kawamura, Kimitaka] Hokkaido Univ, Inst Low Temp Sci, Sapporo, Hokkaido 0600819, Japan; [Fu Ping-Qing] Chinese Acad Sci, Inst Atmospher Phys, LAPC, Beijing 100029, Peoples R China; [Cong Zhi-Yuan; Kang Shi-Chang] Chinese Acad Sci, Ctr Excellence Tibetan Plateau Earth Sci, Beijing 100101, Peoples R China; [Wu Guang-Ming] Univ Chinese Acad Sci, Beijing 100049, Peoples R China; [Kawamura, Kimitaka] Chubu Univ, Chubu Inst Adv Studies, Kasugai, Aichi 4878501, Japan</t>
  </si>
  <si>
    <t>Chinese Academy of Sciences; Institute of Tibetan Plateau Research, CAS; Chinese Academy of Sciences; Cold &amp; Arid Regions Environmental &amp; Engineering Research Institute, CAS; Hokkaido University; Chinese Academy of Sciences; Institute of Atmospheric Physics, CAS; Chinese Academy of Sciences; Chinese Academy of Sciences; University of Chinese Academy of Sciences, CAS; Chubu University</t>
  </si>
  <si>
    <t>Cong, ZY (corresponding author), Chinese Acad Sci, Inst Tibetan Plateau Res, Beijing 100101, Peoples R China.</t>
  </si>
  <si>
    <t>zhiyuancong@itpcas.ac.cn</t>
  </si>
  <si>
    <t>Shichang, Kang/AAB-5341-2020; Zhang, Wenxiao/KCK-3295-2024; Fu, Pingqing/G-4863-2013; Liu, Bin/D-7901-2011; Kawamura, Kimitaka/B-3839-2011; cong, z/KCF-0053-2024; Kang, Shichang/I-6830-2018</t>
  </si>
  <si>
    <t>Shichang, Kang/0000-0002-2344-9519; Fu, Pingqing/0000-0001-6249-2280; Kawamura, Kimitaka/0000-0003-1190-3726; Kang, Shichang/0000-0003-2115-9005</t>
  </si>
  <si>
    <t>National Science Foundation of China [41522103, 41501082, 41225002]; Strategic Priority Research Program-Climate Change: Carbon Budget and Relevant Issues [XDA05100105]</t>
  </si>
  <si>
    <t>National Science Foundation of China(National Natural Science Foundation of China (NSFC)); Strategic Priority Research Program-Climate Change: Carbon Budget and Relevant Issues(Chinese Academy of Sciences)</t>
  </si>
  <si>
    <t>This work is supported by National Science Foundation of China (41522103, 41501082 and 41225002) and Strategic Priority Research Program-Climate Change: Carbon Budget and Relevant Issues (XDA05100105).</t>
  </si>
  <si>
    <t>16 DONGHUANGCHENGGEN NORTH ST, BEIJING, 100717, PEOPLES R CHINA</t>
  </si>
  <si>
    <t>1674-9278</t>
  </si>
  <si>
    <t>ADV CLIM CHANG RES</t>
  </si>
  <si>
    <t>Adv. Clim. Chang. Res.</t>
  </si>
  <si>
    <t>MAR-JUN</t>
  </si>
  <si>
    <t>10.1016/j.accre.2016.06.002</t>
  </si>
  <si>
    <t>FK1VQ</t>
  </si>
  <si>
    <t>WOS:000413272100010</t>
  </si>
  <si>
    <t>Dhakar, K; Pandey, A</t>
  </si>
  <si>
    <t>Dhakar, Kusum; Pandey, Anita</t>
  </si>
  <si>
    <t>Wide pH range tolerance in extremophiles: towards understanding an important phenomenon for future biotechnology</t>
  </si>
  <si>
    <t>Extremophiles; Adaptations; Wide pH tolerance; Acidophiles; Alkaliphiles; Indian Himalayan Region (IHR)</t>
  </si>
  <si>
    <t>MICROBIAL DIVERSITY PATTERNS; HOT-SPRING SITE; SODA LAKE; ALKALIPHILIC STRAINS; DOMINANT BACTERIA; INTRACELLULAR PH; CYTOPLASMIC PH; GEN. NOV.; SP. NOV.; BACILLUS</t>
  </si>
  <si>
    <t>Microorganisms that inhabit the extreme pH environments are classified as acidophiles and alkaliphiles. A number of studies emerged from extreme high (hot springs, hydrothermal vents) as well as low temperature (arctic and antarctic regions, sea water, ice shelf, marine sediments, cold deserts, glaciers, temperate forests, and plantations) environments have highlighted the occurrence of microorganisms (thermophiles/psychrophiles) with the ability to tolerate wide pH range, from acidic to alkaline (1.5-14.0 in some cases), under laboratory conditions. However, the sampling source (soil/sediment) of these microorganisms showed the pH to be neutral or slightly acidic/alkaline. The aim of the present review is to discuss the phenomenon of wide pH range tolerance possessed by these microorganisms as a hidden character in perspective of their habitats, possible mechanisms, phylogeny, ecological and biotechnological relevance, and future perspectives. It is believed that the genome is a probable reservoir of the hidden variations. The extremophiles have the ability to adapt against the environmental change that is probably through the expression/regulation of the specific genes that were already present in the genome. The phenomenon is likely to have broad implications in biotechnology, including both environmental (such as bioremediation, biodegradation, and biocontrol), and industrial applications (as a source of novel extremozymes and many other useful bioactive compounds with wide pH range tolerance).</t>
  </si>
  <si>
    <t>[Dhakar, Kusum; Pandey, Anita] GB Pant Inst Himalayan Environm &amp; Dev, Biotechnol Applicat, Almora 263643, Uttarakhand, India</t>
  </si>
  <si>
    <t>G.B. Pant National Institute of Himalayan Environment &amp; Sustainable Development (GBPNIHESD)</t>
  </si>
  <si>
    <t>Pandey, A (corresponding author), GB Pant Inst Himalayan Environm &amp; Dev, Biotechnol Applicat, Almora 263643, Uttarakhand, India.</t>
  </si>
  <si>
    <t>anita@gbpihed.nic.in</t>
  </si>
  <si>
    <t>Dhakar, Kusum/GPW-6358-2022</t>
  </si>
  <si>
    <t>Ministry of Environment, Forest Climate Change; Council of Scientific &amp; Industrial Research, Govt. of India; Department of Biotechnology</t>
  </si>
  <si>
    <t>Ministry of Environment, Forest Climate Change; Council of Scientific &amp; Industrial Research, Govt. of India(Council of Scientific &amp; Industrial Research (CSIR) - India); Department of Biotechnology</t>
  </si>
  <si>
    <t>Prof A.N. Purohit, Dr L.M.S. Palni, and Dr U. Dhar (former Directors) and Dr P.P. Dhyani (present Director) of the Institute (GBPIHED) are gratefully acknowledged for supporting the Indian Himalayan Region (IHR) based studies that became the basis of this review. The anonymous reviewers are highly appreciated for the critical comments. Ministry of Environment, Forest &amp; Climate Change, Department of Biotechnology, and Council of Scientific &amp; Industrial Research, Govt. of India are thanked for financial support.</t>
  </si>
  <si>
    <t>10.1007/s00253-016-7285-2</t>
  </si>
  <si>
    <t>DF3LA</t>
  </si>
  <si>
    <t>WOS:000371244300001</t>
  </si>
  <si>
    <t>Mastromonaco, MN; Gårdfeldt, K; Jourdain, B; Abrahamsson, K; Granfors, A; Ahnoff, M; Dommergue, A; Mejean, G; Jacobi, HW</t>
  </si>
  <si>
    <t>Mastromonaco, M. Nerentorp; Gardfeldt, K.; Jourdain, B.; Abrahamsson, K.; Granfors, A.; Ahnoff, M.; Dommergue, A.; Mejean, G.; Jacobi, H-W</t>
  </si>
  <si>
    <t>Antarctic winter mercury and ozone depletion events over sea ice</t>
  </si>
  <si>
    <t>Mercury; Ozone; Depletion event; Antarctica; Sea ice</t>
  </si>
  <si>
    <t>DISSOLVED GASEOUS MERCURY; ATMOSPHERIC MERCURY; SURFACE OZONE; SPRINGTIME DEPLETION; MOLECULAR HALOGENS; ELEMENTAL MERCURY; TROPOSPHERIC BRO; POLAR SUNRISE; MASS-BALANCE; OXIDATION</t>
  </si>
  <si>
    <t>During atmospheric mercury and ozone depletion events in the springtime in polar regions gaseous elemental mercury and ozone undergo rapid declines. Mercury is quicldy transformed into oxidation products, which are subsequently removed by deposition. Here we show that such events also occur during Antarctic winter over sea ice areas, leading to additional deposition of mercury. Over four months in the Weddell Sea we measured gaseous elemental, oxidized, and particulate-bound mercury, as well as ozone in the troposphere and total and elemental mercury concentrations in snow, demonstrating a series of depletion and deposition events between July and September. The winter depletions in July were characterized by stronger correlations between mercury and ozone and larger formation of particulate-bound mercury in air compared to later spring events. It appears that light at large solar zenith angles is sufficient to initiate the photolytic formation of halogen radicals. We also propose a dark mechanism that could explain observed events in air masses coming from dark regions. Br-2 that could be the main actor in dark conditions was possibly formed in high concentrations in the marine boundary layer in the dark. These high concentrations may also have caused the formation of high concentrations of CHBr3 and CH2I2 in the top layers of the Antarctic sea ice observed during winter. These new findings show that the extent of depletion events is larger than previously believed and that winter depletions result in additional deposition of mercury that could be transferred to marine and terrestrial ecosystems. (C) 2016 Elsevier Ltd. All rights reserved.</t>
  </si>
  <si>
    <t>[Mastromonaco, M. Nerentorp; Gardfeldt, K.] Chalmers Univ Technol, Dept Chem &amp; Chem Engn, SE-41296 Gothenburg, Sweden; [Jourdain, B.; Dommergue, A.; Jacobi, H-W] Univ Grenoble Alpes, CNRS, Lab Glaciol &amp; Geophys Environm LGGE, Grenoble, France; [Abrahamsson, K.; Granfors, A.; Ahnoff, M.] Univ Gothenburg, Dept Marine Sci, SE-41296 Gothenburg, Sweden; [Mejean, G.] Univ Grenoble Alpes, CNRS, Lab Interdisciplinaire Phys, Grenoble, France</t>
  </si>
  <si>
    <t>Chalmers University of Technology; Centre National de la Recherche Scientifique (CNRS); Communaute Universite Grenoble Alpes; Universite Grenoble Alpes (UGA); University of Gothenburg; Centre National de la Recherche Scientifique (CNRS); Communaute Universite Grenoble Alpes; Universite Grenoble Alpes (UGA)</t>
  </si>
  <si>
    <t>Mastromonaco, MN (corresponding author), Chalmers Univ Technol, Dept Chem &amp; Chem Engn, SE-41296 Gothenburg, Sweden.</t>
  </si>
  <si>
    <t>michelle.nerentorp@chalmers.se</t>
  </si>
  <si>
    <t>dommergue, aurelien/HLP-6539-2023; Dommergue, Aurelien/A-2829-2009; Gårdfeldt, Katarina/AAF-9952-2019</t>
  </si>
  <si>
    <t>dommergue, aurelien/0000-0002-8185-9604; Dommergue, Aurelien/0000-0002-8185-9604; Gardfeldt, Katarina/0000-0002-5161-9597; Jacobi, Hans-Werner/0000-0003-2230-3136</t>
  </si>
  <si>
    <t>GMOS (Global Mercury Observation System); Svenska Polarforskningssekritariatet; CNRS-INSU through the program LEFE; CNRS-INSU through the program IPEV</t>
  </si>
  <si>
    <t>We thank the Alfred Wegner Institute for Polar and Marine Research, which made our participation in the cruises possible. We thank the crew onboard R/V Polarstern for the support onboard. We also thank Nicola Pirrone and Francesca Sprovieri at CNR for kindly providing the mercury speciation unit. We gratefully acknowledge financial and logistical support by GMOS (Global Mercury Observation System), Svenska Polarforskningssekritariatet, CNRS-INSU through the programs LEFE and IPEV.</t>
  </si>
  <si>
    <t>10.1016/j.atmosenv.2016.01.023</t>
  </si>
  <si>
    <t>WOS:000370886000015</t>
  </si>
  <si>
    <t>Vrielink, ASO; Aloi, A; Olijve, LLC; Voets, IK</t>
  </si>
  <si>
    <t>Vrielink, Anneloes S. Oude; Aloi, Antonio; Olijve, Luuk L. C.; Voets, Ilja K.</t>
  </si>
  <si>
    <t>Interaction of ice binding proteins with ice, water and ions</t>
  </si>
  <si>
    <t>BIOINTERPHASES</t>
  </si>
  <si>
    <t>HYPERACTIVE ANTIFREEZE PROTEIN; THERMAL HYSTERESIS PROTEINS; WINTER FLOUNDER ANTIFREEZE; HEAT-CAPACITY CHANGES; CRYSTAL-STRUCTURE; RECRYSTALLIZATION INHIBITION; SEA-ICE; STRUCTURING PROTEINS; ICE/WATER INTERFACE; PHYSICAL-PROPERTIES</t>
  </si>
  <si>
    <t>Ice binding proteins (IBPs) are produced by various cold-adapted organisms to protect their body tissues against freeze damage. First discovered in Antarctic fish living in shallow waters, IBPs were later found in insects, microorganisms, and plants. Despite great structural diversity, all IBPs adhere to growing ice crystals, which is essential for their extensive repertoire of biological functions. Some IBPs maintain liquid inclusions within ice or inhibit recrystallization of ice, while other types suppress freezing by blocking further ice growth. In contrast, ice nucleating proteins stimulate ice nucleation just below 0 degrees C. Despite huge commercial interest and major scientific breakthroughs, the precise working mechanism of IBPs has not yet been unraveled. In this review, the authors outline the state-of-the-art in experimental and theoretical IBP research and discuss future scientific challenges. The interaction of IBPs with ice, water and ions is examined, focusing in particular on ice growth inhibition mechanisms. (C) 2016 American Vacuum Society.</t>
  </si>
  <si>
    <t>[Vrielink, Anneloes S. Oude; Aloi, Antonio; Olijve, Luuk L. C.] Eindhoven Univ Technol, Inst Complex Mol Syst, POB 513, NL-5600 MD Eindhoven, Netherlands; [Vrielink, Anneloes S. Oude; Aloi, Antonio; Olijve, Luuk L. C.] Eindhoven Univ Technol, Dept Chem Engn &amp; Chem, Lab Macromol &amp; Organ Chem, POB 513, NL-5600 MD Eindhoven, Netherlands; [Voets, Ilja K.] Eindhoven Univ Technol, Dept Chem Engn &amp; Chem, Lab Macromol &amp; Organ Chem, Inst Complex Mol Syst, POB 513, NL-5600 MD Eindhoven, Netherlands; [Voets, Ilja K.] Eindhoven Univ Technol, Dept Chem Engn &amp; Chem, Phys Chem Lab, POB 513, NL-5600 MD Eindhoven, Netherlands</t>
  </si>
  <si>
    <t>Eindhoven University of Technology; Eindhoven University of Technology; Eindhoven University of Technology; Eindhoven University of Technology</t>
  </si>
  <si>
    <t>Voets, IK (corresponding author), Eindhoven Univ Technol, Dept Chem Engn &amp; Chem, Lab Macromol &amp; Organ Chem, Inst Complex Mol Syst, POB 513, NL-5600 MD Eindhoven, Netherlands.;Voets, IK (corresponding author), Eindhoven Univ Technol, Dept Chem Engn &amp; Chem, Phys Chem Lab, POB 513, NL-5600 MD Eindhoven, Netherlands.</t>
  </si>
  <si>
    <t>a.s.oude.vrielink@tue.nl; a.aloi@tue.nl; l.l.c.olijve@tue.nl; i.voets@tue.nl</t>
  </si>
  <si>
    <t>Voets, Ilja/AAG-7502-2021; Voets, Ilja K/E-3604-2014</t>
  </si>
  <si>
    <t>Voets, Ilja/0000-0003-3543-4821;</t>
  </si>
  <si>
    <t>European Union (FP7-PEOPLE-ITN SOMATAI) [316866, ERC-2014-StG, 635928]; Dutch Science Foundation (NWO VENI) [700.10.406]; Dutch Ministry of Education, Culture and Science (Gravity Program) [024.001.035]</t>
  </si>
  <si>
    <t>European Union (FP7-PEOPLE-ITN SOMATAI); Dutch Science Foundation (NWO VENI)(Netherlands Organization for Scientific Research (NWO)); Dutch Ministry of Education, Culture and Science (Gravity Program)</t>
  </si>
  <si>
    <t>The authors thank Koen Pieterse of the ICMS Animation Studio for the illustrations. This work was financially supported by the European Union (FP7-PEOPLE-2012-ITN SOMATAI Contract No. 316866 and ERC-2014-StG Contract No. 635928), the Dutch Science Foundation (NWO VENI Grant No. 700.10.406), and the Dutch Ministry of Education, Culture and Science (Gravity Program 024.001.035).</t>
  </si>
  <si>
    <t>1934-8630</t>
  </si>
  <si>
    <t>1559-4106</t>
  </si>
  <si>
    <t>Biointerphases</t>
  </si>
  <si>
    <t>10.1116/1.4939462</t>
  </si>
  <si>
    <t>Biophysics; Materials Science, Biomaterials</t>
  </si>
  <si>
    <t>Biophysics; Materials Science</t>
  </si>
  <si>
    <t>DK5TB</t>
  </si>
  <si>
    <t>WOS:000374982200021</t>
  </si>
  <si>
    <t>Fritts, DC; Smith, RB; Taylor, MJ; Doyle, JD; Eckermann, SD; Dörnbrack, A; Rapp, M; Williams, BP; Pautet, PD; Bossert, K; Criddle, NR; Reynolds, CA; Reinecke, PA; Uddstrom, M; Revell, MJ; Turner, R; Kaifler, B; Wagner, JS; Mixa, T; Kruse, CG; Nugent, AD; Watson, CD; Gisinger, S; Smith, SM; Lieberman, RS; Laughman, B; Moore, JJ; Brown, WO; Haggerty, JA; Rockwell, A; Stossmeister, GJ; Williams, SF; Hernandez, G; Murphy, DJ; Klekociuk, AR; Reid, IM; Ma, J</t>
  </si>
  <si>
    <t>Fritts, David C.; Smith, Ronald B.; Taylor, Michael J.; Doyle, James D.; Eckermann, Stephen D.; Doernbrack, Andreas; Rapp, Markus; Williams, Bifford P.; Pautet, P. -Dominique; Bossert, Katrina; Criddle, Neal R.; Reynolds, Carolyn A.; Reinecke, P. Alex; Uddstrom, Michael; Revell, Michael J.; Turner, Richard; Kaifler, Bernd; Wagner, Johannes S.; Mixa, Tyler; Kruse, Christopher G.; Nugent, Alison D.; Watson, Campbell D.; Gisinger, Sonja; Smith, Steven M.; Lieberman, Ruth S.; Laughman, Brian; Moore, James J.; Brown, William O.; Haggerty, Julie A.; Rockwell, Alison; Stossmeister, Gregory J.; Williams, Steven F.; Hernandez, Gonzalo; Murphy, Damian J.; Klekociuk, Andrew R.; Reid, Iain M.; Ma, Jun</t>
  </si>
  <si>
    <t>The Deep Propagating Gravity Wave Experiment (DEEPWAVE): An Airborne and Ground-Based Exploration of Gravity Wave Propagation and Effects from Their Sources throughout the Lower and Middle Atmosphere</t>
  </si>
  <si>
    <t>DOPPLER-SPREAD PARAMETERIZATION; POLAR STRATOSPHERIC CLOUDS; DIRECTIONAL WIND SHEAR; MOMENTUM FLUX; MOUNTAIN WAVES; LOWER THERMOSPHERE; RADAR OBSERVATIONS; JET-STREAM; MU-RADAR; RADIOSONDE OBSERVATIONS</t>
  </si>
  <si>
    <t>The Deep Propagating Gravity Wave Experiment (DEEPWAVE) was designed to quantify gravity wave (GW) dynamics and effects from orographic and other sources to regions of dissipation at high altitudes. The core DEEPWAVE field phase took place from May through July 2014 using a comprehensive suite of airborne and ground-based instruments providing measurements from Earth's surface to similar to 100 km. Austral winter was chosen to observe deep GW propagation to high altitudes. DEEPWAVE was based on South Island, New Zealand, to provide access to the New Zealand and Tasmanian hotspots of GW activity and additional GW sources over the Southern Ocean and Tasman Sea. To observe GWs up to similar to 100 km, DEEPWAVE utilized three new instruments built specifically for the National Science Foundation (NSF)/National Center for Atmospheric Research (NCAR) Gulfstream V (GV): a Rayleigh lidar, a sodium resonance lidar, and an advanced mesosphere temperature mapper. These measurements were supplemented by in situ probes, dropsondes, and a microwave temperature profiler on the GV and by in situ probes and a Doppler lidar aboard the German DLR Falcon. Extensive ground-based instrumentation and radiosondes were deployed on South Island, Tasmania, and Southern Ocean islands. Deep orographic GWs were a primary target but multiple flights also observed deep GWs arising from deep convection, jet streams, and frontal systems. Highlights include the following: 1) strong orographic GW forcing accompanying strong cross-mountain flows, 2) strong high-altitude responses even when orographic forcing was weak, 3) large-scale GWs at high altitudes arising from jet stream sources, and 4) significant flight-level energy fluxes and often very large momentum fluxes at high altitudes.</t>
  </si>
  <si>
    <t>[Fritts, David C.; Williams, Bifford P.; Bossert, Katrina; Mixa, Tyler; Lieberman, Ruth S.; Laughman, Brian] GATS Inc, Boulder, CO USA; [Smith, Ronald B.; Kruse, Christopher G.; Nugent, Alison D.; Watson, Campbell D.] Yale Univ, New Haven, CT USA; [Taylor, Michael J.; Pautet, P. -Dominique; Criddle, Neal R.] Utah State Univ, Logan, UT 84322 USA; [Doyle, James D.; Reynolds, Carolyn A.; Reinecke, P. Alex] Naval Res Lab, Monterey, CA USA; [Eckermann, Stephen D.] Naval Res Lab, Washington, DC USA; [Doernbrack, Andreas; Rapp, Markus; Kaifler, Bernd; Wagner, Johannes S.; Gisinger, Sonja] German Aerosp Ctr DLR, Munich, Germany; [Uddstrom, Michael; Revell, Michael J.; Turner, Richard] NIWA, Auckland, New Zealand; [Smith, Ronald B.] Boston Univ, Boston, MA 02215 USA; [Moore, James J.; Brown, William O.; Haggerty, Julie A.; Rockwell, Alison; Stossmeister, Gregory J.; Williams, Steven F.] Natl Ctr Atmospher Res, Earth Observing Lab, POB 3000, Boulder, CO 80307 USA; [Hernandez, Gonzalo] Univ Washington, Seattle, WA 98195 USA; [Murphy, Damian J.; Klekociuk, Andrew R.] Australian Antarctic Div, Kingston, Tas, Australia; [Reid, Iain M.] Univ Adelaide, Adelaide, SA, Australia; [Ma, Jun] Computat Phys Inc, Springfield, VA USA</t>
  </si>
  <si>
    <t>Yale University; Utah System of Higher Education; Utah State University; United States Department of Defense; United States Navy; Naval Research Laboratory; United States Department of Defense; United States Navy; Naval Research Laboratory; Helmholtz Association; German Aerospace Centre (DLR); National Institute of Water &amp; Atmospheric Research (NIWA) - New Zealand; Boston University; National Center Atmospheric Research (NCAR) - USA; University of Washington; University of Washington Seattle; Australian Antarctic Division; University of Adelaide; Computational Physics Inc</t>
  </si>
  <si>
    <t>Fritts, DC (corresponding author), Boulder GATS Inc, 3360 Mitchell Lane, Boulder, CO 80301 USA.</t>
  </si>
  <si>
    <t>dave@gats-inc.com</t>
  </si>
  <si>
    <t>Kaifler, Bernd/AAK-7237-2021; Rapp, Markus/K-6081-2015; Pautet, Pierre-Dominique/HRC-1681-2023; Reid, Iain/B-5681-2012; Klekociuk, Andrew/A-4498-2015; Mixa, Tyler/P-4883-2018</t>
  </si>
  <si>
    <t>Kaifler, Bernd/0000-0002-5891-242X; Rapp, Markus/0000-0003-1508-5900; Reid, Iain/0000-0003-2340-9047; Klekociuk, Andrew/0000-0003-3335-0034; Bossert, Katrina/0000-0002-7076-0449; Reynolds, Carolyn/0000-0003-4690-4171; Pautet, Pierre-Dominique/0000-0001-9452-7337; Mixa, Tyler/0000-0002-2590-5530; Kruse, Christopher/0000-0001-9808-8167; Brown, William/0000-0003-2220-0671; Gisinger, Sonja/0000-0001-8188-4458; Eckermann, Stephen/0000-0002-8534-1909; Stossmeister, Gregory/0000-0002-1182-3120; Hernandez, Gonzalo/0000-0003-4245-8696</t>
  </si>
  <si>
    <t>NSF [AGS-1261619, AGS-1338646, AGS-1338655, AGS-1061892, AGS-1338666, AGS-1338309, AGS-1343097, AGS-1338557]; NCAR/EOL; NRL; DLR; NIWA; AAD; New Zealand MET Service; PAE Ltd.; ECMWF; NOAA-NCEP; NRL Base Program [PE 0601153N]; Div Atmospheric &amp; Geospace Sciences; Directorate For Geosciences [1338646, 1338557] Funding Source: National Science Foundation; Div Atmospheric &amp; Geospace Sciences; Directorate For Geosciences [1123222] Funding Source: National Science Foundation</t>
  </si>
  <si>
    <t>NSF(National Science Foundation (NSF)); NCAR/EOL; NRL; DLR(Helmholtz AssociationGerman Aerospace Centre (DLR)); NIWA; AAD; New Zealand MET Service; PAE Ltd.; ECMWF; NOAA-NCEP; NRL Base Program; Div Atmospheric &amp; Geospace Sciences; Directorate For Geosciences(National Science Foundation (NSF)NSF - Directorate for Geosciences (GEO)); Div Atmospheric &amp; Geospace Sciences; Directorate For Geosciences(National Science Foundation (NSF)NSF - Directorate for Geosciences (GEO))</t>
  </si>
  <si>
    <t>The DEEPWAVE program was made possible through financial and/or in-kind support from many U.S. and international organizations, including NSF, NCAR/EOL, NRL, DLR, NIWA, AAD, the New Zealand MET Service, PAE Ltd., ECMWF, and NOAA-NCEP. Many individuals also contributed greatly in various ways (see appendix D). Financial support for U.S. participants was provided by NSF under Grants AGS-1261619 and AGS-1338646 (GATS); AGS-1338655 (Yale University); AGS-1061892 and AGS-1338666 (Utah State University); AGS-1338309 and AGS-1343097 (Boston University); and AGS-1338557 (CPI). The NRL investigators (Doyle, Eckermann, Reinecke, and Reynolds) are supported by the Chief of Naval Research through the NRL Base Program (PE 0601153N). We are indebted to Kerry Chuck and Phil Ambler for their very able assistance with airport logistics in Christchurch and to John Robinson and his very helpful NIWA staff at Lauder.</t>
  </si>
  <si>
    <t>10.1175/BAMS-D-14-00269.1</t>
  </si>
  <si>
    <t>DI9DY</t>
  </si>
  <si>
    <t>WOS:000373803000001</t>
  </si>
  <si>
    <t>Elvidge, AD; Renfrew, IA</t>
  </si>
  <si>
    <t>Elvidge, Andrew D.; Renfrew, Ian A.</t>
  </si>
  <si>
    <t>The Causes of Foehn Warming in the Lee of Mountains</t>
  </si>
  <si>
    <t>SOUTH FOEHN; WINDS; EVENTS; VALLEY</t>
  </si>
  <si>
    <t>The foehn effect is well known as the warming, drying, and cloud clearance experienced on the lee side of mountain ranges during flow over conditions. Foehn flows were first described more than a century ago when two mechanisms for this warming effect were postulated: an isentropic drawdown mechanism, where potentially warmer air from aloft is brought down adiabatically, and a latent heating and precipitation mechanism, where air cools less on ascent-owing to condensation and latent heat release-than on its dry descent on the lee side. Here, for the first time, the direct quantitative contribution of these and other foehn warming mechanisms is shown. The results suggest a new paradigm is required after it is demonstrated that a third mechanism, mechanical mixing of the foehn flow by turbulence, is significant. In fact, depending on the flow dynamics, any of the three warming mechanisms can dominate. A novel Lagrangian heat budget model, back trajectories, high-resolution numerical model output, and aircraft observations are all employed. The study focuses on a unique natural laboratory-one that allows unambiguous quantification of the leeside warming-namely, the Antarctic Peninsula and Larsen C Ice Shelf. The demonstration that three foehn warming mechanisms are important has ramifications for weather forecasting in mountainous areas and associated hazards such as ice shelf melt and wildfires.</t>
  </si>
  <si>
    <t>[Elvidge, Andrew D.; Renfrew, Ian A.] Univ E Anglia, Sch Environm Sci, Norwich NR4 7TJ, Norfolk, England</t>
  </si>
  <si>
    <t>University of East Anglia</t>
  </si>
  <si>
    <t>Elvidge, AD (corresponding author), Met Off, Atmospher Proc &amp; Parameterizat, FitzRoy Rd, Exeter EX1 3PB, Devon, England.</t>
  </si>
  <si>
    <t>andy.elvidge@metoffice.gov.uk</t>
  </si>
  <si>
    <t>Renfrew, Ian A/E-4057-2010</t>
  </si>
  <si>
    <t>Renfrew, Ian/0000-0001-9379-8215; Elvidge, Andrew/0000-0002-7099-902X</t>
  </si>
  <si>
    <t>British Antarctic Survey's air unit; NERC [NE/G014124/1]; Natural Environment Research Council [NE/G014124/1, NE/G013578/1] Funding Source: researchfish; NERC [NE/G014124/1, NE/G013578/1] Funding Source: UKRI</t>
  </si>
  <si>
    <t>British Antarctic Survey's air unit; NERC(UK Research &amp; Innovation (UKRI)Natural Environment Research Council (NERC)); Natural Environment Research Council(UK Research &amp; Innovation (UKRI)Natural Environment Research Council (NERC)); NERC(UK Research &amp; Innovation (UKRI)Natural Environment Research Council (NERC))</t>
  </si>
  <si>
    <t>The authors thank J.C. King, A. Orr, T. Lachlan-Cope, M. Joshi, and G. W. K. Moore for useful discussions and comments. We acknowledge invaluable help with the numerical modelling from M. Weeks, S. Webster, S. Vosper, S. L. Gray, and M. Sprenger. The simulations were carried out on the joint Met Office/NERC MONSooN computing system. We acknowledge the support of the British Antarctic Survey's air unit and field operations team in obtaining the aircraft observations-in particular the leadership of Tom Lachlan-Cope-as well as A. Kirchgaessner, P. Kuipers-Munnke, and J. C. King for the radiosonde data. This research was funded by NERC (NE/G014124/1) as part of the Orographic Flows and Climate over the Antarctic Peninsula (OFCAP) project.</t>
  </si>
  <si>
    <t>10.1175/BAMS-D-14-00194.1</t>
  </si>
  <si>
    <t>DI9EA</t>
  </si>
  <si>
    <t>WOS:000373803200001</t>
  </si>
  <si>
    <t>Statham, TM; Stark, SC; Snape, I; Stevens, GW; Mumford, KA</t>
  </si>
  <si>
    <t>Statham, Tom M.; Stark, Scott C.; Snape, Ian; Stevens, Geoffrey W.; Mumford, Kathryn A.</t>
  </si>
  <si>
    <t>A permeable reactive barrier (PRB) media sequence for the remediation of heavy metal and hydrocarbon contaminated water: A field assessment at Casey Station, Antarctica</t>
  </si>
  <si>
    <t>PRB; Groundwater remediation; Zero-valent iron; ZeoPro; Zeolite</t>
  </si>
  <si>
    <t>ZERO-VALENT IRON; LONG-TERM PERFORMANCE; GROUNDWATER REMEDIATION; NATURAL ZEOLITE; ION-EXCHANGE; REMOVAL; COLUMN; COPPER; AMMONIUM; CHROMATE</t>
  </si>
  <si>
    <t>A field trial was conducted at Casey Station, Antarctica to assess the suitability of a permeable reactive barrier (PRB) media sequence for the remediation of sites containing both hydrocarbon and heavy metal contamination. An existing PRB was modified to assess a sequence consisting of three sections: (i) Nutrient release/hydrocarbon sorption using ZeoPro (TM) and granular activated carbon; (ii) Phosphorus and heavy metal capture by granular iron and sand; (iii) Nutrient and excess iron capture by zeolite. The media sequence achieved a greater phosphorus removal capacity than previous Antarctic PRB configurations installed on site. Phosphorus concentrations were reduced during flow through the iron/sand section and iron concentrations were reduced within the zeolite section. However, non-ideal flow was detected during a tracer test and supported by analysis of media and liquid samples from the second summer of operation. Results indicate that the PRB media sequence trialled might be appropriate for other locations, especially less environmentally challenging contaminated sites. (C) 2016 Elsevier Ltd. All rights reserved.</t>
  </si>
  <si>
    <t>[Statham, Tom M.; Stevens, Geoffrey W.; Mumford, Kathryn A.] Univ Melbourne, Particulate Fluids Proc Ctr, Dept Chem &amp; Biomol Engn, Melbourne, Vic 3010, Australia; [Statham, Tom M.] JBS&amp;G, 43 Stubbs St, Kensington, Vic 3031, Australia; [Stark, Scott C.; Snape, Ian] Australian Antarctic Div, Dept Environm, 203 Channel Highway, Kingston, Tas 7050, Australia</t>
  </si>
  <si>
    <t>University of Melbourne; Melbourne Bioinformatics; Australian Antarctic Division</t>
  </si>
  <si>
    <t>Mumford, KA (corresponding author), Univ Melbourne, Particulate Fluids Proc Ctr, Dept Chem &amp; Biomol Engn, Melbourne, Vic 3010, Australia.</t>
  </si>
  <si>
    <t>Mumford, Kathryn A/M-6566-2015</t>
  </si>
  <si>
    <t>Stevens, Geoffrey/0000-0002-5788-4682</t>
  </si>
  <si>
    <t>Australian Antarctic Division [4029]; Australian Postgraduate Award</t>
  </si>
  <si>
    <t>Australian Antarctic Division; Australian Postgraduate Award(Australian Government)</t>
  </si>
  <si>
    <t>We thank Casey Station expeditioners for their support over the 2012/13 and 2013/14 seasons especially Danielle Camenzuli, Ben Freidman, Lachlan Mason and Johan Metz. This field work could not have been completed without the support of the Terrestrial and Nearshore Ecosystems group at the AAD especially Greg Hince, Lauren Wise, Daniel Wilkins, Rebecca McWatters and Greg Lagerewskij. We acknowledge the Australian Antarctic Division (Grant 4029) for financial support. T.S. also acknowledges the support of an Australian Postgraduate Award.</t>
  </si>
  <si>
    <t>10.1016/j.chemosphere.2015.12.133</t>
  </si>
  <si>
    <t>WOS:000370836100047</t>
  </si>
  <si>
    <t>Ding, RQ; Li, JP; Zheng, F; Feng, J; Liu, DQ</t>
  </si>
  <si>
    <t>Ding, Ruiqiang; Li, Jianping; Zheng, Fei; Feng, Jie; Liu, Deqiang</t>
  </si>
  <si>
    <t>Estimating the limit of decadal-scale climate predictability using observational data</t>
  </si>
  <si>
    <t>Decadal-scale climate predictability; Nonlinear local Lyapunov exponent (NLLE); Initial-value decadal predictability limit</t>
  </si>
  <si>
    <t>SEA-SURFACE TEMPERATURE; TEMPORAL-SPATIAL DISTRIBUTION; ARCTIC OSCILLATION SIGNATURE; HEMISPHERE ANNULAR MODE; NORTH-ATLANTIC; ATMOSPHERIC PREDICTABILITY; EL-NINO; POTENTIAL PREDICTABILITY; THERMOHALINE CIRCULATION; SEASONAL PREDICTABILITY</t>
  </si>
  <si>
    <t>Current coupled atmosphere-ocean general circulation models can not simulate decadal variability well, and model errors would have a significant impact on the estimation of decadal predictability. In this study, the nonlinear local Lyapunov exponent method is adopted to estimate the limit of decadal predictability based on 9-year low-pass filtered sea surface temperature (SST) and sea level pressure (SLP) observations. The results show that the limit of decadal predictability of the SST field is relatively large in the North Atlantic, North Pacific, Southern Ocean, tropical Indian Ocean, and western North Pacific, exceeding 7 years at most locations in these regions. In contrast, the limit of the SST field is relatively small in the tropical central-eastern Pacific (4-6 years). Similar to the SST field, the SLP field has a relatively large limit of decadal predictability over the Antarctic, North Pacific, and tropical Indian Ocean (&gt; 6 years). In addition, a relatively large limit of decadal predictability of the SLP field also occurs over the land regions of Africa, India, and South America. Distributions of the limit of decadal predictability of both the SST and SLP fields are almost consistent with those of their intensity and persistence on decadal timescales. By examining the limit of decadal predictability of several major climate modes, we found that the limit of decadal predictability of the Pacific decadal oscillation (PDO) is about 9 years, slightly lower than that of the Atlantic multidecadal oscillation (AMO) (about 11 years). In contrast, the northern and southern annular modes have limits of decadal predictability of about 4 and 9 years, respectively. However, the above limits estimated using time-filtered data may overestimate the predictability of decadal variability due to the use of time filtering. Filtered noise with the same spectral characteristics as the PDO and AMO, has a predictability of about 3 years. Future work is required with a longer period of observations or using a more realistic model of decadal variability to assess the real-time decadal predictability.</t>
  </si>
  <si>
    <t>[Ding, Ruiqiang; Feng, Jie; Liu, Deqiang] Chinese Acad Sci, Inst Atmospher Phys, State Key Lab Numer Modeling Atmospher Sci &amp; Geop, Beijing 100029, Peoples R China; [Li, Jianping] Beijing Normal Univ, Coll Global Change &amp; Earth Syst Sci GCESS, Beijing 100875, Peoples R China; [Li, Jianping] Joint Ctr Global Change Studies, Beijing 100875, Peoples R China; [Zheng, Fei] Chinese Acad Sci, Inst Atmospher Phys, Int Ctr Climate &amp; Environm Sci ICCES, Beijing 100029, Peoples R China</t>
  </si>
  <si>
    <t>Chinese Academy of Sciences; Institute of Atmospheric Physics, CAS; Beijing Normal University; Chinese Academy of Sciences; Institute of Atmospheric Physics, CAS</t>
  </si>
  <si>
    <t>Li, JP (corresponding author), Beijing Normal Univ, Coll Global Change &amp; Earth Syst Sci GCESS, Beijing 100875, Peoples R China.;Li, JP (corresponding author), Joint Ctr Global Change Studies, Beijing 100875, Peoples R China.</t>
  </si>
  <si>
    <t>ljp@lasg.iap.ac.cn</t>
  </si>
  <si>
    <t>Feng, Jie/R-2555-2018; Zheng, Fei/O-8876-2016; Li, Jianping/I-2661-2012; Liu, Deqiang/IUO-6968-2023; Ding, Ruiqiang/AAF-9948-2021; Feng, Jie/A-4805-2017</t>
  </si>
  <si>
    <t>Feng, Jie/0000-0002-2480-2003; Liu, Deqiang/0000-0001-6973-5601; Ding, Ruiqiang/0000-0003-4139-3843;</t>
  </si>
  <si>
    <t>973 project of China [2012CB955200]; National Natural Science Foundation of China [41175069]; China Special Fund for Meteorological Research in the Public Interest [GYHY201306031]; Chinese Academy of Sciences [XDA11010303]</t>
  </si>
  <si>
    <t>973 project of China(National Basic Research Program of China); National Natural Science Foundation of China(National Natural Science Foundation of China (NSFC)); China Special Fund for Meteorological Research in the Public Interest; Chinese Academy of Sciences(Chinese Academy of Sciences)</t>
  </si>
  <si>
    <t>We wish to thank the anonymous reviewers for their constructive comments and suggestions, which helped to substantially improve the quality of this paper. This research was jointly supported by the 973 project of China (2012CB955200), the National Natural Science Foundation of China (41175069), the China Special Fund for Meteorological Research in the Public Interest (GYHY201306031), and the Strategic Priority Research Program of the Chinese Academy of Sciences (XDA11010303).</t>
  </si>
  <si>
    <t>10.1007/s00382-015-2662-6</t>
  </si>
  <si>
    <t>DF1AD</t>
  </si>
  <si>
    <t>WOS:000371069900012</t>
  </si>
  <si>
    <t>Swan, CM; Vogt, M; Gruber, N; Laufkoetter, C</t>
  </si>
  <si>
    <t>Swan, Chantal M.; Vogt, Meike; Gruber, Nicolas; Laufkoetter, Charlotte</t>
  </si>
  <si>
    <t>A global seasonal surface ocean climatology of phytoplankton types based on CHEMTAX analysis of HPLC pigments</t>
  </si>
  <si>
    <t>Phytoplankton; Global; Climatology; HPLC; Pigments; Chemotaxonomy; CHEMTAX</t>
  </si>
  <si>
    <t>COMMUNITY STRUCTURE; ARABIAN SEA; CLASS ABUNDANCES; SOUTHERN-OCEAN; NORTH-ATLANTIC; PRIMARY PRODUCTIVITY; TRICHODESMIUM SPP.; SOUTHWEST MONSOON; FUNCTIONAL TYPES; AUSTRAL SUMMER</t>
  </si>
  <si>
    <t>Much advancement has been made in recent years in field data assimilation, remote sensing and ecosystem modeling, yet our global view of phytoplankton biogeography beyond chlorophyll biomass is still a cursory taxonomic picture with vast areas of the open ocean requiring field validations. High performance liquid chromatography (HPLC) pigment data combined with inverse methods offer an advantage over many other phytoplankton quantification measures by way of providing an immediate perspective of the whole phytoplankton community in a sample as a function of chlorophyll biomass. Historically, such chemotaxonomic analysis has been conducted mainly at local spatial and temporal scales in the ocean. Here, we apply a widely tested inverse approach, CHEMTAX, to a global climatology of pigment observations from HPLC. This study marks the first systematic and objective global application of CHEMTAX, yielding a seasonal climatology comprised of similar to 1500 1 degrees x 1 degrees global grid points of the major phytoplankton pigment types in the ocean characterizing cyanobacteria, haptophytes, chlorophytes, cryptophytes, dinofiagellates, and diatoms, with results validated against prior regional studies where possible. Key findings from this new global view of specific phytoplankton abundances from pigments are a) the large global proportion of marine haptophytes (comprising 32 5% of total chlorophyll), whose biogeochemical functional roles are relatively unknown, and b) the contrasting spatial scales of complexity in global community structure that can be explained in part by regional oceanographic conditions. The results are publically accessible via doi.pangaea.de/10.1594/PANGAEA.855412, and will guide future parameterizations of marine ecosystem models exploring the link between phytoplankton community structure and marine biogeochemical cycles. (C) 2015 Elsevier Ltd. All rights reserved.</t>
  </si>
  <si>
    <t>[Swan, Chantal M.; Vogt, Meike; Gruber, Nicolas; Laufkoetter, Charlotte] Swiss Fed Inst Technol, Inst Biogeochem &amp; Pollutant Dynam, Zurich, Switzerland; [Laufkoetter, Charlotte] Princeton Univ, Princeton, NJ 08544 USA</t>
  </si>
  <si>
    <t>Swiss Federal Institutes of Technology Domain; ETH Zurich; Princeton University</t>
  </si>
  <si>
    <t>Swan, CM (corresponding author), Swiss Fed Inst Technol, Inst Biogeochem &amp; Pollutant Dynam, Zurich, Switzerland.</t>
  </si>
  <si>
    <t>Gruber, Nicolas/B-7013-2009; Vogt, Meike/I-7457-2017</t>
  </si>
  <si>
    <t>Gruber, Nicolas/0000-0002-2085-2310; Laufkotter, Charlotte/0000-0001-5738-1121; Vogt, Meike/0000-0002-0608-1935</t>
  </si>
  <si>
    <t>Swiss National Science Foundation</t>
  </si>
  <si>
    <t>Swiss National Science Foundation(Swiss National Science Foundation (SNSF))</t>
  </si>
  <si>
    <t>The work was made possible by funds from the Swiss National Science Foundation granted to N. Gruber and M. Vogt. The authors gratefully acknowledge the support of the MAREDAT data contributors, Simon Wright of the Australian Antarctic Division who provided initial guidance and the original CHEMTAX code, and two reviewers for their time and constructive consideration of the work.</t>
  </si>
  <si>
    <t>10.1016/j.dsr.2015.12.002</t>
  </si>
  <si>
    <t>DF5AN</t>
  </si>
  <si>
    <t>WOS:000371364300011</t>
  </si>
  <si>
    <t>Wright, NM; Seton, M; Williams, SE; Müller, RD</t>
  </si>
  <si>
    <t>Wright, Nicky M.; Seton, Maria; Williams, Simon E.; Mueller, R. Dietmar</t>
  </si>
  <si>
    <t>The Late Cretaceous to recent tectonic history of the Pacific Ocean basin</t>
  </si>
  <si>
    <t>Pacific; Relative plate motions; Seafloor spreading; Plate reconstruction; Tectonics</t>
  </si>
  <si>
    <t>ALEUTIAN ABYSSAL-PLAIN; PLATE MOTIONS; ANTARCTIC PENINSULA; SUBDUCTION HISTORY; FINITE ROTATIONS; SPREADING CENTER; CENOZOIC MOTION; WESTERN PACIFIC; AMERICAN PLATES; SOUTH-AMERICA</t>
  </si>
  <si>
    <t>A vast ocean basin has spanned the region between the Americas, Asia and Australasia for well over 100 Myr, represented today by the Pacific Ocean. Its evolution includes a number of plate fragmentation and plate capture events, such as the formation of the Vancouver, Nazca, and Cocos plates from the break-up of the Farallon plate, and the incorporation of the Bellingshausen, Kula, and Aluk (Phoenix) plates, which have been studied individually, but never been synthesised into one coherent model of ocean basin evolution. Previous regional tectonic models of the Pacific typically restrict their scope to either the North or South Pacific, and global kinematic models fail to incorporate some of the complexities in the Pacific plate evolution (e.g. the independent motion of the Bellingshausen and Aluk plates), thereby limiting their usefulness for understanding tectonic events and processes occurring in the Pacific Ocean perimeter. We derive relative plate motions (with 95% uncertainties) for the Pacific-Farallon/Vancouver, Kula-Pacific, Bellingshausen-Pacific, and early Pacific-West Antarctic spreading systems, based on recent data including marine gravity anomalies, well-constrained fracture zone traces and a large compilation of magnetic anomaly identifications. We find our well-constrained relative plate motions result in a good match to the fracture zone traces and magnetic anomaly identifications in both the North and South Pacific. In conjunction with recently published and well-constrained relative plate motions for other Pacific spreading systems (e.g. Aluk-West Antarctic, Pacific-Cocos, recent Pacific-West Antarctic spreading), we explore variations in the age of the oceanic crust, seafloor spreading rates and crustal accretion and find considerable refinements have been made in the central and southern Pacific. Asymmetries in crustal accretion within the overall Pacific basin (where both flanks of the spreading system are preserved) have typically deviated less than 5% from symmetry, and large variations in crustal accretion along the southern East Pacific Rise (i.e. Pacific-Nazca/Farallon spreading) appear to be unique to this spreading corridor. Through a relative plate motion circuit, we explore the implied convergence history along the North and South Americas, where we find that the inclusion of small tectonic plate fragments such as the Aluk plate are critical for reconciling the history of convergence with onshore geological evidence. (C) 2015 Elsevier B.V. All rights reserved.</t>
  </si>
  <si>
    <t>[Wright, Nicky M.; Seton, Maria; Williams, Simon E.; Mueller, R. Dietmar] Univ Sydney, Sch Geosci, EarthByte Grp, Sydney, NSW 2006, Australia</t>
  </si>
  <si>
    <t>University of Sydney</t>
  </si>
  <si>
    <t>Wright, NM (corresponding author), Univ Sydney, Sch Geosci, EarthByte Grp, Sydney, NSW 2006, Australia.</t>
  </si>
  <si>
    <t>nicky.wright@sydney.edu.au</t>
  </si>
  <si>
    <t>Müller, Dietmar/L-1200-2019; Seton, Maria/H-8272-2013</t>
  </si>
  <si>
    <t>Müller, Dietmar/0000-0002-3334-5764; Seton, Maria/0000-0001-8541-1367; Wright, Nicky/0000-0002-5600-3193; Williams, Simon/0000-0003-4670-8883</t>
  </si>
  <si>
    <t>Australian Postgraduate Award; ARC grant [FT130101564, FL0992245]</t>
  </si>
  <si>
    <t>Australian Postgraduate Award(Australian Government); ARC grant(Australian Research Council)</t>
  </si>
  <si>
    <t>We thank Graeme Eagles and an anonymous reviewer for their detailed reviews, which greatly improved the manuscript. N.M.W. was supported by an Australian Postgraduate Award, M.S. by ARC grant FT130101564 and S.E.W. and R.D.M. by ARC grant FL0992245. Figures were constructed using Generic Mapping</t>
  </si>
  <si>
    <t>10.1016/j.earscirev.2015.11.015</t>
  </si>
  <si>
    <t>DH7AR</t>
  </si>
  <si>
    <t>WOS:000372943900007</t>
  </si>
  <si>
    <t>Levy, H; Clucas, GV; Rogers, AD; Leaché, AD; Ciborowski, KL; Polito, MJ; Lynch, HJ; Dunn, MJ; Hart, T</t>
  </si>
  <si>
    <t>Levy, Hila; Clucas, Gemma V.; Rogers, Alex D.; Leache, Adam D.; Ciborowski, Kate L.; Polito, Michael J.; Lynch, Heather J.; Dunn, Michael J.; Hart, Tom</t>
  </si>
  <si>
    <t>Population structure and phylogeography of the Gentoo Penguin (Pygoscelis papua) across the Scotia Arc</t>
  </si>
  <si>
    <t>Bayesian phylogeography; dispersal; microsatellites; penguins; population genetics; Pygoscelis papua</t>
  </si>
  <si>
    <t>ANTARCTIC PENINSULA; EMPEROR PENGUIN; SOUTHERN-OCEAN; CLIMATE-CHANGE; SEA-ICE; GENETIC DIFFERENTIATION; ENVIRONMENTAL-CHANGE; MICROSATELLITE LOCI; ADELIE PENGUINS; FLIPPER BANDS</t>
  </si>
  <si>
    <t>Climate change, fisheries' pressure on penguin prey, and direct human disturbance of wildlife have all been implicated in causing large shifts in the abundance and distribution of penguins in the Southern Ocean. Without mark-recapture studies, understanding how colonies form and, by extension, how ranges shift is challenging. Genetic studies, particularly focused on newly established colonies, provide a snapshot of colonization and can reveal the extent to which shifts in abundance and occupancy result from changes in demographic rates (e.g., reproduction and survival) or migration among suitable patches of habitat. Here, we describe the population structure of a colonial seabird breeding across a large latitudinal range in the Southern Ocean. Using multilocus microsatellite genotype data from 510 Gentoo penguin (Pygoscelis papua) individuals from 14 colonies along the Scotia Arc and Antarctic Peninsula, together with mitochondrial DNA data, we find strong genetic differentiation between colonies north and south of the Polar Front, that coincides geographically with the taxonomic boundary separating the subspecies P. p. papua and P. p. ellsworthii. Using a discrete Bayesian phylogeographic approach, we show that southern Gentoos expanded from a possible glacial refuge in the center of their current range, colonizing regions to the north and south through rare, long-distance dispersal. Our findings show that this dispersal is important for new colony foundation and range expansion in a seabird species that ordinarily exhibits high levels of natal philopatry, though persistent oceanographic features serve as barriers to movement.</t>
  </si>
  <si>
    <t>[Levy, Hila; Clucas, Gemma V.; Rogers, Alex D.; Hart, Tom] Univ Oxford, Dept Zool, S Parks Rd, Oxford OX1 3PS, England; [Levy, Hila] USAF, Air Force Inst Technol, 2950 Hobson Way, Wright Patterson AFB, OH 45433 USA; [Clucas, Gemma V.] Univ Southampton, Ocean &amp; Earth Sci, Waterfront Campus,European Way, Southampton SO14 3ZH, Hants, England; [Leache, Adam D.] Univ Washington, Dept Biol, Box 351800, Seattle, WA 98195 USA; [Leache, Adam D.] Univ Washington, Burke Museum Nat Hist &amp; Culture, Box 351800, Seattle, WA 98195 USA; [Ciborowski, Kate L.] Univ Bristol, Dept Biol, Woodland Rd, Bristol BS8 1UG, Avon, England; [Polito, Michael J.] Louisiana State Univ, Dept Oceanog &amp; Coastal Sci, Baton Rouge, LA 70803 USA; [Lynch, Heather J.] SUNY Stony Brook, Dept Ecol &amp; Evolut, Stony Brook, NY 11794 USA; [Dunn, Michael J.] British Antarctic Survey, High Cross,Madingley Rd, Cambridge CB3 0ET, England</t>
  </si>
  <si>
    <t>University of Oxford; Air Force Institute of Technology (AFIT); United States Department of Defense; United States Air Force; US Air Force Research Laboratory; University of Southampton; University of Washington; University of Washington Seattle; University of Washington; University of Washington Seattle; University of Bristol; Louisiana State University System; Louisiana State University; State University of New York (SUNY) System; State University of New York (SUNY) Stony Brook; UK Research &amp; Innovation (UKRI); Natural Environment Research Council (NERC); NERC British Antarctic Survey</t>
  </si>
  <si>
    <t>Levy, H (corresponding author), Univ Oxford, Dept Zool, S Parks Rd, Oxford OX1 3PS, England.</t>
  </si>
  <si>
    <t>hila.levy@zoo.ox.ac.uk</t>
  </si>
  <si>
    <t>Clucas, Gemma/ABF-9073-2021; Polito, Michael/G-9118-2012</t>
  </si>
  <si>
    <t>Polito, Michael/0000-0001-8639-4431; Dunn, Michael/0000-0003-4633-5466; Levy, Hila/0000-0001-9204-6417; Clucas, Gemma/0000-0002-4305-1719; Rogers, Alex David/0000-0002-4864-2980</t>
  </si>
  <si>
    <t>Falkland Islands Government Environmental Planning Department; Charities Advisory Trust; John Ray Trust; Sigma Xi; Rhodes Trust; British International Helicopters Ltd in the Falkland Islands; US Air Force; Royal Air Force; Natural Environment Research Council [bas0100035, NBAF010001] Funding Source: researchfish; NERC [NBAF010001, bas0100035] Funding Source: UKRI</t>
  </si>
  <si>
    <t>Falkland Islands Government Environmental Planning Department; Charities Advisory Trust; John Ray Trust; Sigma Xi; Rhodes Trust; British International Helicopters Ltd in the Falkland Islands; US Air Force(United States Department of Defense); Royal Air Force; Natural Environment Research Council(UK Research &amp; Innovation (UKRI)Natural Environment Research Council (NERC)); NERC(UK Research &amp; Innovation (UKRI)Natural Environment Research Council (NERC))</t>
  </si>
  <si>
    <t>This study was funded by the Falkland Islands Government Environmental Planning Department, the Charities Advisory Trust, the John Ray Trust, Sigma Xi, and the Rhodes Trust. We thank British International Helicopters Ltd in the Falkland Islands, the US Air Force, and Royal Air Force for their support of this project.</t>
  </si>
  <si>
    <t>10.1002/ece3.1929</t>
  </si>
  <si>
    <t>DH0QI</t>
  </si>
  <si>
    <t>Green Accepted, gold, Green Published</t>
  </si>
  <si>
    <t>WOS:000372488300023</t>
  </si>
  <si>
    <t>Creighton, C; Hobday, AJ; Lockwood, M; Pecl, GT</t>
  </si>
  <si>
    <t>Creighton, Colin; Hobday, Alistair J.; Lockwood, Michael; Pecl, Gretta T.</t>
  </si>
  <si>
    <t>Adapting Management of Marine Environments to a Changing Climate: A Checklist to Guide Reform and Assess Progress</t>
  </si>
  <si>
    <t>ECOSYSTEMS</t>
  </si>
  <si>
    <t>marine biodiversity; fisheries management; marine conservation; climate change; adaptation; transformation</t>
  </si>
  <si>
    <t>SOUTHERN BLUEFIN TUNA; BIODIVERSITY CONSERVATION; AUSTRALIAN MARINE; RAPID ASSESSMENT; CHANGE IMPACTS; ADAPTATION; VULNERABILITY; GOVERNANCE; FISHERIES; OCEAN</t>
  </si>
  <si>
    <t>Documented impacts of climate change on marine systems indicate widespread changes in many geographic regions and throughout all levels of the ocean's food webs. Oceans provide the main source of animal protein for over a billion people, and contribute significantly to food security for billions more. Clearly, if we are to continue to derive these benefits, then the rate of adaptation in our human systems needs to at least keep pace with the rate of ecological change for these benefits to continue. An Australia-wide program of research into marine biodiversity and fisheries explored the opportunities for policy and management to respond to a changing climate. The research program spanned all Australian estuarine-nearshore and marine environments-tropical, subtropical, and temperate-and focused on two key marine sectors: biodiversity conservation and fisheries (commercial, recreational, and aquaculture). Key findings from across this strategic and extensive research investment were the need to foster resilience through habitat repair and protection, improve resource allocation strategies, fine-tune fisheries management systems, and enhance whole of government approaches and policies. Building on these findings, from a climate adaptation perspective, we generated a checklist of thirteen elements encompassing all project findings to assess and steer progress towards improving marine policy and management. These elements are grouped in three broad areas: preconditioning; future proofing; and transformational changes and opportunities. Arising from these elements is a suite of priority strategies that provide guidance for marine managers, policy practitioners, and stakeholders as they prepare for a future under climate change. As the research program encompassed a wide range of habitats and ecosystems, spanned a latitudinal range of over 30A degrees, and considered a diversity of management systems and approaches, many of these elements and strategies will be applicable in a global context.</t>
  </si>
  <si>
    <t>[Creighton, Colin] Fisheries Res &amp; Dev Corp, Deakin West, ACT 2600, Australia; [Hobday, Alistair J.] CSIRO, Oceans &amp; Atmosphere, Hobart, Tas 7000, Australia; [Hobday, Alistair J.; Pecl, Gretta T.] Univ Tasmania, Ctr Marine Socioecol, 20 Castray Esplanade, Battery Point, Tas 7004, Australia; [Lockwood, Michael] Univ Tasmania, Sch Land &amp; Food, Geog &amp; Spatial Sci, Private Bag 78, Hobart, Tas 7001, Australia; [Pecl, Gretta T.] Univ Tasmania, Inst Marine &amp; Antarctic Studies, Private Bag 49, Hobart, Tas 7001, Australia; [Creighton, Colin] 117 Lex Creek Rd, Crediton, Qld 4757, Australia</t>
  </si>
  <si>
    <t>Commonwealth Scientific &amp; Industrial Research Organisation (CSIRO); University of Tasmania; University of Tasmania; University of Tasmania</t>
  </si>
  <si>
    <t>Creighton, C (corresponding author), Fisheries Res &amp; Dev Corp, Deakin West, ACT 2600, Australia.;Creighton, C (corresponding author), 117 Lex Creek Rd, Crediton, Qld 4757, Australia.</t>
  </si>
  <si>
    <t>colinmwnrm@bigpond.com</t>
  </si>
  <si>
    <t>Mokhtara, Charafeddine/ACV-5174-2022; Pecl, Gretta/D-7267-2011; Hobday, Alistair/A-1460-2012</t>
  </si>
  <si>
    <t>Mokhtara, Charafeddine/0000-0002-4643-3798; Pecl, Gretta/0000-0003-0192-4339;</t>
  </si>
  <si>
    <t>Australian Government; CSIRO; State Government</t>
  </si>
  <si>
    <t>Australian Government(Australian Government); CSIRO(Commonwealth Scientific &amp; Industrial Research Organisation (CSIRO)); State Government</t>
  </si>
  <si>
    <t>The Climate Change Adaptation-Marine Biodiversity and Fisheries research initiative was supported by Australian and State Governments, CSIRO, and many Australian universities. We acknowledge the contributing research efforts led by teams in each of the projects we describe here, and the comments of the anonymous reviewers and editor in improving the manuscript.</t>
  </si>
  <si>
    <t>1432-9840</t>
  </si>
  <si>
    <t>1435-0629</t>
  </si>
  <si>
    <t>Ecosystems</t>
  </si>
  <si>
    <t>10.1007/s10021-015-9925-2</t>
  </si>
  <si>
    <t>DG1AM</t>
  </si>
  <si>
    <t>WOS:000371797400001</t>
  </si>
  <si>
    <t>Xavier, JC; Raymond, B; Jones, DC; Griffiths, H</t>
  </si>
  <si>
    <t>Xavier, Jose C.; Raymond, Ben; Jones, Daniel C.; Griffiths, Huw</t>
  </si>
  <si>
    <t>Biogeography of Cephalopods in the Southern Ocean Using Habitat Suitability Prediction Models</t>
  </si>
  <si>
    <t>biogeography; Southern Ocean; cephalopods; habitat suitability models</t>
  </si>
  <si>
    <t>INTERANNUAL VARIATION; APTENODYTES-FORSTERI; FORAGING ECOLOGY; STOMACH-CONTENTS; PENGUIN CHICKS; PRYDZ BAY; SQUID; DIET; INFORMATION; ALBATROSSES</t>
  </si>
  <si>
    <t>Our understanding of how environmental change in the Southern Ocean will affect marine diversity, habitats and distribution remain limited. The habitats and distributions of Southern Ocean cephalopods are generally poorly understood, and yet such knowledge is necessary for research and conservation management purposes, as well as for assessing the potential impacts of environmental change. We used net-catch data to develop habitat suitability models for 15 of the most common cephalopods in the Southern Ocean. Using modeled habitat suitability, we assessed favorable areas for each species and examined the relationships between species distribution and environmental parameters. The results compared favorably with the known ecology of these species and with spatial patterns from diet studies of squid predators. The individual habitat suitability models were overlaid to generate a hotspot index of species richness, which showed higher numbers of squid species associated with various fronts of the Antarctic circumpolar current. Finally, we reviewed the overall distribution of these species and their importance in the diet of Southern Ocean predators. There is a need for further studies to explore the potential impacts of future climate change on Southern Ocean squid.</t>
  </si>
  <si>
    <t>[Xavier, Jose C.] Univ Coimbra, Marine &amp; Environm Sci Ctr MARE, Dept Life Sci, P-3004517 Coimbra, Portugal; [Xavier, Jose C.; Jones, Daniel C.; Griffiths, Huw] NERC, British Antarctic Survey, Madingley Rd, Cambridge CB3 0ET, England; [Raymond, Ben] Australian Antarctic Div, Dept Environm, Kingston, Tas, Australia; [Raymond, Ben] Univ Tasmania, Inst Marine &amp; Antarctic Studies, Hobart, Tas, Australia; [Raymond, Ben] Univ Tasmania, Antarctic Climate &amp; Ecosyst Cooperat Res Ctr, Hobart, Tas, Australia</t>
  </si>
  <si>
    <t>Universidade de Coimbra; UK Research &amp; Innovation (UKRI); Natural Environment Research Council (NERC); NERC British Antarctic Survey; Australian Antarctic Division; University of Tasmania; Antarctic Climate &amp; Ecosystems Cooperative Research Centre (ACE CRC); University of Tasmania</t>
  </si>
  <si>
    <t>Xavier, JC (corresponding author), Univ Coimbra, Marine &amp; Environm Sci Ctr MARE, Dept Life Sci, P-3004517 Coimbra, Portugal.;Xavier, JC (corresponding author), NERC, British Antarctic Survey, Madingley Rd, Cambridge CB3 0ET, England.</t>
  </si>
  <si>
    <t>jccx@cantab.net</t>
  </si>
  <si>
    <t>Griffiths, Huw J/D-4234-2009; Xavier, José/KFB-6739-2024</t>
  </si>
  <si>
    <t>Griffiths, Huw J/0000-0003-1764-223X; Jones, Dani/0000-0002-8701-4506; /0000-0002-9621-6660</t>
  </si>
  <si>
    <t>British Antarctic Survey; Australian Antarctic Division; Ministry of Science and Higher Education, Portugal (Fundacao para a Ciencia e a Tecnologia; FCT); Scientific Committee for Antarctic Research program (SCAR) AnT-ERA; Integrating Climate and Ecosystem Dynamics of the Southern Ocean (ICED); Investigator FCT program [IF/00616/2013]; SCAR AntECO; NERC [bas0100036, bas0100035, NE/J008494/1, bas0100033] Funding Source: UKRI; Natural Environment Research Council [NE/J008494/1, bas0100035, bas0100033, bas0100036] Funding Source: researchfish</t>
  </si>
  <si>
    <t>British Antarctic Survey; Australian Antarctic Division; Ministry of Science and Higher Education, Portugal (Fundacao para a Ciencia e a Tecnologia; FCT); Scientific Committee for Antarctic Research program (SCAR) AnT-ERA; Integrating Climate and Ecosystem Dynamics of the Southern Ocean (ICED); Investigator FCT program(Fundacao para a Ciencia e a Tecnologia (FCT)); SCAR AntECO; NERC(UK Research &amp; Innovation (UKRI)Natural Environment Research Council (NERC)); Natural Environment Research Council(UK Research &amp; Innovation (UKRI)Natural Environment Research Council (NERC))</t>
  </si>
  <si>
    <t>The work was supported by the British Antarctic Survey, under the research programs Long-Term Monitoring of Cephalopod Components in the diets of High Predators-CEPH (within the British Antarctic Survey Ecosystems Program), Australian Antarctic Division, and the Ministry of Science and Higher Education, Portugal (Fundacao para a Ciencia e a Tecnologia; FCT) with the Scientific Committee for Antarctic Research programs (SCAR) AnT-ERA and SCAR AntECO and Integrating Climate and Ecosystem Dynamics of the Southern Ocean (ICED). This study is part of the British Antarctic Survey Polar Science for Planet Earth (PSPE) Programme. An updated version of the NIWA OBIS data was provided by Kevin Mackay. JX is supported by the Investigator FCT program (IF/00616/2013).</t>
  </si>
  <si>
    <t>10.1007/s10021-015-9926-1</t>
  </si>
  <si>
    <t>WOS:000371797400002</t>
  </si>
  <si>
    <t>Pagel, ÉC; Reis, NC; de Alvarez, CE; Santos, JM; Conti, MM; Boldrini, RS; Kerr, AS</t>
  </si>
  <si>
    <t>Pagel, Erica Coelho; Reis, Neyval Costa, Jr.; de Alvarez, Cristina Engel; Santos, Jane Meri; Conti, Melina Moreira; Boldrini, Ricardo Salvador; Kerr, Americo Sansigolo</t>
  </si>
  <si>
    <t>Characterization of the indoor particles and their sources in an Antarctic research station</t>
  </si>
  <si>
    <t>ENVIRONMENTAL MONITORING AND ASSESSMENT</t>
  </si>
  <si>
    <t>Particulate matter; Indoor particles; Indoor air quality; Antarctic station</t>
  </si>
  <si>
    <t>SIZE DISTRIBUTION; ELEMENTAL COMPOSITION; ATMOSPHERIC AEROSOLS; ULTRAFINE PARTICLES; FINE PARTICLES; BLACK CARBON; OUTDOOR; COOKING; PM10</t>
  </si>
  <si>
    <t>Many studies have been carried out on the environmental impact of the research stations on the Antarctic continent. However, the assessment of indoor air quality in these confined environments has been neglected. The main objectives of this study are to investigate the granulometric distribution of the indoor particles in the different compartments of the Brazilian Antarctic Station, to examine the number and mass concentration of the indoor particles, to conduct chemical and morphological analyses of the indoor PM2.5, and to identify the possible sources of the PM. The results showed that Na, K, Cl, Fe, Zn, S and Si were the main elements detected. High levels of black carbon were recorded in the workshop, which may be associated with the use of diesel vehicles. To identify the human activities related to the indoor particle emission in the station, the size distribution of the particles in the living room was monitored for seven consecutive days, during normal station operation. It was possible to identify the influence of individual processes, such as incineration, cooking and the movement of people, upon the particle size number concentration. The indoor/outdoor (I/O) ratio for the total suspended particles (TSP), PM10, PM2.5 and PM1 measured was significantly larger than those reported for urban buildings. In general, the I/O ratio distribution for all the compartments shows peak values between 2.5 and 10 mu m, which is often related to human activity, such as cleaning, personnel circulation or clothing surfaces. The maximum I/O ratio at this range varied from 12 to 60. In addition, the compartments affected by combustion processes tend to present a significant number of submicron particles.</t>
  </si>
  <si>
    <t>[Pagel, Erica Coelho; Reis, Neyval Costa, Jr.; Santos, Jane Meri] Univ Fed Espirito Santo, Dept Environm Engn, Av Fernando Ferrari 514, BR-29060910 Vitoria, ES, Brazil; [Pagel, Erica Coelho; de Alvarez, Cristina Engel] Univ Fed Espirito Santo, Dept Architecture &amp; Urbanism, Av Fernando Ferrari 514, BR-29060910 Vitoria, ES, Brazil; [Conti, Melina Moreira; Boldrini, Ricardo Salvador] IFES, Av Vitoria 1729, BR-29040780 Vitoria, ES, Brazil; [Kerr, Americo Sansigolo] Univ Sao Paulo, Inst Phys, POB 66318, BR-05314970 Sao Paulo, SP, Brazil</t>
  </si>
  <si>
    <t>Universidade Federal do Espirito Santo; Universidade Federal do Espirito Santo; Universidade de Sao Paulo</t>
  </si>
  <si>
    <t>Pagel, ÉC (corresponding author), Univ Fed Espirito Santo, Dept Environm Engn, Av Fernando Ferrari 514, BR-29060910 Vitoria, ES, Brazil.</t>
  </si>
  <si>
    <t>erica.pagel@gmail.com</t>
  </si>
  <si>
    <t>Peixoto, Melina/GNW-4133-2022; de Alvarez, Cristina Engel/J-4629-2012; Reis, Neyval costa/A-4778-2013; santos, jane meri/L-4325-2016</t>
  </si>
  <si>
    <t>Reis, Neyval costa/0000-0002-6159-4063; santos, jane meri/0000-0003-3933-2849; Pagel, Erica Coelho/0000-0003-4484-1963</t>
  </si>
  <si>
    <t>FAPES/CNPQ PRONEX; CAPES; INCT-APA; PROANTAR; FINEP</t>
  </si>
  <si>
    <t>FAPES/CNPQ PRONEX(Conselho Nacional de Desenvolvimento Cientifico e Tecnologico (CNPQ)); CAPES(Coordenacao de Aperfeicoamento de Pessoal de Nivel Superior (CAPES)); INCT-APA; PROANTAR; FINEP(Financiadora de Inovacao e Pesquisa (Finep))</t>
  </si>
  <si>
    <t>The authors wish to thank the FAPES/CNPQ PRONEX, CAPES, INCT-APA, PROANTAR and FINEP, for financial or equipment support, and the Brazilian Navy and Air Force for their logistical support. We would like to dedicate this work to the memory of Sargent Roberto Lopes dos Santos and Soldier Carlos Alberto Vieira Figueiredo, who both died in their heroic attempts to control the fire at the Comandante Ferraz Antarctic Station in February 2012.</t>
  </si>
  <si>
    <t>0167-6369</t>
  </si>
  <si>
    <t>1573-2959</t>
  </si>
  <si>
    <t>ENVIRON MONIT ASSESS</t>
  </si>
  <si>
    <t>Environ. Monit. Assess.</t>
  </si>
  <si>
    <t>10.1007/s10661-016-5172-z</t>
  </si>
  <si>
    <t>DF0ZG</t>
  </si>
  <si>
    <t>WOS:000371067600019</t>
  </si>
  <si>
    <t>Wallace, L; Lucieer, A; Malenovsky, Z; Turner, D; Vopenka, P</t>
  </si>
  <si>
    <t>Wallace, Luke; Lucieer, Arko; Malenovsky, Zbynek; Turner, Darren; Vopenka, Petr</t>
  </si>
  <si>
    <t>Assessment of Forest Structure Using Two UAV Techniques: A Comparison of Airborne Laser Scanning and Structure from Motion (SfM) Point Clouds</t>
  </si>
  <si>
    <t>FORESTS</t>
  </si>
  <si>
    <t>digital terrain model; tree height; canopy cover; forest structure; unmanned aerial vehicle (UAV); LIDAR airborne laser scanning; structure from motion</t>
  </si>
  <si>
    <t>AERIAL VEHICLE UAV; TREE DETECTION; INVENTORY; CANOPY; SYSTEM; COMPLEXITY; METRICS; IMAGERY</t>
  </si>
  <si>
    <t>This study investigates the potential of unmanned aerial vehicles (UAVs) to measure and monitor structural properties of forests. Two remote sensing techniques, airborne laser scanning (ALS) and structure from motion (SfM) were tested to capture three-dimensional structural information from a small multi-rotor UAV platform. A case study is presented through the analysis of data collected from a 30 x 50 m plot in a dry sclerophyll eucalypt forest with a spatially varying canopy cover. The study provides an insight into the capabilities of both technologies for assessing absolute terrain height, the horizontal and vertical distribution of forest canopy elements, and information related to individual trees. Results indicate that both techniques are capable of providing information that can be used to describe the terrain surface and canopy properties in areas of relatively low canopy closure. However, the SfM photogrammetric technique underperformed ALS in capturing the terrain surface under increasingly denser canopy cover, resulting in point density of less than 1 ground point per m(2) and mean difference from ALS terrain surface of 0.12 m. This shortcoming caused errors that were propagated into the estimation of canopy properties, including the individual tree height (root mean square error of 0.92 m for ALS and 1.30 m for SfM). Differences were also seen in the estimates of canopy cover derived from the SfM (50%) and ALS (63%) pointclouds. Although ALS is capable of providing more accurate estimates of the vertical structure of forests across the larger range of canopy densities found in this study, SfM was still found to be an adequate low-cost alternative for surveying of forest stands.</t>
  </si>
  <si>
    <t>[Wallace, Luke; Lucieer, Arko; Malenovsky, Zbynek; Turner, Darren] Univ Tasmania, Sch Land &amp; Food, Hobart, Tas 7001, Australia; [Wallace, Luke] RMIT Univ, Sch Math &amp; Geospatial Sci, Melbourne, Vic 3000, Australia; [Malenovsky, Zbynek] NASA, Biospher Sci Lab, Goddard Space Flight Ctr, Greenbelt, MD 20771 USA; [Vopenka, Petr] Czech Univ Life Sci Prague, Fac Forestry &amp; Wood Sci, Dept Forest Management, Prague 6, Czech Republic</t>
  </si>
  <si>
    <t>University of Tasmania; Royal Melbourne Institute of Technology (RMIT); National Aeronautics &amp; Space Administration (NASA); NASA Goddard Space Flight Center; Czech University of Life Sciences Prague</t>
  </si>
  <si>
    <t>Wallace, L (corresponding author), Univ Tasmania, Sch Land &amp; Food, Hobart, Tas 7001, Australia.;Wallace, L (corresponding author), RMIT Univ, Sch Math &amp; Geospatial Sci, Melbourne, Vic 3000, Australia.</t>
  </si>
  <si>
    <t>Luke.Wallace2@rmit.edu.au; Arko.Lucieer@utas.edu.au; zbynek.malenovsky@gmail.com; Darren.Turner@utas.edu.au; vopenka@fld.czu.cz</t>
  </si>
  <si>
    <t>Wallace, Luke/HKO-4124-2023; Malenovský, Zbyněk/A-7819-2011; Vopenka, Petr/C-7422-2012; Lucieer, Arko/F-1247-2013; Turner, Darren/O-4839-2017</t>
  </si>
  <si>
    <t>Malenovský, Zbyněk/0000-0002-1271-8103; Lucieer, Arko/0000-0002-9468-4516; Wallace, Luke/0000-0002-4642-8374; Turner, Darren/0000-0002-3029-6717</t>
  </si>
  <si>
    <t>ARC Discovery project airLIFT [DP140101488]; National Agency for Agriculture Research project [QJ1520187]; Winifred Violet Scott Trust; Australian Antarctic Science Grant scheme</t>
  </si>
  <si>
    <t>ARC Discovery project airLIFT(Australian Research Council); National Agency for Agriculture Research project; Winifred Violet Scott Trust; Australian Antarctic Science Grant scheme</t>
  </si>
  <si>
    <t>The contribution of Z. Malenovsky was supported by the ARC Discovery project airLIFT (DP140101488). The contribution of P. Vopenka was supported by the National Agency for Agriculture Research project (No. QJ1520187). The authors would like to acknowledge Ben Van der Jagt for assistance in collecting field data. The Winifred Violet Scott Trust and Australian Antarctic Science Grant scheme are acknowledged for providing funding to purchase the infrastructure used in this project. We thank Tony Veness, the UTAS Central Science Laboratory, the UTAS Engineering workshop, and the Australian Antarctic Division workshop for their assistance in the sensor integration.</t>
  </si>
  <si>
    <t>1999-4907</t>
  </si>
  <si>
    <t>Forests</t>
  </si>
  <si>
    <t>10.3390/f7030062</t>
  </si>
  <si>
    <t>Forestry</t>
  </si>
  <si>
    <t>DI7RX</t>
  </si>
  <si>
    <t>Green Accepted, gold, Green Published, Green Submitted</t>
  </si>
  <si>
    <t>WOS:000373700800018</t>
  </si>
  <si>
    <t>Odeyemi, OA; Bamidele, FA</t>
  </si>
  <si>
    <t>Odeyemi, Olumide A.; Bamidele, Florence A.</t>
  </si>
  <si>
    <t>Harnessing the potentials of predictive microbiology in microbial food safety and quality research in Nigeria</t>
  </si>
  <si>
    <t>FUTURE SCIENCE OA</t>
  </si>
  <si>
    <t>foodborne diseases; mathematical modeling; microbial food safety; predictive microbiology</t>
  </si>
  <si>
    <t>[Odeyemi, Olumide A.] Univ Tasmania, Inst Marine &amp; Antarctic Studies, Ecol &amp; Biodivers Ctr, Hobart, Tas, Australia; [Bamidele, Florence A.] Yaba Coll Technol, Dept Biol Sci, Sch Appl Sci, Lagos, Nigeria</t>
  </si>
  <si>
    <t>Odeyemi, OA (corresponding author), Univ Tasmania, Inst Marine &amp; Antarctic Studies, Ecol &amp; Biodivers Ctr, Hobart, Tas, Australia.</t>
  </si>
  <si>
    <t>FUTURE SCI LTD</t>
  </si>
  <si>
    <t>UNITED HOUSE, 2 ALBERT PL, LONDON, N3 1QB, ENGLAND</t>
  </si>
  <si>
    <t>2056-5623</t>
  </si>
  <si>
    <t>FUTUR SCI OA</t>
  </si>
  <si>
    <t>Futur. Sci. OA</t>
  </si>
  <si>
    <t>FSO91</t>
  </si>
  <si>
    <t>10.4155/fso.15.91</t>
  </si>
  <si>
    <t>Medicine, Research &amp; Experimental</t>
  </si>
  <si>
    <t>Research &amp; Experimental Medicine</t>
  </si>
  <si>
    <t>EB1GW</t>
  </si>
  <si>
    <t>WOS:000387098600010</t>
  </si>
  <si>
    <t>Buckley, SJ; Fitzgibbon, QP; Smith, GG; Ventura, T</t>
  </si>
  <si>
    <t>Buckley, Sean J.; Fitzgibbon, Quinn P.; Smith, Gregory G.; Ventura, Tomer</t>
  </si>
  <si>
    <t>In silico prediction of the G-protein coupled receptors expressed during the metamorphic molt of Sagmariasus verreauxi (Crustacea: Decapoda) by mining transcriptomic data: RNA-seq to repertoire</t>
  </si>
  <si>
    <t>Transcriptomic expression; Metamorphosis; Crustacean hyperglycemic hormone (CHH); Sagmariasus verreauxi; G-protein coupled receptor (GPCR)</t>
  </si>
  <si>
    <t>FRESH-WATER PRAWN; AMINE-ASSOCIATED RECEPTORS; CENTRAL-NERVOUS-SYSTEM; PACIFIC WHITE SHRIMP; LEUCINE-RICH REPEAT; DROSOPHILA-MELANOGASTER; HYPERGLYCEMIC HORMONE; FUNCTIONAL-CHARACTERIZATION; GROWTH-PERFORMANCE; MOLECULAR-CLONING</t>
  </si>
  <si>
    <t>Against a backdrop of food insecurity, the farming of decapod crustaceans is a rapidly expanding and globally significant source of food protein. Sagmariasus verreauxi spiny lobster, the subject of this study, are decapods of underdeveloped aquaculture potential. Crustacean neuropeptide G-protein coupled receptors (GPCRs) mediate endocrine pathways that are integral to animal fecundity, growth and survival. The potential use of novel biotechnologies to enhance GPCR-mediated physiology may assist in improving the health and productivity of farmed decapod populations. This study catalogues the GPCRs expressed in the early developmental stages, as well as adult tissues, with a view to illuminating key neuropeptide receptors. De novo assembled contiguous sequences generated from transcriptomic reads of metamorphic and post metamorphic S. verreauxi were filtered for seven transmembrane domains, and used as a reference for iterative re-mapping. Subsequent putative GPCR open reading frames (ORFs) were BLAST annotated, categorised, and compared to published orthologues based on phylogenetic analysis. A total of 85 GPCRs were digitally predicted, that represented each of the four arthropod subfamilies. They generally displayed low-level and non-differential metamorphic expression with few exceptions that we examined using RT-PCR and qPCR. Two putative CHH-like neuropeptide receptors were annotated. Three dimensional structural modelling suggests that these receptors exhibit a conserved extracellular ligand binding pocket, providing support to the notion that these receptors co-evolved with their ligands across Decapoda. This perhaps narrows the search for means to increase productivity of farmed decapod populations. (C) 2016 Elsevier Inc. All rights reserved.</t>
  </si>
  <si>
    <t>[Buckley, Sean J.; Ventura, Tomer] Univ Sunshine Coast, Fac Sci Hlth Educ &amp; Engn, GeneCol Res Ctr, 4 Locked Bag, Maroochydore, Qld 4558, Australia; [Fitzgibbon, Quinn P.; Smith, Gregory G.] Univ Tasmania, Inst Marine &amp; Antarctic Studies, Fisheries &amp; Aquaculture, Hobart, Tas, Australia</t>
  </si>
  <si>
    <t>University of the Sunshine Coast; University of Tasmania</t>
  </si>
  <si>
    <t>Ventura, T (corresponding author), Univ Sunshine Coast, Fac Sci Hlth Educ &amp; Engn, GeneCol Res Ctr, 4 Locked Bag, Maroochydore, Qld 4558, Australia.</t>
  </si>
  <si>
    <t>Ventura, T./H-9832-2019; Smith, Gregory/C-9263-2013</t>
  </si>
  <si>
    <t>Ventura, T./0000-0002-0777-2367; Smith, Gregory/0000-0002-8677-1230; Fitzgibbon, Quinn/0000-0002-1104-3052</t>
  </si>
  <si>
    <t>Australian Research Council Industrial Research Transformation Grant [IH120100032]; Australian Research Council through a Discovery Early Career Research Award (DECRA) [DE130101089, DP160103320]</t>
  </si>
  <si>
    <t>Australian Research Council Industrial Research Transformation Grant(Australian Research Council); Australian Research Council through a Discovery Early Career Research Award (DECRA)(Australian Research Council)</t>
  </si>
  <si>
    <t>We wish to thank Ms. Jennifer C. Chandler for her assistance in supplying the spatially variant cDNA samples. Lobster culture and participation from Associate Professor Greg Smith and Dr. Quinn P. Fitzgibbon from the Institute for Marine and Antarctic Studies were supported by the Australian Research Council Industrial Research Transformation Grant (No. IH120100032). We would like to acknowledge the expertise of Dr Joao C.R. Cardoso in generously guiding the methods of this study. Finally, we acknowledge the utility of Mr Ido Bar's python script that was used to extract sequences from fastA files. This research was funded by the Australian Research Council (http://www.arc.gov.au/) through a Discovery Early Career Research Award granted to Dr. Tomer Ventura (DECRA; No. DE130101089) as well as a Discovery Project granted to Dr. Tomer Ventura and Dr. Quinn P. Fitzgibbon (DP160103320).</t>
  </si>
  <si>
    <t>10.1016/j.ygcen.2016.02.001</t>
  </si>
  <si>
    <t>DH3IT</t>
  </si>
  <si>
    <t>WOS:000372681400014</t>
  </si>
  <si>
    <t>Huck, CE; van de Flierdt, T; Jiménez-Espejo, FJ; Bohaty, SM; Röhl, U; Hammond, SJ</t>
  </si>
  <si>
    <t>Huck, Claire E.; van de Flierdt, Tina; Jimenez-Espejo, Francisco J.; Bohaty, Steven M.; Roehl, Ursula; Hammond, Samantha J.</t>
  </si>
  <si>
    <t>Robustness of fossil fish teeth for seawater neodymium isotope reconstructions under variable redox conditions in an ancient shallow marine setting</t>
  </si>
  <si>
    <t>neodymium; rare earth elements; paleoceanography; fossil fish tooth</t>
  </si>
  <si>
    <t>RARE-EARTH-ELEMENTS; MN OXYHYDROXIDE COATINGS; DEEP-SEA SEDIMENTS; ND ISOTOPES; SM-ND; SOUTHEASTERN AUSTRALIA; SUSPENDED PARTICLES; CONTINENTAL-MARGIN; OCEAN CIRCULATION; LITHOGENIC INPUTS</t>
  </si>
  <si>
    <t>Fossil fish teeth from pelagic open ocean settings are considered a robust archive for preserving the neodymium (Nd) isotopic composition of ancient seawater. However, using fossil fish teeth as an archive to reconstruct seawater Nd isotopic compositions in different sedimentary redox environments and in terrigenous-dominated, shallow marine settings is less proven. To address these uncertainties, fish tooth and sediment samples from a middle Eocene section deposited proximal to the East Antarctic margin at Integrated Ocean Drilling Program Site U1356 were analyzed for major and trace element geochemistry, and Nd isotopes. Major and trace element analyses of the sediments reveal changing redox conditions throughout deposition in a shallow marine environment. However, variations in the Nd isotopic composition and rare earth element (REE) patterns of the associated fish teeth do not correspond to redox changes in the sediments. REE patterns in fish teeth at Site U1356 carry a typical mid-REE-enriched signature. However, a consistently positive Ce anomaly marks a deviation from a pure authigenic origin of REEs to the fish tooth. Neodymium isotopic compositions of cleaned and uncleaned fish teeth fall between modern seawater and local sediments and hence could be authigenic in nature, but could also be influenced by sedimentary fluxes. We conclude that the fossil fish tooth Nd isotope proxy is not sensitive to moderate changes in pore water oxygenation. However, combined studies on sediments, pore waters, fish teeth, and seawater are needed to fully understand processes driving the reconstructed signature from shallow marine sections in proximity to continental sources.</t>
  </si>
  <si>
    <t>[Huck, Claire E.; van de Flierdt, Tina] Univ London Imperial Coll Sci Technol &amp; Med, Dept Earth Sci &amp; Engn, London, England; [Huck, Claire E.; Bohaty, Steven M.] Univ Southampton, Natl Oceanog Ctr, Dept Ocean &amp; Earth Sci, Southampton, Hants, England; [Jimenez-Espejo, Francisco J.] Japan Agcy Marine Earth Sci &amp; Technol, Dept Biogeochem, 2-15 Natsushimacho, Yokosuka, Kanagawa 2370061, Japan; [Roehl, Ursula] Univ Bremen, Ctr Marine Environm Sci, MARUM, D-28359 Bremen, Germany; [Hammond, Samantha J.] Open Univ, Dept Environm Earth &amp; Ecosyst, Walton Hall, Milton Keynes MK7 6AA, Bucks, England</t>
  </si>
  <si>
    <t>Imperial College London; University of Southampton; NERC National Oceanography Centre; Japan Agency for Marine-Earth Science &amp; Technology (JAMSTEC); University of Bremen; Open University - UK</t>
  </si>
  <si>
    <t>Huck, CE (corresponding author), Univ London Imperial Coll Sci Technol &amp; Med, Dept Earth Sci &amp; Engn, London, England.</t>
  </si>
  <si>
    <t>c.e.huck@soton.ac.uk</t>
  </si>
  <si>
    <t>Röhl, Ursula/G-5986-2011; Jimenez-Espejo, Francisco J./AAR-2318-2020; Jimenez-Espejo, Francisco J/F-4486-2016</t>
  </si>
  <si>
    <t>Röhl, Ursula/0000-0001-9469-7053; Jimenez-Espejo, Francisco J/0000-0002-0335-8580; Hammond, Samantha/0000-0002-7097-0075</t>
  </si>
  <si>
    <t>NERC UK IODP grant [NE/I006257/1]; ECORD Research grant; DFG [RO 113/6]; MEXT-Japan; Spanish Ministry of Science and Innovation [CTM 2011-24079]; Natural Environment Research Council [NE/L004607/1, NE/H025162/1, NE/L007452/1, NE/I006257/1] Funding Source: researchfish; Science and Technology Facilities Council [1163145] Funding Source: researchfish; NERC [NE/L004607/1, NE/I006257/1, NE/H025162/1, NE/L007452/1] Funding Source: UKRI</t>
  </si>
  <si>
    <t>NERC UK IODP grant; ECORD Research grant; DFG(German Research Foundation (DFG)); MEXT-Japan(Ministry of Education, Culture, Sports, Science and Technology, Japan (MEXT)); Spanish Ministry of Science and Innovation(Spanish Government); Natural Environment Research Council(UK Research &amp; Innovation (UKRI)Natural Environment Research Council (NERC)); Science and Technology Facilities Council(UK Research &amp; Innovation (UKRI)Science &amp; Technology Facilities Council (STFC)); NERC(UK Research &amp; Innovation (UKRI)Natural Environment Research Council (NERC))</t>
  </si>
  <si>
    <t>This manuscript benefited from the insightful reviews of Marcus Gutjahr and one anonymous reviewer. We thank B. Coles, K. Kreissig (Imperial College), and V. Lukies (MARUM) for technical laboratory support. We acknowledge the Expedition 318 Scientists for producing the shipboard data used in this study. This research used samples and data provided by IODP. Funding for this research was provided by a NERC UK IODP grant awarded to T.vd.F. and S.M.B. (NE/I006257/1), an ECORD Research grant awarded to C.E.H., and DFG grant (RO 113/6) to U.R. F.J.J.E. acknowledges financial support from MEXT-Japan and the Spanish Ministry of Science and Innovation grant CTM 2011-24079. All data used for this study are available from the Tables, cited references, supporting information and on the Pangaea database (www.pangaea.de). The authors declare no conflicting interests.</t>
  </si>
  <si>
    <t>10.1002/2015GC006218</t>
  </si>
  <si>
    <t>DK7ZA</t>
  </si>
  <si>
    <t>WOS:000375144700003</t>
  </si>
  <si>
    <t>Schiffer, C; Stephenson, R; Oakey, GN; Jacobsen, BH</t>
  </si>
  <si>
    <t>Schiffer, Christian; Stephenson, Randell; Oakey, Gordon N.; Jacobsen, Bo H.</t>
  </si>
  <si>
    <t>The crustal structure of Ellesmere Island, Arctic Canada-teleseismic mapping across a remote intraplate orogenic belt</t>
  </si>
  <si>
    <t>Body waves; Intra-plate processes; Continental tectonics: compressional; Crustal structure; Arctic region</t>
  </si>
  <si>
    <t>DETRITAL ZIRCON GEOCHRONOLOGY; RECEIVER FUNCTIONS; VELOCITY STRUCTURE; CONTINENTAL-CRUST; FRANKLINIAN BASIN; EUREKAN OROGEN; NORTH-ATLANTIC; LABRADOR SEA; GREENLAND; GRAVITY</t>
  </si>
  <si>
    <t>Ellesmere Island in Arctic Canada displays a complex geological evolution. The region was affected by two distinct orogenies, the Palaeozoic Ellesmerian orogeny (the Caledonian equivalent in Arctic Canada and Northern Greenland) and the Palaeogene Eurekan orogeny, related to the opening of Baffin Bay and the consequent convergence of the Greenland plate. The details of this complex evolution and the present-day deep structure are poorly constrained in this remote area and deep geophysical data are sparse. Receiver function analysis of seven temporary broad-band seismometers of the Ellesmere Island Lithosphere Experiment complemented by two permanent stations provides important data on the crustal velocity structure of Ellesmere Island. The crustal expression of the northernmost tectonic block of Ellesmere Island (similar to 82A degrees aEuro83A degrees N), Pearya, which was accreted during the Ellesmerian orogeny, is similar to that at the southernmost part, which is part of the Precambrian Laurentian (North America-Greenland) craton. Both segments have thick crystalline crust (similar to 35-36 km) and comparable velocity-depth profiles. In contrast, crustal thickness in central Ellesmere Island decreases from similar to 24-30 km in the Eurekan fold and thrust belt (similar to 79.7A degrees aEuro80.6A degrees N) to similar to 16-20 km in the Hazen Stable Block (HSB; similar to 80.6A degrees aEuro81.4A degrees N) and is covered by a thick succession of metasediments. A deep crustal root (similar to 48 km) at similar to 79.6A degrees N is interpreted as cratonic crust flexed beneath the Eurekan fold and thrust belt. The Carboniferous to Palaeogene sedimentary succession of the Sverdrup Basin is inferred to be up to 1-4 km thick, comparable to geologically-based estimates, near the western margin of the HSB.</t>
  </si>
  <si>
    <t>[Schiffer, Christian; Stephenson, Randell; Jacobsen, Bo H.] Aarhus Univ, Dept Geosci, DK-8000 Aarhus, Denmark; [Stephenson, Randell] Univ Aberdeen, Sch Geosci, Aberdeen AB24 3UE, Scotland; [Oakey, Gordon N.] Geol Survey Canada, 1 Challenger Dr, Dartmouth, NS B2Y 4A2, Canada</t>
  </si>
  <si>
    <t>Aarhus University; University of Aberdeen; Natural Resources Canada; Lands &amp; Minerals Sector - Natural Resources Canada; Geological Survey of Canada</t>
  </si>
  <si>
    <t>Schiffer, C (corresponding author), Aarhus Univ, Dept Geosci, DK-8000 Aarhus, Denmark.</t>
  </si>
  <si>
    <t>christian.schiffer@geo.au.dk</t>
  </si>
  <si>
    <t>Facility, NERC Geophysical Equipment/G-5260-2010; Jacobsen, Bo Holm/A-4854-2012; Stephenson, Randell A/A-3741-2012</t>
  </si>
  <si>
    <t>Stephenson, Randell A/0000-0003-4868-8601; Schiffer, Christian/0000-0001-9193-0606</t>
  </si>
  <si>
    <t>Geological Survey of Canada; University of Aberdeen; DeBeers Canada; Danish Council for Independent Research (DFF); PCSP personnel in Resolute Bay and Ottawa; ELLITE; Natural Environment Research Council [GEF010003] Funding Source: researchfish; NERC [GEF010003] Funding Source: UKRI</t>
  </si>
  <si>
    <t>Geological Survey of Canada(Natural Resources Canada); University of Aberdeen; DeBeers Canada; Danish Council for Independent Research (DFF)(Det Frie Forskningsrad (DFF)); PCSP personnel in Resolute Bay and Ottawa; ELLITE; Natural Environment Research Council(UK Research &amp; Innovation (UKRI)Natural Environment Research Council (NERC)); NERC(UK Research &amp; Innovation (UKRI)Natural Environment Research Council (NERC))</t>
  </si>
  <si>
    <t>The project was carried out under the umbrella of the project 'Circum Arctic Lithospheric Evolution' (CALE), which also supported some of the follow-up activities that led to the preparation of this manuscript. Funding for fieldwork was primarily derived from the Geological Survey of Canada with additional essential support from the University of Aberdeen. DeBeers Canada is thanked for financially supporting fieldwork travel in 2011 and 2012. The data processing and preparation of the manuscript were partly performed during a Ph.D. project at Aarhus University, which was part of TOPOREAL, funded by the Danish Council for Independent Research (DFF). Thanks to DFF and the participants and organisers of TOPOREAL. The authors acknowledge the support of all PCSP personnel in Resolute Bay and Ottawa, including numerous sets of Twin Otter pilots, for field support and equipment handling, TFSS personnel in Ottawa for looking after and preparing equipment and supplies and their shipment north and south, personnel at Eureka weather station for their hospitality and flexibility, Parks Canada for allowing field work to take place in Quttinirpaaq National Park, the Nunavut Research Institute in Iqaluit for their oversight and, of course, the NRCan GEM Baffin Bay Basins project, with J. Haggart of GSC Vancouver as the ELLITE project leader. M. Fowler (then GSC Calgary) is thanked for his support in getting ELLITE started in 2009-2010. J. Hunter and C. Diederik, both Resolute Bay, are thanked for their assistance and protection in the field as are S. Twelker and S. Grasby of GSC Calgary who assisted field work in 2012. C. Taylor of the University of Aberdeen designed the field observatory installations and his dedication and good company in the field in 2010 and 2011 was very much appreciated by RS. The advice and always willing assistance of A. Brisbourne (now British Antarctic Survey), D. Hawthorn and V. Lane, all SEIS-UK are also acknowledged. We are also grateful to two reviewers for very helpful and constructive comments.</t>
  </si>
  <si>
    <t>10.1093/gji/ggv539</t>
  </si>
  <si>
    <t>WOS:000373719100013</t>
  </si>
  <si>
    <t>Avinash, K; Kurian, PJ; Warrier, AK; Shankar, R; Vineesh, TC; Ravindra, R</t>
  </si>
  <si>
    <t>Avinash, Kumar; Kurian, P. John; Warrier, Anish Kumar; Shankar, R.; Vineesh, T. C.; Ravindra, Rasik</t>
  </si>
  <si>
    <t>Sedimentary sources and processes in the eastern Arabian Sea: Insights from environmental magnetism, geochemistry and clay mineralogy</t>
  </si>
  <si>
    <t>GEOSCIENCE FRONTIERS</t>
  </si>
  <si>
    <t>The spatial distribution patterns of surficial sediment samples from different sedimentary domains (shallow to deep-sea regions) of the eastern Arabian Sea were studied using sediment proxies viz. environmental magnetism, geochemistry, particle size and clay mineralogy. Higher concentrations of magnetic minerals (high chi(lf)) were recorded in the deep-water sediments when compared with the shallow water sediments. The magnetic mineralogy of one of the shallow water samples is influenced by the presence of bacterial magnetite as evidenced from the chi(ARM)/chi(lf) vs. chi(ARM)/chi(fd) biplot. However, the other samples are catchment-derived. The high correlation documented for chi(lf), anhysteretic remanent magnetisation (chi(ARM)) and isothermal remanent magnetisation (IRM) with Al indicates that the deep-sea surficial sediments are influenced by terrigenous fluxes which have been probably derived from the southern Indian rivers, the Sindhu (the Indus) and the Narmada-Tapti rivers. A lower Mn concentration is recorded in the upper slope sediments from the oxygen minimum zone (OMZ) but a higher Mn/Al ratio is documented in the lower slope and deep-sea sediments. Clay minerals such as illite (24-48.5%), chlorite (14.1-34.9%), smectite (10.6-28.7%) and kaolinite (11.9-27.5%) dominate the sediments of shallow and deep-sea regions and may have been derived from different sources and transported by fluvial and aeolian agents. Organic carbon (OC) data indicate a low concentration in the shallow/shelf region (well oxygenated water conditions) and deeper basins (increased bottom-water oxygen concentration and low sedimentation rate). High OC concentrations were documented in the OMZ (very low bottom-water oxygen concentration with high sedimentation rate). The calcium carbonate concentration of the surface sediments from the continental shelf and slope regions (&lt;1800 m) up to the Chagos-Laccadive Ridge show higher concentrations (average = 58%) when compared to deep basin sediments (average = 44%). Our study demonstrates that particle size as well as magnetic grain size, magnetic minerals and elemental variations are good indicators to distinguish terrigenous from biogenic sediments and to identify sediment provenance. (C) 2015, China University of Geosciences (Beijing) and Peking University. Production and hosting by Elsevier B.V.</t>
  </si>
  <si>
    <t>[Avinash, Kumar; Kurian, P. John; Warrier, Anish Kumar; Vineesh, T. C.] Minist Earth Sci MoES, Earth Syst Sci Org, Natl Ctr Antarctic &amp; Ocean Res ESSO NCAOR, Vasco Da Gama 403804, Goa, India; [Shankar, R.] Mangalore Univ, Dept Marine Geol, Mangalagangothri 574199, Karnataka, India; [Ravindra, Rasik] Minist Earth Sci MoES, Earth Syst Sci Org, Lodhi Rd, New Delhi 110003, India</t>
  </si>
  <si>
    <t>Earth System Science Organization (ESSO); Ministry of Earth Sciences (MoES) - India; Mangalore University; Earth System Science Organization (ESSO); Ministry of Earth Sciences (MoES) - India</t>
  </si>
  <si>
    <t>Kurian, PJ (corresponding author), Minist Earth Sci MoES, Earth Syst Sci Org, Natl Ctr Antarctic &amp; Ocean Res ESSO NCAOR, Vasco Da Gama 403804, Goa, India.</t>
  </si>
  <si>
    <t>kurianjohn@gmail.com</t>
  </si>
  <si>
    <t>Chacko, Vineesh/C-9171-2019; Warrier, Anish Kumar/AAW-8890-2020</t>
  </si>
  <si>
    <t>Chacko, Vineesh/0000-0002-9576-1384; Warrier, Anish Kumar/0000-0003-0044-6224; Avinash, Kumar/0000-0002-6511-8435</t>
  </si>
  <si>
    <t>DOD [DOD/11-MRDF/1/48/P/94-ODII/12-10-96]; erstwhile Department of Ocean Development, Government of India</t>
  </si>
  <si>
    <t>DOD(United States Department of Defense); erstwhile Department of Ocean Development, Government of India</t>
  </si>
  <si>
    <t>We gratefully acknowledge the Director, National Centre for Antarctic and Ocean Research (NCAOR) for his continuous encouragement and support. We thank Dr. Thamban Meloth for providing the TOC analyser facility, Dr. A.K. Tiwari and Mr. Brijesh for AAS, and Mr. Girish Prabhu (NIO) for XRD analyses. We also thank Dr. Harshavardhana, B.G., Department of Marine Geology, Mangalore University for extending assistance during the magnetic studies. The magnetic instruments used for this investigation were procured through grants (DOD Sanction No. DOD/11-MRDF/1/48/P/94-ODII/12-10-96) under a research project (to RS) sponsored by the erstwhile Department of Ocean Development (now Ministry of Earth Sciences), Government of India. We appreciate Dr. C.T. Achuthankutty for improving the presentation of the manuscript. We express our gratitude to Dr. Nick Roberts (Associate Editor) and the anonymous reviewers whose comments enabled us to improve the manuscript. This is NCAOR contribution No. 19/2015.</t>
  </si>
  <si>
    <t>CHINA UNIV GEOSCIENCES</t>
  </si>
  <si>
    <t>29 XUEYUAN RD, BEIJING, 100083, PEOPLES R CHINA</t>
  </si>
  <si>
    <t>1674-9871</t>
  </si>
  <si>
    <t>GEOSCI FRONT</t>
  </si>
  <si>
    <t>Geosci. Front.</t>
  </si>
  <si>
    <t>10.1016/j.gsf.2015.05.001</t>
  </si>
  <si>
    <t>DE4MI</t>
  </si>
  <si>
    <t>WOS:000370603300010</t>
  </si>
  <si>
    <t>Barnes, DKA; Ireland, L; Hogg, OT; Morley, S; Enderlein, P; Sands, CJ</t>
  </si>
  <si>
    <t>Barnes, David K. A.; Ireland, Louise; Hogg, Oliver T.; Morley, Simon; Enderlein, Peter; Sands, Chester J.</t>
  </si>
  <si>
    <t>Why is the South Orkney Island shelf (the world's first high seas marine protected area) a carbon immobilization hotspot?</t>
  </si>
  <si>
    <t>benthos; carbon sink; climate change; feedback; phytoplankton; Southern Ocean</t>
  </si>
  <si>
    <t>ANTARCTIC PENINSULA; SCOTIA ARC; ROSS SEA; GROWTH; ICE; BRYOZOANS; OCEAN; VARIABILITY; GEORGIA; TEMPERATURE</t>
  </si>
  <si>
    <t>The Southern Ocean archipelago, the South Orkney Islands (SOI), became the world's first entirely high seas marine protected area (MPA) in 2010. The SOI continental shelf (similar to 44000km(2)), was less than half covered by grounded ice sheet during glaciations, is biologically rich and a key area of both sea surface warming and sea-ice losses. Little was known of the carbon cycle there, but recent work showed it was a very important site of carbon immobilization (net annual carbon accumulation) by benthos, one of the few demonstrable negative feedbacks to climate change. Carbon immobilization by SOI bryozoans was higher, per species, unit area and ice-free day, than anywhere-else polar. Here, we investigate why carbon immobilization has been so high at SOI, and whether this is due to high density, longevity or high annual production in six study species of bryozoans (benthic suspension feeders). We compared benthic carbon immobilization across major regions around West Antarctica with sea-ice and primary production, from remotely sensed and directly sampled sources. Lowest carbon immobilization was at the northernmost study regions (South Georgia) and southernmost Amundsen Sea. However, data standardized for age and density showed that only SOI was anomalous (high). High immobilization at SOI was due to very high annual production of bryozoans (rather than high densities or longevity), which were 2x, 3x and 5x higher than on the Bellingshausen, South Georgia and Amundsen shelves, respectively. We found that carbon immobilization correlated to the duration (but not peak or integrated biomass) of phytoplankton blooms, both in directly sampled, local scale data and across regions using remote-sensed data. The long bloom at SOI seems to drive considerable carbon immobilization, but sea-ice losses across West Antarctica mean that significant carbon sinks and negative feedbacks to climate change could also develop in the Bellingshausen and Amundsen seas.</t>
  </si>
  <si>
    <t>[Barnes, David K. A.; Ireland, Louise; Hogg, Oliver T.; Morley, Simon; Enderlein, Peter; Sands, Chester J.] NERC, British Antarctic Survey, Madingley Rd, Cambridge CB3 OET, England; [Hogg, Oliver T.] Univ Southampton, Natl Oceanog Ctr Southampton, European Way, Southampton SO14 3ZH, Hants, England</t>
  </si>
  <si>
    <t>UK Research &amp; Innovation (UKRI); Natural Environment Research Council (NERC); NERC British Antarctic Survey; University of Southampton; NERC National Oceanography Centre</t>
  </si>
  <si>
    <t>Barnes, DKA (corresponding author), NERC, British Antarctic Survey, Madingley Rd, Cambridge CB3 OET, England.</t>
  </si>
  <si>
    <t>Hogg, Oliver/0000-0003-1146-0590; Sands, Chester/0000-0003-1028-0328</t>
  </si>
  <si>
    <t>Darwin Initiative grants; DEFRA; PEW charitable trusts; Natural Environment Research Council [dml011000, bas0100036, 1498911] Funding Source: researchfish; NERC [bas0100036, dml011000] Funding Source: UKRI</t>
  </si>
  <si>
    <t>Darwin Initiative grants; DEFRA(Department for Environment, Food &amp; Rural Affairs (DEFRA)); PEW charitable trusts; Natural Environment Research Council(UK Research &amp; Innovation (UKRI)Natural Environment Research Council (NERC)); NERC(UK Research &amp; Innovation (UKRI)Natural Environment Research Council (NERC))</t>
  </si>
  <si>
    <t>We thank the officers and crew of RRS James Clarke Ross and the scientists who participated on benthic scientific cruises between 2006 and 2013. The cruises JR262 and 287 were both funded by Darwin Initiative grants, DEFRA and the latter also supported by the PEW charitable trusts. We thank Carl Robinson for help designing and building the SUCS, Julian Gutt for use of Amundsen sea benthos images and Thomas Lundalv for use of Weddell Sea benthic images. Finally, we thank Oliva Martin-Sanchez for help constructing Fig. 1a and b. Finally, we thank two anonymous referees for very helpful comments leading to an improved manuscript.</t>
  </si>
  <si>
    <t>10.1111/gcb.13157</t>
  </si>
  <si>
    <t>DE2XN</t>
  </si>
  <si>
    <t>WOS:000370491400013</t>
  </si>
  <si>
    <t>Marshall, C; Large, DJ; Heavens, NG</t>
  </si>
  <si>
    <t>Marshall, Chris; Large, David J.; Heavens, Nicholas G.</t>
  </si>
  <si>
    <t>Coal-derived rates of atmospheric dust deposition during the Permian</t>
  </si>
  <si>
    <t>GONDWANA RESEARCH</t>
  </si>
  <si>
    <t>Permian; Pangea; Dust; Coal; Atmospheric deposition</t>
  </si>
  <si>
    <t>MINERAL MATTER; AFRICAN DUST; CLIMATE; RECORD; BASIN; SEA; PANGAEA; FACIES; LOESS</t>
  </si>
  <si>
    <t>Despite widespread evidence for atmospheric dust deposition prior to the Quaternary, quantitative rate data remains sparse. As dust influences both climate and biological productivity, the absence of quantitative dust data limits the comprehensiveness of models of pre-Quaternary climate and biogeochemical cycles. Here, we propose that inorganic matter contained in coal primarily records atmospheric dust deposition. To test this, we use the average concentration of inorganic matter in Permian coal to map global patterns and deposition rates of atmospheric dust over Pangea. The dust accumulation rate is calculated assuming Permian peat carbon accumulation rates in temperate climates were similar to Holocene rates and accounting for the loss of carbon during coalification. Coal-derived rates vary from 0.02 to 25 g m(-2) year(-1), values that fall within the present-day global range. A well-constrained East-West pattern of dust deposition corresponding to expected palaeoclimate gradients extends across Gondwana with maximum dust deposition rates occurring close to arid regions. A similar pattern is partially defined over the northern hemisphere. Patterns are consistent with the presence of two large global dust plumes centred on the tropics. The spatial patterns of dust deposition were also compared to dust cycle simulations for the Permian made with the Community Climate System Model version 3 (CCSM3). Key differences between the simulations and the coal data are the lack of evidence for an Antarctic dust source, higher than expected dust deposition over N and S China and greater dust deposition rates over Western Gondwana. This new coal-based dust accumulation rate data expands the pre-Neogene quantitative record of atmospheric dust and can help to inform and validate models of global circulation and biogeochemical cycles over the past 350 Myr. (C) 2015 International Association for Gondwana Research. Published by Elsevier B.V. All rights reserved.</t>
  </si>
  <si>
    <t>[Marshall, Chris; Large, David J.] Univ Nottingham, Univ Pk, Nottingham NG7 2RD, England; [Heavens, Nicholas G.] Hampton Univ, Hampton, VA 23669 USA</t>
  </si>
  <si>
    <t>University of Nottingham; Hampton University</t>
  </si>
  <si>
    <t>Large, DJ (corresponding author), Univ Nottingham, Univ Pk, Nottingham NG7 2RD, England.</t>
  </si>
  <si>
    <t>david.large@nottingham.ac.uk</t>
  </si>
  <si>
    <t>Marshall, Chris/AFK-5425-2022; Marshall, Chris/AAG-3949-2022</t>
  </si>
  <si>
    <t>Marshall, Chris/0000-0003-2697-5394; Marshall, Chris/0000-0003-2697-5394; Large, David John/0000-0003-0559-8526; Heavens, Nicholas/0000-0001-7654-503X</t>
  </si>
  <si>
    <t>Faculty of Engineering, University of Nottingham; Nottingham Centre for Carbon Capture and Storage; U.S. National Science Foundation [EAR-0745961, EAR-0932946, EAR-1003509, EAR-1337363]; National Science Foundation; Division Of Earth Sciences; Directorate For Geosciences [1337463] Funding Source: National Science Foundation</t>
  </si>
  <si>
    <t>Faculty of Engineering, University of Nottingham; Nottingham Centre for Carbon Capture and Storage; U.S. National Science Foundation(National Science Foundation (NSF)); National Science Foundation(National Science Foundation (NSF)); Division Of Earth Sciences; Directorate For Geosciences(National Science Foundation (NSF)NSF - Directorate for Geosciences (GEO))</t>
  </si>
  <si>
    <t>This work was jointly funded by the Faculty of Engineering, University of Nottingham, the Nottingham Centre for Carbon Capture and Storage, and the U.S. National Science Foundation (EAR-0745961, EAR-0932946, EAR-1003509, and EAR-1337363) High-performance computing support was provided by NCAR's Computational and Information Systems Laboratory, sponsored by the National Science Foundation. PaleoGIS was supplied free under an academic license.</t>
  </si>
  <si>
    <t>1342-937X</t>
  </si>
  <si>
    <t>1878-0571</t>
  </si>
  <si>
    <t>GONDWANA RES</t>
  </si>
  <si>
    <t>Gondwana Res.</t>
  </si>
  <si>
    <t>10.1016/j.gr.2015.10.002</t>
  </si>
  <si>
    <t>DF7RK</t>
  </si>
  <si>
    <t>WOS:000371555100002</t>
  </si>
  <si>
    <t>Lemna, OS; Bachtadse, V; Kirscher, U; Rolf, C; Petersen, N</t>
  </si>
  <si>
    <t>Lemna, O. S.; Bachtadse, V.; Kirscher, U.; Rolf, C.; Petersen, N.</t>
  </si>
  <si>
    <t>Paleomagnetism of the Jurassic Transantarctic Mountains revisited - Evidence for large dispersion of apparent polar wander within less than 3 Myr</t>
  </si>
  <si>
    <t>Paleomagnetism; Antarctica; Jurassic</t>
  </si>
  <si>
    <t>GEOMAGNETIC SECULAR VARIATION; NORTH VICTORIA-LAND; DRONNING MAUD LAND; MARIE-BYRD-LAND; ANTARCTICA IMPLICATIONS; KIRKPATRICK BASALT; FERRAR DOLERITE; WEST ANTARCTICA; 40AR/39AR; AGE</t>
  </si>
  <si>
    <t>The Transantarctic mountains predominantly consist of Jurassic continental flood basalts (Kirkpatrick) and sills (Ferrar) emplaced during the earliest phase of the break-up of Pangea. Published ages, based on a variety of geochronological methods all agree rather well and cluster around 180 Ma suggesting emplacement during a rather short time interval of not more than 3 Myr. Paleomagnetic studies, mostly carried out between the 60s and 90s of the last century, however, yield two well defined but significantly different groups of paleomagnetic pole positions plotting either in intermediate latitudes (A) or at latitudes exceeding 60 degrees S (B). Pole positions belonging to group A are generally interpreted to be of primary origin whereas the significance of group B poles remains unclear. Here we report new data from the Kirkpatrick basalts of Northern Victoria Land, Antarctica, where 157 oriented paleomagnetic samples were taken, covering about 800 m of stratigraphy and 23 volcanic flows in Gair Mesa (73.4666 degrees S; 162.8666 degrees E). After removal of a steep magnetic overprint with rather low coercivities straight linear segments of exclusively normal polarity trending toward the origin of projection are identified in 151 samples from 22 sites. Maximum unblocking temperatures do not exceed 580 degrees C and maximum coercivities not 60 mT. The resulting mean virtual geomagnetic pole (VGP) for the Gair Mesa plots at 66.4 degrees S; 227.7 degrees E (alpha(95) of 6.2 degrees, k = 25.7) comparable to group B poles. Reflecting light microscopy reveals that the magnetic inventory of all samples analyzed is dominated by magnetite showing shrinking cracks and broad ilmenite lamellae, the latter being diagnostic for high temperature oxidation. Analysis of the distribution of the 22 pole positions obtained here shows that secular variation has successfully been averaged (S-b = 15.9 degrees) suggesting that the rocks studied here have recorded the time averaged geomagnetic field during early mid Jurassic times. Based on these new results we postulate that both clusters A and B of pole positions reflect primary magnetizations and that the Kirkpatrick basalts of Gair Mesa have been emplaced in a rather short normal polarity time interval of 3 Myr. If our reasoning is correct, the apparent polar wander path for the latest early Jurassic might be more complex than previously thought. Whether this complexity is evidence for massif True Polar Wander remains speculative. (C) 2015 International Association for Gondwana Research. Published by Elsevier B.V. All rights reserved.</t>
  </si>
  <si>
    <t>[Lemna, O. S.; Bachtadse, V.; Kirscher, U.; Petersen, N.] Univ Munich, Dept Earth &amp; Environm Sci, Theresienstr 41, D-80333 Munich, Germany; [Rolf, C.] Leibniz Inst Appl Geophys, D-30655 Hannover, Germany</t>
  </si>
  <si>
    <t>University of Munich; Leibniz Institut fur Angewandte Geophysik (LIAG)</t>
  </si>
  <si>
    <t>Bachtadse, V (corresponding author), Univ Munich, Dept Earth &amp; Environm Sci, Theresienstr 41, D-80333 Munich, Germany.</t>
  </si>
  <si>
    <t>valerian@lmu.de</t>
  </si>
  <si>
    <t>Kirscher, Uwe/AAG-9960-2020; Kirscher, Uwe/GYI-8992-2022; Bachtadse, Valerian/E-3457-2010</t>
  </si>
  <si>
    <t>Kirscher, Uwe/0000-0003-4203-1430; Bachtadse, Valerian/0000-0002-1226-2986; Lemna, Obeid Saitabau/0000-0002-4859-9396; Rolf, Christian/0000-0002-1459-6664</t>
  </si>
  <si>
    <t>Deutsche Forschungsgemeinschaft (DFG) [SPP 1158, Ba1210/17-1]; DFG [1158]</t>
  </si>
  <si>
    <t>Deutsche Forschungsgemeinschaft (DFG)(German Research Foundation (DFG)); DFG(German Research Foundation (DFG))</t>
  </si>
  <si>
    <t>This work was supported by the Deutsche Forschungsgemeinschaft (DFG) in the framework of the priority programme Antarctic Research with comparative investigations in Arctic ice areas (SPP 1158) by a grant to VB and CR (Ba1210/17-1). We are indebted to the journal's AE, Joseph Meert, and to Dennis V. Kent and Luca Lanci for their thorough reviews of the manuscript. Andy Biggin provided some insights into geomagnetic paleo secular variation. VB is extremely grateful to Verena Reichardt and Florian Stark for their good companionship and support during fieldwork under rough conditions. Thanks to the Federal Institute for Geosciences and Natural Resources (BGR) and the organizers of Priority Program 1158 of the DFG for organizing GANOVEX X. Dr. Andreas Laufer (BGR) was a proficient expedition leader. Without Jurgen Kothe (BGR) some logistical challenges might have been insurmountable. Our thanks also go to pilots and crew of Helicopters New Zealand (HNZ) Jamie Allan, Carl Manion, Philip Robinson, Steve Spooner and Jim Benbow. Maurice Conway, Brian Staite and Mike Aitkinson provided excellent alpinistic expertise. Captain and crew of R/V Italica demonstrated brilliant seamanship in uncharted waters. Thees Dornheim was always a good companion, ashore, midair and at sea.</t>
  </si>
  <si>
    <t>10.1016/j.gr.2015.01.002</t>
  </si>
  <si>
    <t>WOS:000371555100006</t>
  </si>
  <si>
    <t>Thompson, KF; Patel, S; Baker, CS; Constantine, R; Millar, CD</t>
  </si>
  <si>
    <t>Thompson, K. F.; Patel, S.; Baker, C. S.; Constantine, R.; Millar, C. D.</t>
  </si>
  <si>
    <t>Bucking the trend: genetic analysis reveals high diversity, large population size and low differentiation in a deep ocean cetacean</t>
  </si>
  <si>
    <t>HEREDITY</t>
  </si>
  <si>
    <t>EASTERN NORTH PACIFIC; BOTTLE-NOSED WHALES; MITOCHONDRIAL-DNA; BEAKED-WHALES; HYPEROODON-AMPULLATUS; MULTIVARIATE-ANALYSIS; ZIPHIUS-CAVIROSTRIS; SUBSTITUTION RATES; MARINE MAMMALS; CONTROL REGION</t>
  </si>
  <si>
    <t>Understanding the genetic structure of a population is essential to its conservation and management. We report the level of genetic diversity and determine the population structure of a cryptic deep ocean cetacean, the Gray's beaked whale (Mesoplodon grayi). We analysed 530 bp of mitochondrial control region and 12 microsatellite loci from 94 individuals stranded around New Zealand and Australia. The samples cover a large area of the species distribution (similar to 6000 km) and were collected over a 22-year period. We show high genetic diversity (h = 0.933-0.987, pi = 0.763-0.996% and R-s = 4.22-4.37, H-e = 0.624-0.675), and, in contrast to other cetaceans, we found a complete lack of genetic structure in both maternally and biparentally inherited markers. The oceanic habitats around New Zealand are diverse with extremely deep waters, seamounts and submarine canyons that are suitable for Gray's beaked whales and their prey. We propose that the abundance of this rich habitat has promoted genetic homogeneity in this species. Furthermore, it has been suggested that the lack of beaked whale sightings is the result of their low abundance, but this is in contrast to our estimates of female effective population size based on mitochondrial data. In conclusion, the high diversity and lack of genetic structure can be explained by a historically large population size, in combination with no known exploitation, few apparent behavioural barriers and abundant habitat.</t>
  </si>
  <si>
    <t>[Thompson, K. F.; Patel, S.; Baker, C. S.; Constantine, R.; Millar, C. D.] Univ Auckland, Sch Biol Sci, Private Bag 92019, Auckland 1142, New Zealand; [Thompson, K. F.; Patel, S.; Millar, C. D.] Univ Auckland, Sch Biol Sci, Allan Wilson Ctr, Auckland 1142, New Zealand; [Baker, C. S.] Oregon State Univ, Dept Fisheries &amp; Wildlife, Newport, OR USA; [Baker, C. S.] Oregon State Univ, Marine Mammal Inst, Newport, OR USA</t>
  </si>
  <si>
    <t>University of Auckland; University of Auckland; Oregon State University; Oregon State University</t>
  </si>
  <si>
    <t>Millar, CD (corresponding author), Univ Auckland, Sch Biol Sci, Private Bag 92019, Auckland 1142, New Zealand.;Millar, CD (corresponding author), Univ Auckland, Sch Biol Sci, Allan Wilson Ctr, Auckland 1142, New Zealand.</t>
  </si>
  <si>
    <t>cd.millar@auckland.ac.nz</t>
  </si>
  <si>
    <t>Thompson, Kirsten Freja/N-4936-2019</t>
  </si>
  <si>
    <t>Thompson, Kirsten Freja/0000-0003-4277-3549; Constantine, Rochelle/0000-0003-3260-539X</t>
  </si>
  <si>
    <t>University of Auckland Faculty Research Development Fund Grant [3702180]</t>
  </si>
  <si>
    <t>University of Auckland Faculty Research Development Fund Grant</t>
  </si>
  <si>
    <t>We thank the staff of the New Zealand Department of Conservation for tissue collection and database management, particularly L Boren and L Wakelin; local iwi and hapu, and Massey University necropsy teams. Samples from west Australia were supplied by: R O'Shea and J Bannister, Western Australian Museum; and N Gales, Australian Antarctic Division. We thank M Dalebout and D Steel for sample collection and archiving; A Stuckey, A Veale and R Bouckhaert for assistance with analyses; the Centre for Genomics, Proteomics and Metabolomics at the University of Auckland, and New Zealand Genomics Ltd. We also thank three anonymous reviewers for their useful comments. This project was funded by a University of Auckland Faculty Research Development Fund Grant 3702180 (CDM and RC). Samples are curated in the New Zealand Cetacean Tissue Archive at the University of Auckland under Department of Conservation Permit Rnw/HO/2009/03 and CITES institutional permit NZ010.</t>
  </si>
  <si>
    <t>0018-067X</t>
  </si>
  <si>
    <t>1365-2540</t>
  </si>
  <si>
    <t>Heredity</t>
  </si>
  <si>
    <t>10.1038/hdy.2015.99</t>
  </si>
  <si>
    <t>DG0EM</t>
  </si>
  <si>
    <t>WOS:000371736700004</t>
  </si>
  <si>
    <t>Zhang, HK; Roy, DP; Kovalskyy, V</t>
  </si>
  <si>
    <t>Zhang, Hankui K.; Roy, David P.; Kovalskyy, Valeriy</t>
  </si>
  <si>
    <t>Optimal Solar Geometry Definition for Global Long-Term Landsat Time-Series Bidirectional Reflectance Normalization</t>
  </si>
  <si>
    <t>Bidirectional reflectance normalization; Landsat; solar geometry</t>
  </si>
  <si>
    <t>SURFACE REFLECTANCE; BRDF CORRECTION; FOREST COVER; EOS-MODIS; TM; RETRIEVAL; SENSORS; IMAGERY; RECIPROCITY; ALBEDO</t>
  </si>
  <si>
    <t>The systematic generation of global Landsat time-series products has been advocated, and studies have suggested the need to minimize Landsat reflectance anisotropy effects. Considering a global year of non-Antarctic Landsat 5 and 7 acquisitions, the scene center solar zenith varied from 22.14 degrees to 89.71 degrees, with a mean of 43.23 degrees. However, a solar zenith angle definition suitable for generation of global bidirectional reflectance normalized Landsat time series has not been considered. In this paper, a solar zenith optimal definition is developed in terms of the following criteria: i) ensuring that it can be modeled for any location and date; ii) ensuring that it is constant or smoothly changing with respect to space and time and has global annual variation no greater than the variation in the observed Landsat solar zenith angles (theta(s)); and iii) minimizing the differences between theta(s) and the solar zenith angle used for normalization. Global coverage Landsat data are used to evaluate four solar zenith angle definitions, namely, fixed solar zenith angles, i.e., (theta(fixed)), the solar zenith at local solar noon, i.e., (theta(solar noon)), the solar zenith at the global mean Landsat overpass time, i.e., (theta(mean overpass time)), and the solar zenith at a latitude-varying local time parameterized by a polynomial function of latitude, i.e., (theta(poly overpass time)), that effectively provides a model of theta(s). The optimal definition for global and long time-series Landsat bidirectional reflectance normalization is (theta(poly overpass time)). The polynomial coefficients are provided so that users may implement Landsat bidirectional reflectance normalization algorithms using this optimal solar geometry.</t>
  </si>
  <si>
    <t>[Zhang, Hankui K.; Roy, David P.; Kovalskyy, Valeriy] S Dakota State Univ, Geospatial Sci Ctr Excellence, Brookings, SD 57007 USA</t>
  </si>
  <si>
    <t>South Dakota State University</t>
  </si>
  <si>
    <t>Zhang, HK; Roy, DP; Kovalskyy, V (corresponding author), S Dakota State Univ, Geospatial Sci Ctr Excellence, Brookings, SD 57007 USA.</t>
  </si>
  <si>
    <t>hankui.zhang@sdstate.edu; david.roy@sdstate.edu; Valeriy.Kovalskyy@sdstate.edu</t>
  </si>
  <si>
    <t>Roy, David/AAE-9278-2020</t>
  </si>
  <si>
    <t>U.S. Department of the Interior, U.S. Geological Survey [G12PC00069]; National Aeronautics and Space Administration program Making Earth System Data Records for Use in Research Environments (MEaSUREs) [NNX13AJ24A]</t>
  </si>
  <si>
    <t>U.S. Department of the Interior, U.S. Geological Survey(United States Geological Survey); National Aeronautics and Space Administration program Making Earth System Data Records for Use in Research Environments (MEaSUREs)</t>
  </si>
  <si>
    <t>This work was supported in part by the U.S. Department of the Interior, U.S. Geological Survey, under Grant G12PC00069 and in part by the National Aeronautics and Space Administration program Making Earth System Data Records for Use in Research Environments (MEaSUREs) under Cooperative Agreement NNX13AJ24A.</t>
  </si>
  <si>
    <t>10.1109/TGRS.2015.2480684</t>
  </si>
  <si>
    <t>DG8YL</t>
  </si>
  <si>
    <t>WOS:000372369400014</t>
  </si>
  <si>
    <t>Yang, Y; Li, Z; Huang, L; Tian, BS; Chen, Q</t>
  </si>
  <si>
    <t>Yang, Yan; Li, Zhen; Huang, Lei; Tian, Bangsen; Chen, Quan</t>
  </si>
  <si>
    <t>Extraction of glacier outlines and water-eroded stripes using high-resolution SAR imagery</t>
  </si>
  <si>
    <t>INTERNATIONAL JOURNAL OF REMOTE SENSING</t>
  </si>
  <si>
    <t>ANTARCTIC ICE-STREAM; TIBETAN PLATEAU; LINE; VELOCITY; PENETRATION; ALTIMETRY; TRACKING; MOTION; SHEET; SRTM</t>
  </si>
  <si>
    <t>Glaciers and ice sheets are sensitive indicators of climate change. The changes of outlines and texture features on the glacier surface are useful indicators of glacier change monitoring. The sensitivity of synthetic aperture radar (SAR), which is independent of weather and solar illumination, provides an efficient approach for glacier monitoring and the development of high-resolution SAR makes it possible to study glaciers in more detail. In this article, the decision-tree classification method, the Canny operator, and the phase congruency method are applied and compared to extract glacier outlines and water-eroded stripes using X-band high-resolution SAR imagery of the Dongkemadi glacier area in the Qinghai-Tibet Plateau, collected by the TerraSAR satellites. The experimental results are presented to illustrate the accuracy and efficiency of the phase congruency method as compared to other methods used for the extraction of linear features (outline and stripes) on glaciers. The phase congruency method, which is independent of image illumination and magnification, is used for the first time in glacier outline and stripe extraction. It is shown that, when combined with high-resolution SAR imagery, this method has the potential to provide valuable support for glacier mapping and change monitoring in the future.</t>
  </si>
  <si>
    <t>[Yang, Yan; Li, Zhen; Huang, Lei; Tian, Bangsen; Chen, Quan] Chinese Acad Sci, Inst Remote Sensing &amp; Digital Earth, Airborne Remote Sensing Ctr, Beijing, Peoples R China; [Yang, Yan] Univ Chinese Acad Sci, Coll Resources &amp; Environm, Beijing, Peoples R China</t>
  </si>
  <si>
    <t>Chinese Academy of Sciences; The Institute of Remote Sensing &amp; Digital Earth, CAS; Chinese Academy of Sciences; University of Chinese Academy of Sciences, CAS</t>
  </si>
  <si>
    <t>Huang, L (corresponding author), Chinese Acad Sci, Inst Remote Sensing &amp; Digital Earth, Beijing, Peoples R China.</t>
  </si>
  <si>
    <t>huanglei@radi.ac.cn</t>
  </si>
  <si>
    <t>huang, lei/GQP-8739-2022; Huang, Li/IUQ-0909-2023; HUANG, LING/HTR-1819-2023</t>
  </si>
  <si>
    <t>National Science Foundation of China [41471065, 41471307]; Youth Innovation Promotion Association CAS [2015048]</t>
  </si>
  <si>
    <t>National Science Foundation of China(National Natural Science Foundation of China (NSFC)); Youth Innovation Promotion Association CAS</t>
  </si>
  <si>
    <t>The present work was supported by the National Science Foundation of China (Nos. 41471065, 41471307) and Youth Innovation Promotion Association CAS (No. 2015048).</t>
  </si>
  <si>
    <t>0143-1161</t>
  </si>
  <si>
    <t>1366-5901</t>
  </si>
  <si>
    <t>INT J REMOTE SENS</t>
  </si>
  <si>
    <t>Int. J. Remote Sens.</t>
  </si>
  <si>
    <t>10.1080/01431161.2016.1145365</t>
  </si>
  <si>
    <t>DH4ZY</t>
  </si>
  <si>
    <t>WOS:000372795700002</t>
  </si>
  <si>
    <t>Mindel, BL; Webb, TJ; Neat, FC; Blanchard, JL</t>
  </si>
  <si>
    <t>Mindel, Beth L.; Webb, Thomas J.; Neat, Francis C.; Blanchard, Julia L.</t>
  </si>
  <si>
    <t>A trait-based metric sheds new light on the nature of the body size-depth relationship in the deep sea</t>
  </si>
  <si>
    <t>JOURNAL OF ANIMAL ECOLOGY</t>
  </si>
  <si>
    <t>bathymetry; deepwater fish; FishBase; functional role; L-max; ontogeny; Redundancy Analysis; trait-based analysis</t>
  </si>
  <si>
    <t>FISH COMMUNITY INDICATORS; DEMERSAL FISH; SPECIES COMPOSITION; BATHYMETRIC TRENDS; CONTINENTAL-SLOPE; LIFE-HISTORIES; MANAGEMENT; DIVERSITY; PREDATORS; ATLANTIC</t>
  </si>
  <si>
    <t>Variation within species is an often-overlooked aspect of community ecology, despite the fact that the ontogenetic structure of populations influences processes right up to the ecosystem level. Accounting for traits at the individual level is an important advance in the implementation of trait-based approaches in understanding community structure and function. We incorporate individual- and species-level traits into one succinct assemblage structure metric, fractional size, which is calculated as the length of an individual divided by its potential maximum length. We test the implementation of fractional size in demersal fish assemblages along a depth gradient in the deep sea. We use data from an extensive trawl survey at depths of 300-2030m on the continental slope of the Rockall Trough, Northeast Atlantic, to compare changes in fractional size structure along an environmental gradient to those seen using traditional taxonomic and trait-based approaches. The relationship between fractional size and depth was particularly strong, with the overall pattern being an increase with depth, implying that individuals move deeper as they grow. Body size increased with depth at the intraspecific and assemblage levels. Fractional size, size structure and species composition all varied among assemblages, and this variation could be explained by the depth that the assemblage occupied. The inclusion of individual-level traits and population fractional size structure adds to our understanding at the assemblage level. Fractional size, or where an individual is in its growth trajectory, appears to be an especially important driver of assemblage change with depth. This has implications for understanding fisheries impacts in the deep sea and how these impacts may propagate across depths.</t>
  </si>
  <si>
    <t>[Mindel, Beth L.; Webb, Thomas J.] Univ Sheffield, Dept Anim &amp; Plant Sci, Western Bank, Alfred Denny Bldg, Sheffield S10 2TN, S Yorkshire, England; [Neat, Francis C.] Marine Scotland, Marine Lab, 375 Victoria Rd,Box 101, Aberdeen AB11 9DB, Scotland; [Blanchard, Julia L.] Univ Tasmania, Inst Marine &amp; Antarctic Studies, IMAS Waterfront Bldg, Hobart, Tas 7004, Australia</t>
  </si>
  <si>
    <t>University of Sheffield; Marine Scotland Science (MSS); University of Tasmania</t>
  </si>
  <si>
    <t>Mindel, BL (corresponding author), Univ Sheffield, Dept Anim &amp; Plant Sci, Western Bank, Alfred Denny Bldg, Sheffield S10 2TN, S Yorkshire, England.</t>
  </si>
  <si>
    <t>b.l.mindel@sheffield.ac.uk</t>
  </si>
  <si>
    <t>Blanchard, Julia L/E-4919-2010; Webb, Tom/D-5224-2011</t>
  </si>
  <si>
    <t>Webb, Tom/0000-0003-3183-8116; Mindel, Beth/0000-0002-8383-0565; Neat, Francis/0000-0003-0077-9088; Blanchard, Julia/0000-0003-0532-4824</t>
  </si>
  <si>
    <t>NERC; Marine Scotland; Natural Environment Research Council [1233704] Funding Source: researchfish</t>
  </si>
  <si>
    <t>NERC(UK Research &amp; Innovation (UKRI)Natural Environment Research Council (NERC)); Marine Scotland; Natural Environment Research Council(UK Research &amp; Innovation (UKRI)Natural Environment Research Council (NERC))</t>
  </si>
  <si>
    <t>With thanks to Marine Scotland for providing the data; all participants in the deep-water survey over the years; NERC and Marine Scotland for funding.</t>
  </si>
  <si>
    <t>0021-8790</t>
  </si>
  <si>
    <t>1365-2656</t>
  </si>
  <si>
    <t>J ANIM ECOL</t>
  </si>
  <si>
    <t>J. Anim. Ecol.</t>
  </si>
  <si>
    <t>10.1111/1365-2656.12471</t>
  </si>
  <si>
    <t>Ecology; Zoology</t>
  </si>
  <si>
    <t>Environmental Sciences &amp; Ecology; Zoology</t>
  </si>
  <si>
    <t>DE9LP</t>
  </si>
  <si>
    <t>WOS:000370959300012</t>
  </si>
  <si>
    <t>Eswaraiah, S; Kim, YH; Hong, J; Kim, JH; Ratnam, MV; Chandran, A; Rao, SVB; Riggin, D</t>
  </si>
  <si>
    <t>Eswaraiah, S.; Kim, Yong Ha; Hong, Junseok; Kim, Jeong-Han; Ratnam, M. Venkat; Chandran, A.; Rao, S. V. B.; Riggin, Dennis</t>
  </si>
  <si>
    <t>Mesospheric signatures observed during 2010 minor stratospheric warming at King Sejong Station (62°S, 59°W)</t>
  </si>
  <si>
    <t>Sudden Stratospheric Warming (SSW); Mesosphere; Mesospheric Radars; MLS; SD-WACCM; Coupling; Mesosphere cooling</t>
  </si>
  <si>
    <t>PLANETARY-WAVES; METEOR RADAR; SOUTH-POLE; CLIMATOLOGY; TEMPERATURE; PARAMETERIZATION; STRATOPAUSE; ROTHERA; IMPACTS; EVENTS</t>
  </si>
  <si>
    <t>A minor stratospheric sudden warming (SSW) event was noticed in the southern hemisphere (SH) during September (day 259) 2010 along with two episodic warmings in early August (day 212) and late October (day 300) 2010. Among the three warming events, the signature of mesosphere response was detected only for the September event in the Mesospheric wind dataset from both meteor radar and MF radar located at King Sejong Station (62 degrees S, 59 degrees W) and Rothera (68 degrees S, 68 degrees W), Antarctica, respectively. The zonal winds in the mesosphere reversed approximately a week before the September SSW event, as has been observed in the 2002 major SSW. Signatures of mesospheric cooling (MC) in association with stratospheric warmings are found in temperatures measured by the Microwave Limb Sounder (MLS). Simulations of specified dynamics version of Whole Atmosphere Community Climate Model (SD-WACCM) are able to reproduce these observed features. The mesospheric wind field was found to differ significantly from that of normal years probably due to enhanced planetary wave (PW) activity before the SSW. From the wavelet analysis of wind data of both stations, we find that strong 14-16 day PWs prevailed prior to the SSW and disappeared suddenly after the SSW in the mesosphere. Our study provides evidence that minor SSWs in SH can result in significant effects on the mesospheric dynamics as in the northern hemisphere. (C) 2016 Elsevier Ltd. All rights reserved.</t>
  </si>
  <si>
    <t>[Eswaraiah, S.; Kim, Yong Ha; Hong, Junseok] Chungnam Natl Univ, Dept Astron Space Sci &amp; Geol, Daejeon, South Korea; [Eswaraiah, S.] Sri Venkateswara Coll Engn, Bangalore, Karnataka, India; [Kim, Jeong-Han] Korea Polar Res Inst, Inchon, South Korea; [Ratnam, M. Venkat] Natl Atmospher Res Lab, Tirupati, Andhra Pradesh, India; [Chandran, A.] Univ Colorado, Lab Atmospher &amp; Space Phys, Boulder, CO 80309 USA; [Rao, S. V. B.] Sri Venkateswara Univ, Dept Phys, Tirupati 517502, Andhra Pradesh, India; [Riggin, Dennis] Global Atmospher Technol &amp; Sci Inc GATS, Boulder, CO 80301 USA</t>
  </si>
  <si>
    <t>Chungnam National University; Korea Polar Research Institute (KOPRI); Korea Institute of Ocean Science &amp; Technology (KIOST); Department of Space (DoS), Government of India; National Atmospheric Research Laboratory (NARL); University of Colorado System; University of Colorado Boulder; Sri Venkateswara University</t>
  </si>
  <si>
    <t>Kim, YH (corresponding author), Chungnam Natl Univ, Dept Astron Space Sci &amp; Geol, Daejeon, South Korea.</t>
  </si>
  <si>
    <t>yhkim@cnu.ac.kr</t>
  </si>
  <si>
    <t>Kim, Yong Ha/AAS-9908-2021; Kim, Jeong Han/J-6244-2016; Venkat Ratnam, Madineni/AFW-0936-2022</t>
  </si>
  <si>
    <t>Kim, Yongha/0000-0003-0200-9423; Hong, Junseok/0000-0002-2347-7907; Vijaya Bhaskara Rao, Sarangam/0000-0002-8755-027X; Venkat Ratnam, M./0000-0002-3882-2523</t>
  </si>
  <si>
    <t>Korea Polar Research Institute; NSF</t>
  </si>
  <si>
    <t>Korea Polar Research Institute(Korea Polar Research Institute of Marine Research Placement (KOPRI)); NSF(National Science Foundation (NSF))</t>
  </si>
  <si>
    <t>This work was supported by the Korea Polar Research Institute. The meteor radar data set is available use by other researchers; please contact Professor Kim for access. The authors acknowledge ECMWF for providing ERA-Interim data set through their web site (http://ecmwf.int/research/era/do/get/index) and MLS data team for providing the temperature data through the website http://mls.jpl.nasa.gov/products/temp_product.php. We also thank the British Antarctic Survey, for providing the Rothera MF radar data. AC conducted this work as a participant in the visiting scientist program at the National Center for Atmospheric Research (NCAR), which is sponsored by NSF. Computing resources for model runs simulations and storage were provided by NCAR's Climate Simulation Laboratory, sponsored by NSF and other agencies.</t>
  </si>
  <si>
    <t>10.1016/j.jastp.2016.02.007</t>
  </si>
  <si>
    <t>WOS:000372762200007</t>
  </si>
  <si>
    <t>Singh, P; Singh, SM; Roy, U</t>
  </si>
  <si>
    <t>Singh, Purnima; Singh, Shiv Mohan; Roy, Utpal</t>
  </si>
  <si>
    <t>Taxonomic characterization and the bio-potential of bacteria isolated from glacier ice cores in the High Arctic</t>
  </si>
  <si>
    <t>JOURNAL OF BASIC MICROBIOLOGY</t>
  </si>
  <si>
    <t>Diversity; Psychrophilic bacteria; Enzymes; Midre Lovenbreen glacier; Svalbard</t>
  </si>
  <si>
    <t>PHYSIOLOGICAL DIVERSITY; PSYCHROPHILIC ENZYMES; CULTURABLE BACTERIA; LOVENBREEN GLACIER; MIDRE LOVENBREEN; CRYOCONITE HOLES; LAKE VOSTOK; SP-NOV.; MICROORGANISMS; SVALBARD</t>
  </si>
  <si>
    <t>Glacier ice and firn cores have ecological and biotechnological importance. The present study is aimed at characterizing bacteria in crustal ice cores from Svalbard, the Arctic. Counts of viable isolates ranged from 10 to 7000CFU/ml (mean 803CFU/ml) while the total bacterial numbers ranged from 7.20x10(4) to 2.59x10(7)cellsml(-1) (mean 3.12x10(6)cellsml(-1)). Based on 16S rDNA sequence data, the identified species belonged to seven species, namely Bacillus barbaricus, Pseudomonas orientalis, Pseudomonas oryzihabitans, Pseudomonas fluorescens, Pseudomonas syncyanea, Sphingomonas dokdonensis, and Sphingomonas phyllosphaerae, with a sequence similarity ranging between 93.5 and 99.9% with taxa present in the database. The isolates exhibited unique phenotypic properties, and three isolates (MLB-2, MLB-5, and MLB-9) are novel species, yet to be described. To the best of our knowledge, this is the first report on characterization of cultured bacterial communities from Svalbard ice cores. We conclude that high lipase, protease, cellulase, amylase, and urease activities expressed by most of the isolates provide a clue to the potential industrial applications of these organisms. These microbes, producing cold-adapted enzymes may provide an opportunity for biotechnological research.</t>
  </si>
  <si>
    <t>[Singh, Purnima; Roy, Utpal] Birla Inst Technol &amp; Sci, Pilani KK Birla Goa Campus, Zuarinagar 403726, Goa, India; [Singh, Shiv Mohan] Minist Earth Sci, Natl Ctr Antarctic &amp; Ocean Res, Vasco Da Gama 403804, Goa, India</t>
  </si>
  <si>
    <t>Birla Institute of Technology &amp; Science Pilani (BITS Pilani); Ministry of Earth Sciences (MoES) - India; National Centre for Polar and Ocean Research (NCPOR)</t>
  </si>
  <si>
    <t>Roy, U (corresponding author), Birla Inst Technol &amp; Sci, Pilani KK Birla Goa Campus, Zuarinagar 403726, Goa, India.</t>
  </si>
  <si>
    <t>utpalroybitsgoa@gmail.com</t>
  </si>
  <si>
    <t>Roy, Utpal/GOP-1757-2022</t>
  </si>
  <si>
    <t>Roy, Utpal/0000-0003-2500-078X</t>
  </si>
  <si>
    <t>Department of Science &amp; Technology (DST) India [SR/WOSA/LS-419/2013(G)]</t>
  </si>
  <si>
    <t>Department of Science &amp; Technology (DST) India(Department of Science &amp; Technology (India))</t>
  </si>
  <si>
    <t>We would like to thank Directors, BITS, and NCAOR for facilities. Authors are thankful to Department of Science &amp; Technology (DST) India for providing the financial support [SR/WOSA/LS-419/2013(G)]. Authors are also thankful to Dr. Mietek Pokorski, for fruitful discussion. Authors are grateful to Dr. Elie Verleyen (Ghent University, Belgium) for improving the English language of the manuscript.</t>
  </si>
  <si>
    <t>0233-111X</t>
  </si>
  <si>
    <t>1521-4028</t>
  </si>
  <si>
    <t>J BASIC MICROB</t>
  </si>
  <si>
    <t>J. Basic Microbiol.</t>
  </si>
  <si>
    <t>10.1002/jobm.201500298</t>
  </si>
  <si>
    <t>DG2XT</t>
  </si>
  <si>
    <t>WOS:000371934800007</t>
  </si>
  <si>
    <t>Ellis, LT; Asthana, AK; Srivastava, P; Omar, I; Rawat, KK; Sahu, V; Cano, MJ; Costa, DP; Dias, EM; Dias dos Santos, N; Silva, JB; Fedosov, VE; Kozhin, MN; Ignatova, EA; Germano, SR; Golovina, EO; Gremmen, NJM; Ion, R; Stefanut, S; von Konrat, M; Jimenez, MS; Suárez, GM; Kiebacher, T; Lebouvier, M; Long, DG; Maity, D; Ochyra, R; Parnikoza, I; Plásek, V; Fialová, L; Skoupá, Z; Poponessi, S; Aleffi, M; Sabovljevic, MS; Sabovljevic, AD; Saha, P; Aziz, MN; Sawicki, J; Suleiman, M; Sun, BY; Vána, J; Wójcik, T; Yoon, YJ; Zarnowiec, J; Larraín, J</t>
  </si>
  <si>
    <t>Ellis, L. T.; Asthana, A. K.; Srivastava, P.; Omar, I.; Rawat, K. K.; Sahu, V.; Cano, M. J.; Costa, D. P.; Dias, E. M.; Dias dos Santos, N.; Silva, J. B.; Fedosov, V. E.; Kozhin, M. N.; Ignatova, E. A.; Germano, S. R.; Golovina, E. O.; Gremmen, N. J. M.; Ion, R.; Stefanut, S.; von Konrat, M.; Jimenez, M. S.; Suarez, G. M.; Kiebacher, T.; Lebouvier, M.; Long, D. G.; Maity, D.; Ochyra, R.; Parnikoza, I.; Plasek, V.; Fialova, L.; Skoupa, Z.; Poponessi, S.; Aleffi, M.; Sabovljevic, M. S.; Sabovljevic, A. D.; Saha, P.; Aziz, M. N.; Sawicki, J.; Suleiman, M.; Sun, B. -Y.; Vana, J.; Wojcik, T.; Yoon, Y. -J.; Zarnowiec, J.; Larrain, J.</t>
  </si>
  <si>
    <t>New national and regional bryophyte records, 46</t>
  </si>
  <si>
    <t>JOURNAL OF BRYOLOGY</t>
  </si>
  <si>
    <t>MOSS GENUS; SOUTH-AMERICAN; GRIMMIACEAE; CHECKLIST; FLORA; LIST; DIVERSITY; REVISION; AFRICA; ISLAND</t>
  </si>
  <si>
    <t>[Ellis, L. T.] Nat Hist Museum, Cromwell Rd, London SW7 5BD, England; [Asthana, A. K.; Srivastava, P.; Omar, I.; Rawat, K. K.; Sahu, V.] CSIR Natl Bot Res Inst, New Delhi, India; [Cano, M. J.] Univ Murcia, Dept Biol Vegetal Bot, E-30001 Murcia, Spain; [Costa, D. P.] Inst Pesquisas Jardim Bot Rio de Janeiro, Rio De Janeiro, Brazil; [Dias, E. M.; Dias dos Santos, N.; Silva, J. B.] Univ Fed Pernambuco, Dept Bot, Recife, PE, Brazil; [Dias dos Santos, N.] Univ Fed Rural Rio Janeiro, Inst Biol, Rio De Janeiro, Brazil; [Fedosov, V. E.; Kozhin, M. N.; Ignatova, E. A.] Moscow MV Lomonosov State Univ, Moscow 117234, Russia; [Dias, E. M.; Germano, S. R.] Estadual Univ Paraiba, Dept Bot, Londrina, Paraiba, Brazil; [Golovina, E. O.] RAS, Komarov Bot Inst, Moscow, Russia; [Ion, R.; Stefanut, S.] Romanian Acad, Inst Biol Bucharest, Bucharest, Romania; [von Konrat, M.] Field Museum, Sci &amp; Educ, Chicago, IL USA; [Jimenez, M. S.; Suarez, G. M.] Consejo Nacl Invest Cient &amp; Tecn, RA-1033 Buenos Aires, DF, Argentina; [Jimenez, M. S.] Inst Botan Nordeste, Corrientes, Argentina; [Suarez, G. M.] Fdn Miguel Lillo, Fac Ciencias Nat, San Miguel De Tucuman, Argentina; [Kiebacher, T.] Swiss Fed Res Inst WSL, Zurich, Switzerland; [Lebouvier, M.] Univ Rennes, CNRS UMR 6553, Rennes, France; [Long, D. G.] Royal Bot Gardens, Edinburgh, Midlothian, Scotland; [Maity, D.] Univ Calcutta, Dept Bot, Kolkata 700073, W Bengal, India; [Ochyra, R.] Polish Acad Sci, PL-00901 Warsaw, Poland; [Parnikoza, I.] Natl Acad Sci, Inst Mol Biol &amp; Genet, Kiev, Ukraine; [Plasek, V.; Fialova, L.; Skoupa, Z.; Sawicki, J.] Univ Ostrava, Ostrava, Czech Republic; [Poponessi, S.; Aleffi, M.] Univ Camerino, I-62032 Camerino, Italy; [Sabovljevic, M. S.; Sabovljevic, A. D.] Univ Belgrade, Inst Bot &amp; Bot Garden, Belgrade, Serbia; [Saha, P.; Aziz, M. N.] Bot Survey India, Cent Natl Herbarium, New Delhi, India; [Sawicki, J.] Univ Warmia &amp; Mazury, Olsztyn, Poland; [Suleiman, M.] Univ Malaysia, Inst Trop Biol &amp; Conservat, Kuala Lumpur, Malaysia; [Sun, B. -Y.] Chonbuk Natl Univ, Seoul, South Korea; [Vana, J.] Charles Univ Prague, Dept Bot, CR-11636 Prague 1, Czech Republic; [Wojcik, T.] Rzeszow Univ, Rzeszow, Poland; [Yoon, Y. -J.] KIOST, Korea Polar Res Inst, Seoul, South Korea; [Zarnowiec, J.] Univ Bielsko Biaa, Inst Environm Protect &amp; Engn, Bielsko Biala, Poland; [Larrain, J.] Pontificia Univ Catolica Valparaiso, Inst Biol, Valparaiso, Chile</t>
  </si>
  <si>
    <t>Natural History Museum London; Council of Scientific &amp; Industrial Research (CSIR) - India; CSIR - National Botanical Research Institute (NBRI); University of Murcia; Jardim Botanico do Rio de Janeiro; Universidade Federal de Pernambuco; Lomonosov Moscow State University; Russian Academy of Sciences; Komarov Botanical Institute, Russian Academy of Sciences; Romanian Academy of Sciences; Institute of Biology Bucharest; Field Museum of Natural History (Chicago); Consejo Nacional de Investigaciones Cientificas y Tecnicas (CONICET); Miguel Lillo Foundation; Consejo Nacional de Investigaciones Cientificas y Tecnicas (CONICET); Swiss Federal Institutes of Technology Domain; Swiss Federal Institute for Forest, Snow &amp; Landscape Research; Universite de Rennes; Centre National de la Recherche Scientifique (CNRS); CNRS - Institute of Ecology &amp; Environment (INEE); Royal Botanic Gardens, Kew; University of Calcutta; Polish Academy of Sciences; National Academy of Sciences Ukraine; Institute of Molecular Biology &amp; Genetics of NASU; University of Ostrava; University of Camerino; University of Belgrade; Botanical Survey of India (BSI); University of Warmia &amp; Mazury; Universiti Malaya; Jeonbuk National University; Charles University Prague; University of Rzeszow; Korea Polar Research Institute (KOPRI); Korea Institute of Ocean Science &amp; Technology (KIOST); University of Bielsko-Biala; Pontificia Universidad Catolica de Valparaiso</t>
  </si>
  <si>
    <t>Ellis, LT (corresponding author), Nat Hist Museum, Dept Life Sci, Cromwell Rd, London SW7 5BD, England.</t>
  </si>
  <si>
    <t>l.ellis@nhm.ac.uk</t>
  </si>
  <si>
    <t>Stefanut, Sorin/N-3318-2019; Sabovljevic, Marko S/ABC-8637-2020; Sawicki, Jakub/H-4432-2012; Plasek, Vitezslav/D-8242-2014; Venanzoni, Roberto/F-3703-2014; Cano, Maria J./G-9675-2015; Aleffi, Michele/R-4499-2019; Stefanut, Sorin/GRO-5620-2022; costa, denise/AAB-1696-2020; Ignatova, Elena/AAE-5238-2021; Stefanut, Sorin/B-9350-2011; Costa, Denise P/B-5727-2011; Sabovljevic, Marko/AAJ-2593-2020; Nicoara, Roxana/JWP-8417-2024; Kozhin, Mikhail/AAG-9409-2019; Váňa, Jiří/I-5979-2016; costa, denise/HGU-5419-2022; Poponessi, Silvia/O-4526-2018; Parnikoza, Ivan/I-2398-2016; Fedosov, Vladimir E./P-7066-2014; Silva, Joan/R-7507-2017</t>
  </si>
  <si>
    <t>Sabovljevic, Marko S/0000-0001-5809-0406; Sawicki, Jakub/0000-0002-4759-8113; Plasek, Vitezslav/0000-0002-4664-2135; Cano, Maria J./0000-0002-1297-457X; Stefanut, Sorin/0000-0002-1061-8942; costa, denise/0000-0001-9495-3029; Stefanut, Sorin/0000-0002-1061-8942; Sabovljevic, Marko/0000-0001-5809-0406; Nicoara, Roxana/0000-0002-8191-5522; Dias dos Santos, Nivea/0000-0002-9171-0459; Ochyra, Ryszard/0000-0002-2541-0722; Natcheva, Rayna/0000-0001-7873-5523; Wojcik, Tomasz/0000-0003-0990-5132; Opisso, Jasmin/0000-0001-6555-8951; Borovichev, Eugene/0000-0002-7310-6872; Ignatova, Elena/0000-0001-6287-5660; Enroth, Johannes/0000-0002-2028-6910; Larrain, Juan B./0000-0002-9423-6561; Suarez, Guillermo/0000-0002-7131-0634; Zarnowiec, Jan/0000-0002-9662-7531; Fedosov, Vladimir/0000-0002-5331-6346; Jimenez, Soledad/0000-0001-6676-8897; Silva, Joan/0000-0001-6983-575X; Sabovljevic, Aneta/0000-0003-3092-9972</t>
  </si>
  <si>
    <t>Spanish government (FEDER) [CGL2012-30721]; Russian Science Foundation (RNF) [14-50-00029]; RFBR Grant [14-01-01424]; Institute of Biology Bucharest of Romanian Academy [RO1567-IBB03/2015]; Ministry of Environment, Forests AMP; Climate Change, New Delhi; Institute of Environmental Technologies [CZ.1.05/2.1.00/03.0100]; National Feasibility Programme I of the Czech Republic [LO1208]; SYNTHESYS project [DE-TAF-4436]; National Science Foundation [1115116, DEB1145898, DEB1146168]; SGCyT [12P002]; PIUNT [PIP 0078, PICT 1838]; ISRO, Ahmedabad, India [GAP-3329]; Research Base Construction Fund Support Program - Chonbuk National University; Polish National Centre of Science [N N 303 796 940]; Institute of Botany of the Polish Academy of Sciences; National Antarctic Research Centre of the Ministry of Education and Science of the Ukraine; US National Science Foundation; Div Of Biological Infrastructure; Direct For Biological Sciences [1115116] Funding Source: National Science Foundation</t>
  </si>
  <si>
    <t>Spanish government (FEDER)(European Union (EU)Spanish Government); Russian Science Foundation (RNF)(Russian Science Foundation (RSF)); RFBR Grant(Russian Foundation for Basic Research (RFBR)); Institute of Biology Bucharest of Romanian Academy; Ministry of Environment, Forests AMP; Climate Change, New Delhi(Ministry of Environment (ME), Republic of Korea); Institute of Environmental Technologies; National Feasibility Programme I of the Czech Republic; SYNTHESYS project; National Science Foundation(National Science Foundation (NSF)); SGCyT; PIUNT; ISRO, Ahmedabad, India; Research Base Construction Fund Support Program - Chonbuk National University; Polish National Centre of Science; Institute of Botany of the Polish Academy of Sciences; National Antarctic Research Centre of the Ministry of Education and Science of the Ukraine; US National Science Foundation(National Science Foundation (NSF)); Div Of Biological Infrastructure; Direct For Biological Sciences(National Science Foundation (NSF)NSF - Directorate for Biological Sciences (BIO))</t>
  </si>
  <si>
    <t>M. J. Cano is grateful to J. Guerra for confirming the identity of the specimen of Timmia austriaca. The work was carried out with the financial support of Spanish government (project CGL2012-30721 co-financed by FEDER). Len Ellis is grateful to Dr Bill Buck (NY) for drawing attention to the specimen found to represent Syrrhopodon scalariformis and for arranging its loan to BM. The work of V. E. Fedosov was partly supported by Grant # 14-50-00029 Scientific basis of the national biobank depository of the living systems (branch Plants) from Russian Science Foundation (RNF), and that of M. Kozhin and E. Ignatova was partly supported by RFBR Grant # 14-01-01424. S. Stefanut, acknowledges the support of project no. RO1567-IBB03/2015, received through the Institute of Biology Bucharest of Romanian Academy. J. B. Silva, E. M. Dias, S. R. Germano and N. Dias dos Santos are grateful to SISBio who granted them permission (under number 45504-1 in Ago 2014) to collect for scientific purposes in Parque Nacional Vale do Catimbau. A. K. Asthana, P. Srivastava and I. Omar are grateful to the Director, CSIR-NBRI, Lucknow (India) for encouragement and providing facilities. These authors thankfully acknowledge the Ministry of Environment, Forests &amp; Climate Change, New Delhi for financial assistance. The contribution by V. Plasek is part of a research project of the Institute of Environmental Technologies, reg. no. CZ.1.05/2.1.00/03.0100, Project LO1208 of the National Feasibility Programme I of the Czech Republic and SYNTHESYS project DE-TAF-4436. J. Larrain, M. Suleiman, and M. von Konrat acknowledge Sabah Biodiversity for access permits and Sabah Parks for field assistance. Fieldwork was possible through National Science Foundation grants (Award Nos. 1115116, DEB1145898, DEB1146168). P. Saha, M. N. Aziz, and D. Maity are grateful to the director, Botanical Survey of India for encouragement and facilities.r The research of M. S. Jimenez and G. M. Suarez was supported by SGCyT (Project 12P002), PIUNT, PIP 0078, and PICT 1838. The authors thank the curators of herbaria for making available the samples studied in this research. K. K. Rawat, Vinay Sahu, and A. K. Asthana acknowledge financial support from ISRO, Ahmedabad, India, under project GAP-3329. The research of Y.-J. Yoon and B.-Y. Sun was supported by Research Base Construction Fund Support Program funded by Chonbuk National University in 2011. The contributions by R. Ochyra have been financially supported by the Polish National Centre of Science through grant No. N N 303 796 940 for Halina Bednarek-Ochyra and, partly, by the statutory fund of the Institute of Botany of the Polish Academy of Sciences. He is also thankful to the Curators at AK, PC and S for the loan of the herbarium material. The field work of R. Ochyra and Marc Lebouvier on Iles Crozet in 2012 was organised within the programme 136 ECOBIO of the French Polar Institute (IPEV). The contribution by I. Parnikoza gained the financial support of the National Antarctic Research Centre of the Ministry of Education and Science of the Ukraine and US National Science Foundation especially V. Papitashvili. He is also thankful to D. Pilipenko for assistance with field work.; His research was part of the national targeted scientific and technological programme of research in the Antarctic for 2011-2020 and in accordance with an agreement on the scientific cooperation between the Polish Academy of Sciences and the National Academy of Sciences of the Ukraine under the project Adaptive strategy of mutual survival of organisms in extreme environmental conditions (2015-2017).</t>
  </si>
  <si>
    <t>0373-6687</t>
  </si>
  <si>
    <t>1743-2820</t>
  </si>
  <si>
    <t>J BRYOL</t>
  </si>
  <si>
    <t>J. Bryol.</t>
  </si>
  <si>
    <t>10.1080/03736687.2015.1123344</t>
  </si>
  <si>
    <t>DL9CS</t>
  </si>
  <si>
    <t>WOS:000375939600004</t>
  </si>
  <si>
    <t>Hobbs, W; Palmer, MD; Monselesan, D</t>
  </si>
  <si>
    <t>Hobbs, Will; Palmer, Matthew D.; Monselesan, Didier</t>
  </si>
  <si>
    <t>An Energy Conservation Analysis of Ocean Drift in the CMIP5 Global Coupled Models*</t>
  </si>
  <si>
    <t>Budgets; Model evaluation/performance; Model comparison; Climate models; Climate sensitivity; Models and modeling; Circulation/ Dynamics; Conservation equations; Physical Meteorology and Climatology</t>
  </si>
  <si>
    <t>EARTH SYSTEM MODEL; CLIMATE MODEL; SIMULATION</t>
  </si>
  <si>
    <t>Climate model simulations of changes to Earth's energy budget are fundamental to improve understanding of both historical and future climate change. However, coupled models are prone to drift (i.e., they contain spurious unforced trends in state variables) due to incomplete spinup or nonclosure of the energy budget. This work assesses the globally integrated energy budgets of 25 models in phase 5 of CMIP (CMIP5). It is shown that for many of the models there is a significant disagreement between ocean heat content changes and net top-of-atmosphere radiation. The disagreement is largely time-constant and independent of forcing scenario. Furthermore, most of the nonconservation seems to occur as a result of energy leaks external to the ocean model realm. After drift correction, the time-varying energy budget is consistent at decadal time scales, and model responses to climate forcing are not sensitive to the magnitude of their drift. This demonstrates that, although drift terms can be significant, model output can be corrected post hoc without biasing results.</t>
  </si>
  <si>
    <t>[Hobbs, Will] Univ Tasmania, IMAS, ARC Ctr Excellence Climate Syst Sci, Private Bag 129, Hobart, Tas 7001, Australia; [Hobbs, Will] Univ Tasmania, Antarctic Climate &amp; Ecosyst Cooperat Res Ctr, Hobart, Tas 7001, Australia; [Palmer, Matthew D.] Met Off, Hadley Ctr, Exeter, Devon, England; [Monselesan, Didier] CSIRO Oceans &amp; Atmosphere, Hobart, Tas, Australia</t>
  </si>
  <si>
    <t>University of Tasmania; ARC Centre of Excellence for Climate System Science; University of Tasmania; Antarctic Climate &amp; Ecosystems Cooperative Research Centre (ACE CRC); Met Office - UK; Hadley Centre; Commonwealth Scientific &amp; Industrial Research Organisation (CSIRO)</t>
  </si>
  <si>
    <t>Hobbs, W (corresponding author), Univ Tasmania, IMAS, ARC Ctr Excellence Climate Syst Sci, Private Bag 129, Hobart, Tas 7001, Australia.</t>
  </si>
  <si>
    <t>whobbs@utas.edu.au</t>
  </si>
  <si>
    <t>Hobbs, Will/P-8094-2019; Monselesan, Didier/A-2327-2012</t>
  </si>
  <si>
    <t>Hobbs, Will/0000-0002-2061-0899; Palmer, Matthew/0000-0001-7422-198X; Monselesan, Didier/0000-0002-0310-8995</t>
  </si>
  <si>
    <t>Australian Climate Change Science Program; CSIRO; University of Tasmania; Joint UK DECC/Defra Met Office Hadley Centre Climate Programme [GA01101]; [NE/K005480/1]</t>
  </si>
  <si>
    <t>Australian Climate Change Science Program; CSIRO(Commonwealth Scientific &amp; Industrial Research Organisation (CSIRO)); University of Tasmania; Joint UK DECC/Defra Met Office Hadley Centre Climate Programme;</t>
  </si>
  <si>
    <t>The authors are indebted to Dr. Jonathon Gregory, Dr. Alex Sen Gupta, and two anonymous reviewers for helpful comments in the preparation of this manuscript, and to Paola Petrelli for help in managing the CMIP5 data. DM is partly supported financially by the Australian Climate Change Science Program. Much of the analysis took place during a visiting science fellowship undertaken by MDP that was sponsored by CSIRO and the University of Tasmania. MDP was supported by the Joint UK DECC/Defra Met Office Hadley Centre Climate Programme (GA01101) and his work represents a contribution to the Natural Environment Research Council DEEP-C project NE/K005480/1. We acknowledge the World Climate Research Programme's Working Group on Coupled Modelling, which is responsible for CMIP, and we thank the climate modeling groups (listed in Table 1 of this paper) for producing and making available their model output. For CMIP the U.S. Department of Energy's Program for Climate Model Diagnosis and Intercomparison provides coordinating support and led development of software infrastructure in partnership with the Global Organization for Earth System Science Portals. Much of the analysis was performed using the NCAR Command Language (NCL).</t>
  </si>
  <si>
    <t>10.1175/JCLI-D-15-0477.1</t>
  </si>
  <si>
    <t>DF4EQ</t>
  </si>
  <si>
    <t>hybrid, Green Submitted, Green Accepted</t>
  </si>
  <si>
    <t>WOS:000371301000002</t>
  </si>
  <si>
    <t>Kidwell, A; Lee, T; Jo, YH; Yan, XH</t>
  </si>
  <si>
    <t>Kidwell, Autumn; Lee, Tong; Jo, Young-Heon; Yan, Xiao-Hai</t>
  </si>
  <si>
    <t>Characterization of the Variability of the South Pacific Convergence Zone Using Satellite and Reanalysis Wind Products</t>
  </si>
  <si>
    <t>Variability; Interannual variability; Satellite observations; Pacific decadal oscillation; Circulation/ Dynamics; Observational techniques and algorithms; Decadal variability; ENSO; Tropical variability</t>
  </si>
  <si>
    <t>SEA-SURFACE SALINITY; EL-NINO EVENTS; EASTERN-PACIFIC; WARM POOL; OSCILLATION; ENSO; IMPACTS; CIRCULATION; OCEAN</t>
  </si>
  <si>
    <t>The variability of the South Pacific convergence zone (SPCZ) is evaluated using ocean surface wind products derived from the atmospheric reanalysis ERA-Interim for the period of 1981-2014 and QuickSCAT for the period of 1999-2009. From these products, indices were developed to represent the SPCZ strength, area, and centroid location. Excellent agreement is found between the indices derived from the two wind products during the QuikSCAT period in terms of the spatiotemporal structures of the SPCZ. The longer ERA-Interim product is used to study the variations of SPCZ properties on intraseasonal, seasonal, interannual, and decadal time scales. The SPCZ strength, area, and centroid latitude have a dominant seasonal cycle. In contrast, the SPCZ centroid longitude is dominated by intraseasonal variability due to MJO influence. The SPCZ indices are all correlated with El Nino-Southern Oscillation indices. Interannual and intraseasonal variations of SPCZ strength during strong El Nino are approximately twice as large as the respective seasonal variations. SPCZ strength depends more on the intensity of El Nino rather than the central-Pacific versus eastern-Pacific type. The change from positive to negative Pacific decadal oscillation (PDO) around 1999 results in a westward shift of the SPCZ centroid longitude, a much smaller interannual swing in centroid latitude, and a decrease in SPCZ area. This study improves the understanding of the variations of the SPCZ on multiple time scales and reveals the variations of SPCZ strength not reported previously. The diagnostics analyses can be used to evaluate climate models to gauge their fidelity.</t>
  </si>
  <si>
    <t>[Kidwell, Autumn; Yan, Xiao-Hai] Univ Delaware, Coll Earth Ocean &amp; Environm, 215 Robinson Hall, Newark, DE 19716 USA; [Lee, Tong] CALTECH, Jet Prop Lab, Pasadena, CA USA; [Jo, Young-Heon] Pusan Natl Univ, Dept Oceanog, Busan, South Korea; [Yan, Xiao-Hai] Univ Delaware, Xiamen Univ, Joint Inst Coastal Res &amp; Management, Newark, DE 19716 USA</t>
  </si>
  <si>
    <t>University of Delaware; National Aeronautics &amp; Space Administration (NASA); NASA Jet Propulsion Laboratory (JPL); California Institute of Technology; Pusan National University; University of Delaware</t>
  </si>
  <si>
    <t>Kidwell, A (corresponding author), Univ Delaware, Coll Earth Ocean &amp; Environm, 215 Robinson Hall, Newark, DE 19716 USA.</t>
  </si>
  <si>
    <t>akidwell@udel.edu</t>
  </si>
  <si>
    <t>Lee, Tony/JDM-3564-2023; Lee, Tong/AAZ-6447-2020</t>
  </si>
  <si>
    <t>Lee, Tong/0000-0001-9817-2908</t>
  </si>
  <si>
    <t>Delaware Space Grant College and Fellowship Program (NASA) [NNX15AI19H]; SaTellite remote sensing on west Antarctic ocean Research: STAR'' of the Korea Polar Research Institute, Republic of Korea [PE14040]; Natural Science Foundation of China [NSFC-41476007]</t>
  </si>
  <si>
    <t>Delaware Space Grant College and Fellowship Program (NASA); SaTellite remote sensing on west Antarctic ocean Research: STAR'' of the Korea Polar Research Institute, Republic of Korea(Korea Polar Research Institute of Marine Research Placement (KOPRI)); Natural Science Foundation of China(National Natural Science Foundation of China (NSFC))</t>
  </si>
  <si>
    <t>We thank the Delaware Space Grant College and Fellowship Program (NASA Grant NNX15AI19H) for financial support. This research was, in part, carried out at the Jet Propulsion Laboratory, California Institute of Technology, under a contract with the National Aeronautics and Space Administration. This study was also carried out with the support of SaTellite remote sensing on west Antarctic ocean Research: STAR'' (Project PE14040) of the Korea Polar Research Institute, Republic of Korea. This research was partially supported by the Natural Science Foundation of China (NSFC-41476007). We thank E. Liao, J. Marks, and M. Shatley for Technical Support and Trouble Shooting (TSTS).</t>
  </si>
  <si>
    <t>10.1175/JCLI-D-15-0536.1</t>
  </si>
  <si>
    <t>WOS:000371301600002</t>
  </si>
  <si>
    <t>Hu, CD; Wu, QG; Yang, S; Yao, YH; Chan, D; Li, ZN; Deng, KQ</t>
  </si>
  <si>
    <t>Hu, Chundi; Wu, Qigang; Yang, Song; Yao, Yonghong; Chan, Duo; Li, Zhenning; Deng, Kaiqiang</t>
  </si>
  <si>
    <t>A Linkage Observed between Austral Autumn Antarctic Oscillation and Preceding Southern Ocean SST Anomalies</t>
  </si>
  <si>
    <t>SEA-SURFACE TEMPERATURE; OBSERVED ATMOSPHERIC RESPONSE; STOCHASTIC CLIMATE MODELS; HEMISPHERE ANNULAR MODE; NORTH-ATLANTIC; HEAT-FLUX; CIRCUMPOLAR WAVE; MEAN STATE; CIRCULATION; VARIABILITY</t>
  </si>
  <si>
    <t>In this study, the authors apply a lagged maximum covariance analysis (MCA) to capture the cross-seasonal coupled patterns between the Southern Ocean sea surface temperature (SOSST) and extratropical 500-hPa geopotential height anomalies in the Southern Hemisphere, from which Nino-3.4 signals and their linear trends are removed to a certain extent. Statistically significant results show that the dominant feature of ocean-atmosphere interaction is likely the effect of atmosphere on SOSST anomalies, with a peak occurring when the atmosphere leads the SOSST by 1 month. However, the most eye-capturing phenomenon is that the austral autumn atmospheric signal, characterized by a negatively polarized Antarctic Oscillation (AAO), is significantly related to the gradual evolution of preceding SOSST anomalies, suggesting that the SOSST anomalies tend to exert an effect on the Southern Hemisphere atmospheric circulation. A regression analysis based on SOSST anomaly centers confirms these features. It is also demonstrated that the gradual evolution of changes in SOSST is mainly driven by internal atmospheric variability via surface turbulent heat flux associated with cold or warm advection and that the atmospheric circulation experiences a change from a typical positive AAO to a negative phase in this process. These findings indicate that such a long lead cross-seasonal covariance could contribute to a successful prediction of AAO-related atmospheric circulation in austral autumn from the perspective of SOSST anomalies, with lead times up to 6-7 months.</t>
  </si>
  <si>
    <t>[Hu, Chundi; Wu, Qigang; Yao, Yonghong; Chan, Duo] Nanjing Univ, Sch Atmospher Sci, Xianlin Campus,163 Xianlin Blvd, Nanjing 210023, Jiangsu, Peoples R China; [Hu, Chundi; Yang, Song; Li, Zhenning; Deng, Kaiqiang] Sun Yat Sen Univ, Inst Earth Climate &amp; Environm Syst, Guangzhou 510275, Guangdong, Peoples R China; [Yang, Song; Li, Zhenning; Deng, Kaiqiang] Sun Yat Sen Univ, Sch Atmospher Sci, Guangzhou 510275, Guangdong, Peoples R China</t>
  </si>
  <si>
    <t>Nanjing University; Sun Yat Sen University; Sun Yat Sen University</t>
  </si>
  <si>
    <t>Wu, QG (corresponding author), Nanjing Univ, Sch Atmospher Sci, Xianlin Campus,163 Xianlin Blvd, Nanjing 210023, Jiangsu, Peoples R China.</t>
  </si>
  <si>
    <t>qigangwu@nju.edu.cn; yangsong3@mail.sysu.edu.cn</t>
  </si>
  <si>
    <t>Deng, Kaiqiang/AAG-2550-2019; Chan, Duo/AAO-3246-2020</t>
  </si>
  <si>
    <t>Li, Zhenning/0000-0002-7770-6867; Wu, Qigang/0000-0002-6958-867X</t>
  </si>
  <si>
    <t>National Key Scientific Research Plan of China [2012CB956002, 2014CB953900]; National Natural Science Foundation of China [41375081]; China Special Fund for Meteorological Research in the Public Interest [201206038]; LASW State Key Laboratory Special Fund [2013LASW-A05]; Jiangsu Collaborative Innovation Center for Climate Change; China National Supercomputer Center in Guangzhou</t>
  </si>
  <si>
    <t>National Key Scientific Research Plan of China; National Natural Science Foundation of China(National Natural Science Foundation of China (NSFC)); China Special Fund for Meteorological Research in the Public Interest; LASW State Key Laboratory Special Fund; Jiangsu Collaborative Innovation Center for Climate Change; China National Supercomputer Center in Guangzhou</t>
  </si>
  <si>
    <t>The authors thank the three anonymous reviewers who have provided helpful comments and suggestions for improving the overall quality of the paper, and Prof. Yi Deng of the Georgia Institute of Technology and Prof. Mingfang Ting of Columbia University for their helpful discussions. The study was supported by the National Key Scientific Research Plan of China (Grants 2012CB956002 and 2014CB953900), the National Natural Science Foundation of China (Grant 41375081), the China Special Fund for Meteorological Research in the Public Interest (Grant 201206038), the LASW State Key Laboratory Special Fund (2013LASW-A05), and the Jiangsu Collaborative Innovation Center for Climate Change. Calculations for this study were supported by the China National Supercomputer Center in Guangzhou.</t>
  </si>
  <si>
    <t>10.1175/JCLI-D-15-0403.1</t>
  </si>
  <si>
    <t>WOS:000375786600009</t>
  </si>
  <si>
    <t>Fauchereau, N; Pohl, B; Lorrey, A</t>
  </si>
  <si>
    <t>Fauchereau, N.; Pohl, B.; Lorrey, A.</t>
  </si>
  <si>
    <t>Extratropical Impacts of the Madden-Julian Oscillation over New Zealand from a Weather Regime Perspective</t>
  </si>
  <si>
    <t>SOUTHERN ANNULAR MODE; ANTARCTIC OSCILLATION; TEMPERATURE ANOMALIES; NORTH-ATLANTIC; DAILY RAINFALL; CLIMATE; HEMISPHERE; SURFACE; VARIABILITY; SUMMER</t>
  </si>
  <si>
    <t>The Madden-Julian oscillation (MJO) signal in the Southern Hemisphere (SH) extratropics during the austral summer (November-March) is investigated over the New Zealand (NZ) sector, using the paradigm of atmospheric weather regimes (WRs), following a classification initially established by Kidson. The MJO is first demonstrated to have significant impacts on daily rainfall anomalies in NZ. It is suggested that orographic effects arising from the interaction between regional atmospheric circulation anomalies and NZ's topography can explain the spatially heterogeneous precipitation anomalies that are related to MJO activity. These local impacts and circulation anomalies are shown to be better understood as resulting from changes in the occupation statistics of regional WRs (the Kidson types) through the MJO life cycle, although both constructive and destructive effects are demonstrated. The hypothesis of a significant forcing of the MJO over the NZ sector is further supported by lagged composite analyses, which reveal timing characteristics of the delayed regional circulation response compatible with the average propagation speed of the MJO. While the southern annular mode (SAM) has been previously shown to be statistically related to the MJO and is known to be a significant driver of NZ's climate, no evidence is found that the impact of the MJO over the NZ sector is mediated by the SAM. It is therefore suggested that the MJO directly impacts regional circulation and climate in the NZ region, potentially through extratropical Rossby wave response to tropical diabatic heating. These findings suggest a new potential for predictability for some aspects of NZ's weather and climate deriving from the MJO beyond the meteorological time scales.</t>
  </si>
  <si>
    <t>[Fauchereau, N.; Lorrey, A.] Natl Inst Water &amp; Atmospher Res, Auckland, New Zealand; [Pohl, B.] Univ Bourgogne, CNRS, UMR6282 Biogeosci, Ctr Rech Climatol, Dijon, France</t>
  </si>
  <si>
    <t>National Institute of Water &amp; Atmospheric Research (NIWA) - New Zealand; Centre National de la Recherche Scientifique (CNRS); CNRS - Institute of Ecology &amp; Environment (INEE); Universite de Bourgogne</t>
  </si>
  <si>
    <t>Fauchereau, N (corresponding author), Natl Inst Water &amp; Atmospher Res NIWA Ltd, 41 Market Pl, Auckland 1010, New Zealand.</t>
  </si>
  <si>
    <t>nicolas.fauchereau@niwa.co.nz</t>
  </si>
  <si>
    <t>Pohl, Benjamin/AAW-8018-2020; Pohl, Benjamin/L-7696-2017</t>
  </si>
  <si>
    <t>Pohl, Benjamin/0000-0002-9339-797X</t>
  </si>
  <si>
    <t>Climate Observations Programme in the National Climate Centre [CAOA1501]</t>
  </si>
  <si>
    <t>Climate Observations Programme in the National Climate Centre</t>
  </si>
  <si>
    <t>This work was supported with core funding to the NIWA project Climate Present and Past CAOA1501 within the Climate Observations Programme in the National Climate Centre.</t>
  </si>
  <si>
    <t>10.1175/JCLI-D-15-0152.1</t>
  </si>
  <si>
    <t>WOS:000375786600012</t>
  </si>
  <si>
    <t>Malcolm, HA; Jordan, A; Schultz, AL; Smith, SDA; Ingleton, T; Foulsham, E; Linklater, M; Davies, P; Ferrari, R; Hill, N; Lucieer, V</t>
  </si>
  <si>
    <t>Malcolm, Hamish A.; Jordan, Alan; Schultz, Arthur L.; Smith, Stephen D. A.; Ingleton, Tim; Foulsham, Edwina; Linklater, Michelle; Davies, Peter; Ferrari, Renata; Hill, Nicole; Lucieer, Vanessa</t>
  </si>
  <si>
    <t>Integrating Seafloor Habitat Mapping and Fish Assemblage Patterns Improves Spatial Management Planning in a Marine Park</t>
  </si>
  <si>
    <t>JOURNAL OF COASTAL RESEARCH</t>
  </si>
  <si>
    <t>14th International Coastal Symposium (ICS)</t>
  </si>
  <si>
    <t>MAR 06-11, 2016</t>
  </si>
  <si>
    <t>Sydney, AUSTRALIA</t>
  </si>
  <si>
    <t>MPA; Solitary Islands Marine Park; biodiversity; Marxan</t>
  </si>
  <si>
    <t>COMMUNITY STRUCTURE; PROTECTED AREAS; BIODIVERSITY; RESERVE; VARIABILITY; SHALLOW; EXAMPLE; DESIGN; REEFS</t>
  </si>
  <si>
    <t>Marine Protected Areas (MPAs) are important spatial mechanisms for managing human activities, if effectively planned. The Solitary Islands Marine Park (SIMP), covering 720 km(2) of coastal waters in New South Wales, Australia, includes reef and unconsolidated habitats up to 17 kin from shore and 75 in depth. When established in 1991, there was limited knowledge of biotic patterns, seafloor habitats and habitat-biotic relationships in the multiple-use SIMP, which constrained effective conservation planning. Subsequent mapping of sub-tidal habitats from aerial photography and single-beam acoustics improved habitat representation following rezoning in 2002 using Comprehensive, Adequate, Representative (CAR) principles and assisted site selection for diver surveys of fishes, a key surrogate taxon. In 2006, a swath acoustic mapping program commenced, which mapped similar to 35% of the MPA. This has produced high-resolution data on seafloor habitats, including depths &gt;50 in. Bathymetry and backscatter layers have facilitated targeted deployment of Baited Remote Underwater Video (BRUV) to test hypotheses about associations between fishes and physical habitat characteristics. Strong and persistent patterns in fish assemblage composition in relation to particular habitat characteristics provided the basis for a Habitat Classification Scheme (HCS) to be refined with the following categories: substratum (consolidated, unconsolidated), cross-shelf position (inshore, mid, offshore) and depth (shallow, intermediate, deep). Further refinement of unconsolidated substratum into gravel and sand habitats, which were mapped using backscatter layers, improves this classification. The HCS, which integrates habitat and biotic patterns, greatly increases the potential for effective spatial management planning in the SIMP when used with spatial planning tools (e.g. Marxan).</t>
  </si>
  <si>
    <t>[Malcolm, Hamish A.] NSW Dept Ind, Marine Ecosyst, 32 Marina Dr, Coffs Harbour, NSW 2450, Australia; [Jordan, Alan] NSW Dept Ind, Marine Ecosyst, Locked Bag 1, Nelson Bay, NSW 2315, Australia; [Schultz, Arthur L.; Smith, Stephen D. A.] So Cross Univ, Natl Marine Sci Ctr, Coffs Harbour, NSW 2450, Australia; [Ingleton, Tim; Foulsham, Edwina; Linklater, Michelle; Davies, Peter] NSW Off Environm &amp; Heritage, 59 Goulburn St, Sydney, NSW 2000, Australia; [Ferrari, Renata] Univ Sydney, Edgeworth David Bld,Sci Rd, Sydney, NSW 2006, Australia; [Hill, Nicole; Lucieer, Vanessa] Univ Tasmania, Inst Marine &amp; Antarctic Studies, Private Bag 129, Hobart, Tas 7001, Australia</t>
  </si>
  <si>
    <t>Southern Cross University; Office of Environment &amp; Heritage - New South Wales; University of Sydney; University of Tasmania</t>
  </si>
  <si>
    <t>Malcolm, HA (corresponding author), NSW Dept Ind, Marine Ecosyst, 32 Marina Dr, Coffs Harbour, NSW 2450, Australia.</t>
  </si>
  <si>
    <t>hamish.malcolm@dpi.nsw.gov.au</t>
  </si>
  <si>
    <t>Smith, Stephen D A/I-1945-2012; Hill, Nicole/AAI-7323-2021; Ferrari, Renata/E-3109-2016; Lucieer, Vanessa/D-1697-2009</t>
  </si>
  <si>
    <t>Smith, Stephen D A/0000-0002-3372-5441; Hill, Nicole/0000-0001-9329-6717; Ferrari, Renata/0000-0002-5056-1178; Lucieer, Vanessa/0000-0001-7531-5750; Linklater, Michelle/0000-0003-1995-6689</t>
  </si>
  <si>
    <t>COASTAL EDUCATION &amp; RESEARCH FOUNDATION</t>
  </si>
  <si>
    <t>COCONUT CREEK</t>
  </si>
  <si>
    <t>5130 NW 54TH STREET, COCONUT CREEK, FL 33073 USA</t>
  </si>
  <si>
    <t>0749-0208</t>
  </si>
  <si>
    <t>1551-5036</t>
  </si>
  <si>
    <t>J COASTAL RES</t>
  </si>
  <si>
    <t>J. Coast. Res.</t>
  </si>
  <si>
    <t>10.2112/SI75-259.1</t>
  </si>
  <si>
    <t>DI1FF</t>
  </si>
  <si>
    <t>WOS:000373241300113</t>
  </si>
  <si>
    <t>Linkhart, BD; Fox, JW; Yanco, SW</t>
  </si>
  <si>
    <t>Linkhart, Brian D.; Fox, James W.; Yanco, Scott W.</t>
  </si>
  <si>
    <t>Migration timing and routes, and wintering areas of Flammulated Owls</t>
  </si>
  <si>
    <t>JOURNAL OF FIELD ORNITHOLOGY</t>
  </si>
  <si>
    <t>annual movements; geolocators; Psiloscops flammeolus; stopovers; winter habitat</t>
  </si>
  <si>
    <t>LIGHT-LEVEL GEOLOCATORS; STABLE HYDROGEN ISOTOPES; CENTRAL NEW-MEXICO; OTUS-FLAMMEOLUS; UNITED-STATES; KIRTLANDS WARBLERS; AUTUMN MIGRATION; STOPOVER SITE; ANNUAL CYCLE; TRACKING</t>
  </si>
  <si>
    <t>Determining patterns in annual movements of animals is an important component of population ecology, particularly for migratory birds where migration timing and routes, and wintering habitats have key bearing on population dynamics. From 2009 to 2011, we used light-level geolocators to document the migratory movements of Flammulated Owls (Psiloscops flammeolus). Four males departed from breeding areas in Colorado for fall migration between 5 and 21 October, arrived in wintering areas in Mexico between 11 October and 3 November, departed from wintering areas from 6 to 21 April, and returned to Colorado between 15 and 21 May. Core wintering areas for three males were located in the Trans-Mexican Volcanic Belt Mountains in the states of Jalisco, Michoacan, and Puebla in central and east-central Mexico, and the core area for the other male was in the Sierra Madre Oriental Mountains in Tamaulipas. The mean distance from breeding to wintering centroids was 2057 128 km (SE). During fall migration, two males took a southeastern path to eastern Mexico, and two males took a path due south to central Mexico. In contrast, during spring migration, all four males traveled north from Mexico along the Sierra Madre Oriental Mountains to the Rio Grande Valley and north through New Mexico. The first stopovers in fall and last stopovers in spring were the longest in duration for all males and located 300-400 km from breeding areas. Final spring stopovers may have allowed male Flammulated Owls to fine tune the timing of their return to high-elevation breeding areas where late snows are not uncommon. One male tracked in both years had similar migration routes, timing, and wintering areas each year. Core wintering and final stopover areas were located primarily in coniferous forests and woodlands, particularly pine-oak forests, suggesting that these are important habitats for Flammulated Owls throughout their annual cycle. RESUMEN El calendario y las rutas de migracion, y las zonas de invernada de Psiloscops flammeolus La determinacion de los patrones de movimientos anuales de los animales es un componente importante de la ecologia de la poblacion, especialmente para las aves migratorias donde el calendario y las rutas de migracion y las zonas de invernada tienen una influencia clave en la dinamica de poblaciones. Desde 2009-2011, se utilizo geolocalizadores sensibles a la luz para documentar los movimientos migratorios de tecolotes flameados (Psiloscops flammeolus). Cuatro machos abandonaron las zonas de reproduccion en Colorado para la migracion de otono entre el 5 al 21 de octubre, luego llegaron al sitio de invernada en Mexico entre el 11 de octubre y el 3 de noviembre, y finalmente abandonaron los sitios de invernada entre el 6 al 21 de abril y regresaron a Colorado entre el 15 y el 21 de mayo. Para tres machos las zonas nucleo de invernada fueron localizadas en las montanas del Cinturon Volcanico Trans-Mexicanos en los estados de Jalisco, Michoacan y Puebla en el centro y el centro-este de Mexico. La zona nucleo del otro macho fue ubicada en las montanas de la Sierra Madre Oriental en Tamaulipas. La distancia media entre las centroides de las zonas de cria y invernada era 2057 +/- 128 (SE) km. Durante la migracion de otono, dos machos tomaron una ruta sudeste hasta el este de Mexico, y otros dos machos tomaron una ruta al sur hasta el centro de Mexico. Durante la migracion de primavera, en cambio, los cuatro machos viajaron al norte desde Mexico a lo largo de las montanas de la Sierra Madre Oriental en el Valle del Rio Grande y al norte a traves de Nuevo Mexico. En el curso de migracion en otono y en primavera, las primeras paradas fueron los mas largos de duracion de todas paradas de los machos y estaban situados entre 300 y 400 km de las zonas de reproduccion. Las paradas finales de primavera pueden haber permitido los buhos machos a ajustar el momento de su regreso a las zonas de cria a altitud elevada, donde no es raro que nieva a fines de la primavera. Un macho seguido en ambos anos tenia el calendario, las rutas de migracion, y las zonas de invernada similares cada ano. Zonas nucleo de invernada y de paradas definitiva fueron localizadas principalmente en bosques de coniferas y en bosques de pino y encino en particular, lo que sugiere que estos bosques son habitats importantes para Psiloscops flammeolus a lo largo de su ciclo anual.</t>
  </si>
  <si>
    <t>[Linkhart, Brian D.] Colorado Coll, Dept Organismal Biol &amp; Ecol, 14 East Cache Poudre St, Colorado Springs, CO 80903 USA; [Fox, James W.] British Antarctic Survey, Madingley Rd, Cambridge CB3 0ET, England; [Yanco, Scott W.] ClearPath Environm LLC, 11295 Pauls Dr, Conifer, CO 80433 USA; [Fox, James W.] Migrate Technol Ltd, POB 749, Cambridge CB1 0QY, England</t>
  </si>
  <si>
    <t>Colorado College; UK Research &amp; Innovation (UKRI); Natural Environment Research Council (NERC); NERC British Antarctic Survey</t>
  </si>
  <si>
    <t>Linkhart, BD (corresponding author), Colorado Coll, Dept Organismal Biol &amp; Ecol, 14 East Cache Poudre St, Colorado Springs, CO 80903 USA.</t>
  </si>
  <si>
    <t>blinkhart@coloradocollege.edu</t>
  </si>
  <si>
    <t>Yanco, Scott/J-2426-2019</t>
  </si>
  <si>
    <t>Yanco, Scott/0000-0003-4717-9370; Fox, James W./0000-0002-3107-696X</t>
  </si>
  <si>
    <t>Department of Biology Faculty-Student Collaborative Grant; James Enderson Research Fund; Southwest Studies Jackson Fellowship; Dean's Office Faculty-Student Collaborative Grant; Natural Sciences Division Research and Development Grant; Figge-Bourquin Fund; Natural Environment Research Council [bas010011] Funding Source: researchfish; NERC [bas010011] Funding Source: UKRI</t>
  </si>
  <si>
    <t>Department of Biology Faculty-Student Collaborative Grant; James Enderson Research Fund; Southwest Studies Jackson Fellowship; Dean's Office Faculty-Student Collaborative Grant; Natural Sciences Division Research and Development Grant; Figge-Bourquin Fund; Natural Environment Research Council(UK Research &amp; Innovation (UKRI)Natural Environment Research Council (NERC)); NERC(UK Research &amp; Innovation (UKRI)Natural Environment Research Council (NERC))</t>
  </si>
  <si>
    <t>We are grateful to many Colorado College students who helped with field work while on the Flam Research Crew, including Q. Baker, C. Blanchet, K. (Becker) Blanchet, S. Chudacoff, J. Gioia, J. Gillespie, K. Garner, B. Griscom, D. Henderson, I. Jones, J. Reynolds, S. Ruano, P. Schauwecker, J. Varnergardner, D. Wilder, and A. Winter. For support with student funding, we thank several Colorado College sources, including the Department of Biology Faculty-Student Collaborative Grant, James Enderson Research Fund, Southwest Studies Jackson Fellowship, Dean's Office Faculty-Student Collaborative Grant, Natural Sciences Division Research and Development Grant, and the Figge-Bourquin Fund. We are very grateful for generous contributions from Jim and Jean Macaleer, and the RJM Foundation, and several anonymous donors. The USDA Forest Service, Rocky Mountain Research Station, provided field quarters, equipment, and logistical support. All field work was conducted in accordance with Guidelines to the Use of Wild Birds in Research (J. M. Fair, E. Paul, and J. Jones, eds.). The manuscript was improved by comments from G. Ritchison and two anonymous reviewers.</t>
  </si>
  <si>
    <t>0273-8570</t>
  </si>
  <si>
    <t>1557-9263</t>
  </si>
  <si>
    <t>J FIELD ORNITHOL</t>
  </si>
  <si>
    <t>J. Field Ornithol.</t>
  </si>
  <si>
    <t>10.1111/jofo.12136</t>
  </si>
  <si>
    <t>DH5EB</t>
  </si>
  <si>
    <t>WOS:000372807100004</t>
  </si>
  <si>
    <t>Montiel, F; Squire, VA; Bennetts, LG</t>
  </si>
  <si>
    <t>Montiel, Fabien; Squire, V. A.; Bennetts, L. G.</t>
  </si>
  <si>
    <t>Attenuation and directional spreading of ocean wave spectra in the marginal ice zone</t>
  </si>
  <si>
    <t>sea ice; wave scattering; wave-structure interactions</t>
  </si>
  <si>
    <t>IN-SITU MEASUREMENTS; MULTIPLE ROWS; SEA; SCATTERING; BODIES; FLOE; PROPAGATION; EVOLUTION; TRANSECTS; FIELDS</t>
  </si>
  <si>
    <t>A theoretical model is used to study wave energy attenuation and directional spreading of ocean wave spectra in the marginal ice zone (MIZ). The MIZ is constructed as an array of tens of thousands of compliant circular ice floes, with randomly selected positions and radii determined by an empirical floe size distribution. Linear potential flow and thin elastic plate theories model the coupled water-ice system. A new method is proposed to solve the time-harmonic multiple scattering problem under a multidirectional incident wave forcing with random phases. It provides a natural framework for tracking the evolution of the directional properties of a wave field through the MIZ. The attenuation and directional spreading are extracted from ensembles of the wave field with respect to realizations of the MIZ and incident forcing randomly generated from prescribed distributions. The averaging procedure is shown to converge rapidly so that only a small number of simulations need to be performed. Far-field approximations are investigated, allowing efficiency improvements with negligible loss of accuracy. A case study is conducted for a particular MIZ configuration. The observed exponential attenuation of wave energy through the MIZ is reproduced by the model, while the directional spread is found to grow linearly with distance. The directional spreading is shown to weaken when the wavelength becomes larger than the maximum floe size.</t>
  </si>
  <si>
    <t>[Montiel, Fabien; Squire, V. A.] Univ Otago, Dept Math &amp; Stat, POB 56, Dunedin 9054, New Zealand; [Bennetts, L. G.] Univ Adelaide, Sch Math Sci, Adelaide, SA 5005, Australia</t>
  </si>
  <si>
    <t>University of Otago; University of Adelaide</t>
  </si>
  <si>
    <t>Montiel, F (corresponding author), Univ Otago, Dept Math &amp; Stat, POB 56, Dunedin 9054, New Zealand.</t>
  </si>
  <si>
    <t>fmontiel@maths.otago.ac.nz</t>
  </si>
  <si>
    <t>Bennetts, Luke/N-1448-2019</t>
  </si>
  <si>
    <t>Bennetts, Luke/0000-0001-9386-7882; Squire, Vernon/0000-0002-5570-3446; Montiel, Fabien/0000-0002-6126-6385</t>
  </si>
  <si>
    <t>United States Office of Naval Research Departmental Research Initiative 'Sea State and Boundary Layer Physics of the Emerging Arctic Ocean' [N00014-131-0279]; EU FP7 Grant [SPA-2013.1.1-06]; University of Otago; Australian Research Council Discovery Early Career Researcher Award [DE13010157]; Australian Antarctic Science Program [4123]; University of Adelaide; United States Office of Naval Research Departmental Research Initiative 'Sea State and Boundary Layer Physics of the Emerging Arctic Ocean' [N00014-131-0279]; EU FP7 Grant [SPA-2013.1.1-06]; University of Otago; Australian Research Council Discovery Early Career Researcher Award [DE13010157]; Australian Antarctic Science Program [4123]; University of Adelaide</t>
  </si>
  <si>
    <t>United States Office of Naval Research Departmental Research Initiative 'Sea State and Boundary Layer Physics of the Emerging Arctic Ocean'(Office of Naval Research); EU FP7 Grant(European Union (EU)); University of Otago; Australian Research Council Discovery Early Career Researcher Award(Australian Research Council); Australian Antarctic Science Program; University of Adelaide; United States Office of Naval Research Departmental Research Initiative 'Sea State and Boundary Layer Physics of the Emerging Arctic Ocean'(Office of Naval Research); EU FP7 Grant(European Union (EU)); University of Otago; Australian Research Council Discovery Early Career Researcher Award(Australian Research Council); Australian Antarctic Science Program; University of Adelaide</t>
  </si>
  <si>
    <t>F.M. and V.A.S. are supported by the United States Office of Naval Research Departmental Research Initiative 'Sea State and Boundary Layer Physics of the Emerging Arctic Ocean' (Award number N00014-131-0279), EU FP7 Grant SPA-2013.1.1-06 and the University of Otago. L.G.B. is supported by an Australian Research Council Discovery Early Career Researcher Award (DE13010157), the Australian Antarctic Science Program (Project 4123) and by the University of Adelaide. The authors are grateful to D. Fletcher for helpful statistical mentorship.</t>
  </si>
  <si>
    <t>10.1017/jfm.2016.21</t>
  </si>
  <si>
    <t>DE1WL</t>
  </si>
  <si>
    <t>WOS:000370417100003</t>
  </si>
  <si>
    <t>Bring, A; Fedorova, I; Dibike, Y; Hinzman, L; Mård, J; Mernild, SH; Prowse, T; Semenova, O; Stuefer, SL; Woo, MK</t>
  </si>
  <si>
    <t>Bring, A.; Fedorova, I.; Dibike, Y.; Hinzman, L.; Mard, J.; Mernild, S. H.; Prowse, T.; Semenova, O.; Stuefer, S. L.; Woo, M-K.</t>
  </si>
  <si>
    <t>Arctic terrestrial hydrology: A synthesis of processes, regional effects, and research challenges</t>
  </si>
  <si>
    <t>JOURNAL OF GEOPHYSICAL RESEARCH-BIOGEOSCIENCES</t>
  </si>
  <si>
    <t>CLIMATE-CHANGE IMPACTS; SURFACE MASS-BALANCE; GREENLAND ICE-SHEET; RIVER DISCHARGE; SNOW COVER; SEDIMENT TRANSPORT; PERMAFROST DEGRADATION; CANADIAN SHIELD; SHRUB EXPANSION; NORTHERN ALASKA</t>
  </si>
  <si>
    <t>Terrestrial hydrology is central to the Arctic system and its freshwater circulation. Water transport and water constituents vary, however, across a very diverse geography. In this paper, which is a component of the Arctic Freshwater Synthesis, we review the central freshwater processes in the terrestrial Arctic drainage and how they function and change across seven hydrophysiographical regions (Arctic tundra, boreal plains, shield, mountains, grasslands, glaciers/ice caps, and wetlands). We also highlight links between terrestrial hydrology and other components of the Arctic freshwater system. In terms of key processes, snow cover extent and duration is generally decreasing on a pan-Arctic scale, but snow depth is likely to increase in the Arctic tundra. Evapotranspiration will likely increase overall, but as it is coupled to shifts in landscape characteristics, regional changes are uncertain and may vary over time. Streamflow will generally increase with increasing precipitation, but high and low flows may decrease in some regions. Continued permafrost thaw will trigger hydrological change in multiple ways, particularly through increasing connectivity between groundwater and surface water and changing water storage in lakes and soils, which will influence exchange of moisture with the atmosphere. Other effects of hydrological change include increased risks to infrastructure and water resource planning, ecosystem shifts, and growing flows of water, nutrients, sediment, and carbon to the ocean. Coordinated efforts in monitoring, modeling, and processing studies at various scales are required to improve the understanding of change, in particular at the interfaces between hydrology, atmosphere, ecology, resources, and oceans.</t>
  </si>
  <si>
    <t>[Bring, A.] Univ New Hampshire, Inst Study Earth Oceans &amp; Space, Durham, NH 03824 USA; [Bring, A.] Stockholm Univ, Dept Phys Geog, S-10691 Stockholm, Sweden; [Bring, A.] Stockholm Univ, Bolin Ctr Climate Res, S-10691 Stockholm, Sweden; [Fedorova, I.] Arctic &amp; Antarct Res Inst, St Petersburg, Russia; [Fedorova, I.; Semenova, O.] St Petersburg State Univ, Inst Earth Sci, Hydrol Dept, St Petersburg 199034, Russia; [Dibike, Y.; Prowse, T.] Environm Canada, Victoria, BC, Canada; [Dibike, Y.; Prowse, T.] Univ Victoria, Water &amp; Climate Impacts Res Ctr, Victoria, BC, Canada; [Hinzman, L.] Univ Alaska Fairbanks, Fairbanks, AK USA; [Mard, J.] Uppsala Univ, Dept Earth Sci, Program Air Water &amp; Landscape Sci, Uppsala, Sweden; [Mernild, S. H.] Univ Magallanes, Antarctic &amp; Subantarct Program, Punta Arenas, Chile; [Mernild, S. H.] Sogn Og Fjordane Univ Coll, Fac Sci &amp; Engn, Sogndal, Norway; [Semenova, O.] State Hydrol Inst, St Petersburg, Russia; [Stuefer, S. L.] Univ Alaska Fairbanks, Coll Engn &amp; Mines, Dept Civil &amp; Environm Engn, Fairbanks, AK USA; [Woo, M-K.] McMaster Univ, Sch Geog &amp; Earth Sci, Hamilton, ON, Canada</t>
  </si>
  <si>
    <t>University System Of New Hampshire; University of New Hampshire; Stockholm University; Stockholm University; Saint Petersburg State University; Environment &amp; Climate Change Canada; University of Victoria; University of Alaska System; University of Alaska Fairbanks; Uppsala University; Universidad de Magallanes; Western Norway University of Applied Sciences; University of Alaska System; University of Alaska Fairbanks; McMaster University</t>
  </si>
  <si>
    <t>Bring, A (corresponding author), Univ New Hampshire, Inst Study Earth Oceans &amp; Space, Durham, NH 03824 USA.;Bring, A (corresponding author), Stockholm Univ, Dept Phys Geog, S-10691 Stockholm, Sweden.;Bring, A (corresponding author), Stockholm Univ, Bolin Ctr Climate Res, S-10691 Stockholm, Sweden.</t>
  </si>
  <si>
    <t>arvid.bring@unh.edu</t>
  </si>
  <si>
    <t>Makarieva, Olga M/G-2077-2014; Mård, Johanna/AAB-9951-2021; Mernild, Sebastian H./M-5516-2013; Fedorova, Irina/N-3436-2013</t>
  </si>
  <si>
    <t>Makarieva, Olga M/0000-0002-2532-4306; Mård, Johanna/0000-0002-8789-7628; Mernild, Sebastian H./0000-0003-0797-3975; Fedorova, Irina/0000-0001-5370-427X; Dibike, Yonas/0000-0003-2138-9708; Stuefer, Svetlana/0000-0003-0740-8335</t>
  </si>
  <si>
    <t>World Climate Research Programme's Climate and the Cryosphere project (WCRP-CliC); International Arctic Science Committee (IASC); Arctic Monitoring and Assessment Program (AMAP); Swedish Research Council VR [2013-7448]; Russian Foundation for Basic Research [15-35-21146]</t>
  </si>
  <si>
    <t>World Climate Research Programme's Climate and the Cryosphere project (WCRP-CliC); International Arctic Science Committee (IASC); Arctic Monitoring and Assessment Program (AMAP); Swedish Research Council VR(Swedish Research Council); Russian Foundation for Basic Research(Russian Foundation for Basic Research (RFBR)Spanish Government)</t>
  </si>
  <si>
    <t>The Arctic Freshwater Synthesis has been sponsored by the World Climate Research Programme's Climate and the Cryosphere project (WCRP-CliC), the International Arctic Science Committee (IASC), and the Arctic Monitoring and Assessment Program (AMAP). Additional support has been provided by the Norwegian Ministries of Environment and of Foreign Affairs, the Swedish Secretariat for Environmental Earth System Sciences (SSEESS), and the Swedish Polar Research Secretariat. We gratefully acknowledge the project coordination and meeting support of Jenny Baeseman and Gwenaelle Hamon at the CliC International Project Office and thank Brandi Newton and Hayley Linton for providing data analysis for Figure 2. A. Bring acknowledges support from the Swedish Research Council VR (project 2013-7448). O. Semenova acknowledges support from the Russian Foundation for Basic Research (project 15-35-21146). All data for this paper are cited and referred to in the reference list. The data used to produce Figure 2 are available from the ERA-Interim data sets [Dee et al., 2011] (http://apps.ecmwf.int/datasets/data/interim-full-daily), and the data to produce Figure 3 are available from the Global Runoff Data Centre (http://www.bafg.de) and the R-ArcticNET database (http://www.r-arcticnet.sr.unh.edu).</t>
  </si>
  <si>
    <t>2169-8953</t>
  </si>
  <si>
    <t>2169-8961</t>
  </si>
  <si>
    <t>J GEOPHYS RES-BIOGEO</t>
  </si>
  <si>
    <t>J. Geophys. Res.-Biogeosci.</t>
  </si>
  <si>
    <t>10.1002/2015JG003131</t>
  </si>
  <si>
    <t>Environmental Sciences; Geosciences, Multidisciplinary</t>
  </si>
  <si>
    <t>DJ6TD</t>
  </si>
  <si>
    <t>WOS:000374345000004</t>
  </si>
  <si>
    <t>Wolff, EW; Bigler, M; Curran, MAJ; Dibb, JE; Frey, MM; Legrand, M; McConnell, JR</t>
  </si>
  <si>
    <t>Wolff, E. W.; Bigler, M.; Curran, M. A. J.; Dibb, J. E.; Frey, M. M.; Legrand, M.; McConnell, J. R.</t>
  </si>
  <si>
    <t>Comment on Low time resolution analysis of polar ice cores cannot detect impulsive nitrate events by DF Smart et al.</t>
  </si>
  <si>
    <t>GREENLAND ICE; VEGETATION EMISSIONS; FOREST-FIRES; SNOW; SUMMIT; RECORD</t>
  </si>
  <si>
    <t>Smart et al. (2014) suggested that the detection of nitrate spikes in polar ice cores from solar energetic particle (SEP) events could be achieved if an analytical system with sufficiently high resolution was used. Here we show that the spikes they associate with SEP events are not reliably recorded in cores from the same location, even when the resolution is clearly adequate. We explain the processes that limit the effective resolution of ice cores. Liquid conductivity data suggest that the observed spikes are associated with sodium or another nonacidic cation, making it likely that they result from deposition of sea salt or similar aerosol that has scavenged nitrate, rather than from a primary input of nitrate in the troposphere. We consider that there is no evidence at present to support the identification of any spikes in nitrate as representing SEP events. Although such events undoubtedly create nitrate in the atmosphere, we see no plausible route to using nitrate spikes to document the statistics of such events.</t>
  </si>
  <si>
    <t>[Wolff, E. W.] Univ Cambridge, Dept Earth Sci, Cambridge CB2 3EQ, England; [Bigler, M.] Univ Bern, Inst Phys, Climate &amp; Environm Phys, Bern, Switzerland; [Bigler, M.] Univ Bern, Oeschger Ctr Climate Change Res, Bern, Switzerland; [Curran, M. A. J.] Antarctic Climate &amp; Ecosyst Cooperat Res Ctr, Hobart, Tas, Australia; [Curran, M. A. J.] Australian Antarctic Div, Kingston, Tas, Australia; [Dibb, J. E.] Univ New Hampshire, Inst Study Earth Oceans &amp; Space, Durham, NH 03824 USA; [Dibb, J. E.] Univ New Hampshire, Dept Earth Sci, Durham, NH 03824 USA; [Frey, M. M.] British Antarctic Survey, Cambridge CB3 0ET, England; [Legrand, M.] Lab Glaciol &amp; Geophys Environm, F-38402 St Martin Dheres, France; [McConnell, J. R.] Univ Nevada, Desert Res Inst, Reno, NV 89506 USA</t>
  </si>
  <si>
    <t>University of Cambridge; University of Bern; University of Bern; Antarctic Climate &amp; Ecosystems Cooperative Research Centre (ACE CRC); Australian Antarctic Division; University System Of New Hampshire; University of New Hampshire; University System Of New Hampshire; University of New Hampshire; UK Research &amp; Innovation (UKRI); Natural Environment Research Council (NERC); NERC British Antarctic Survey; Nevada System of Higher Education (NSHE); University of Nevada Reno; Desert Research Institute NSHE</t>
  </si>
  <si>
    <t>Wolff, EW (corresponding author), Univ Cambridge, Dept Earth Sci, Cambridge CB2 3EQ, England.</t>
  </si>
  <si>
    <t>ew428@cam.ac.uk</t>
  </si>
  <si>
    <t>Bishnoi, Mamta/AAQ-8346-2021; Bigler, Matthias/HTT-3872-2023; Frey, Markus/G-1756-2012; Legrand, Michel/AAU-4678-2020; Wolff, Eric W/D-7925-2014</t>
  </si>
  <si>
    <t>Bishnoi, Mamta/0000-0003-4987-0536; Bigler, Matthias/0000-0003-0184-4013; Frey, Markus/0000-0003-0535-0416; Wolff, Eric W/0000-0002-5914-8531</t>
  </si>
  <si>
    <t>Natural Environment Research Council [bas0100032] Funding Source: researchfish; NERC [bas0100032, NE/N011813/1] Funding Source: UKRI</t>
  </si>
  <si>
    <t>10.1002/2015JA021570</t>
  </si>
  <si>
    <t>WOS:000374730900007</t>
  </si>
  <si>
    <t>Laundal, KM; Gjerloev, JW; Ostgaard, N; Reistad, JP; Haaland, S; Snekvik, K; Tenfjord, P; Ohtani, S; Milan, SE</t>
  </si>
  <si>
    <t>Laundal, K. M.; Gjerloev, J. W.; Ostgaard, N.; Reistad, J. P.; Haaland, S.; Snekvik, K.; Tenfjord, P.; Ohtani, S.; Milan, S. E.</t>
  </si>
  <si>
    <t>The impact of sunlight on high-latitude equivalent currents</t>
  </si>
  <si>
    <t>ionospheric currents; ionospheric conductivity; ground magnetic perturbations</t>
  </si>
  <si>
    <t>INTERPLANETARY MAGNETIC-FIELD; IONOSPHERIC ELECTRODYNAMICS; ALIGNED CURRENTS; SYSTEM</t>
  </si>
  <si>
    <t>Ground magnetic field measurements can be mathematically related to an overhead ionospheric equivalent current. In this study we look in detail at how the global equivalent current, calculated using more than 30years of SuperMAG magnetometer data, changes with sunlight conditions. The calculations are done using spherical harmonic analysis in quasi-dipole coordinates, a technique which leads to improved accuracy compared to previous studies. Sorting the data according to the location of the sunlight terminator and orientation of the interplanetary magnetic field (IMF), we find that the equivalent current resembles ionospheric convection patterns on the sunlit side of the terminator but not on the dark side. On the dark side, with southward IMF, the current is strongly dominated by a dawn cell and the current across the polar cap has a strong dawnward component. The contrast between the sunlit and dark side increases with increasing values of the F-10.7 index, showing that increasing solar EUV flux changes not only the magnitude but also the morphology of the equivalent current system. The results are consistent with a recent study showing that Birkeland currents indirectly determine the equivalent current in darkness and that Hall currents dominate in sunlight. This has implication for the interpretation of ground magnetic field measurements and suggests that the magnetic disturbances at conjugate points will be asymmetrical when the solar illumination is different.</t>
  </si>
  <si>
    <t>[Laundal, K. M.; Gjerloev, J. W.; Ostgaard, N.; Reistad, J. P.; Haaland, S.; Snekvik, K.; Tenfjord, P.; Milan, S. E.] Univ Bergen, Birkeland Ctr Space Sci, Bergen, Norway; [Laundal, K. M.] Teknova AS, Kristiansand, Norway; [Gjerloev, J. W.; Ohtani, S.] Johns Hopkins Univ, Appl Phys Lab, Laurel, MD USA; [Haaland, S.] Max Planck Inst Solar Syst Res, Gottingen, Germany; [Milan, S. E.] Univ Leicester, Dept Phys &amp; Astron, Leicester LE1 7RH, Leics, England</t>
  </si>
  <si>
    <t>University of Bergen; Johns Hopkins University; Johns Hopkins University Applied Physics Laboratory; Max Planck Society; University of Leicester</t>
  </si>
  <si>
    <t>Laundal, KM (corresponding author), Univ Bergen, Birkeland Ctr Space Sci, Bergen, Norway.;Laundal, KM (corresponding author), Teknova AS, Kristiansand, Norway.</t>
  </si>
  <si>
    <t>karl.laundal@ift.uib.no</t>
  </si>
  <si>
    <t>Laundal, Karl/GXZ-6326-2022; Gjerloev, Jesper/C-2116-2016; Ohtani, Shinichi/E-3914-2016; Snekvik, Kristian/A-4475-2009; Reistad, Jone Peter/AAE-5439-2021</t>
  </si>
  <si>
    <t>Laundal, Karl/0000-0001-5028-4943; Ohtani, Shinichi/0000-0002-9565-6840; Reistad, Jone Peter/0000-0003-3509-5479; Milan, Steve/0000-0001-5050-9604</t>
  </si>
  <si>
    <t>Research Council of Norway/CoE [223252/F50]; STFC [ST/K001000/1] Funding Source: UKRI; Science and Technology Facilities Council [ST/K001000/1] Funding Source: researchfish</t>
  </si>
  <si>
    <t>Research Council of Norway/CoE; STFC(UK Research &amp; Innovation (UKRI)Science &amp; Technology Facilities Council (STFC)); Science and Technology Facilities Council(UK Research &amp; Innovation (UKRI)Science &amp; Technology Facilities Council (STFC))</t>
  </si>
  <si>
    <t>For the ground magnetometer data we gratefully acknowledge the following: Intermagnet; USGS, Jeffrey J. Love; CARISMA, PI Ian Mann; CANMOS; The S-RAMP Database, PI K. Yumoto and K. Shiokawa; The SPIDR database; AARI, PI Oleg Troshichev; The MACCS program, PI M. Engebretson; Geomagnetism Unit of the Geological Survey of Canada; GIMA; MEASURE, UCLA IGPP and Florida Institute of Technology; SAMBA, PI Eftyhia Zesta; 210 Chain, PI K. Yumoto; SAMNET, PI Farideh Honary; The institutes who maintain the IMAGE magnetometer array, PI Eija Tanskanen; PENGUIN; AUTUMN; PI Martin Connors; DTU Space, PI Juergen Matzka; South Pole and McMurdo Magnetometer, PI Louis J. Lanzarotti and PI Alan T. Weatherwax; ICESTAR; RAPIDMAG; PENGUIN; British Antarctic Survey; McMac, PI Peter Chi; BGS, PI Susan Macmillan; Pushkov Institute of Terrestrial Magnetism, Ionosphere and Radio Wave Propagation (IZMIRAN); GFZ, PI Juergen Matzka; MFGI, PI B. Heilig; IGFPAS, PI J. Reda; University of L'Aquila, PI M. Vellante; and SuperMAG, PI Jesper W. Gjerloev. The SuperMAG website, from which the data were obtained, can be found at http://supermag.jhuapl.edu/. The IMF, solar wind, and magnetic index data were provided through OMNI-Web by the Space Physics Data Facility(SPDF) and downloaded from ftp://spdf.gsfc.nasa.gov/pub/data/omni/high_res_omni/. The F10.7 index was downloaded from http://lasp.colorado.edu/lisird/tss/noaa_radio_flux.html. This study was supported by the Research Council of Norway/CoE under contract 223252/F50.</t>
  </si>
  <si>
    <t>10.1002/2015JA022236</t>
  </si>
  <si>
    <t>WOS:000374730900060</t>
  </si>
  <si>
    <t>Chang, W; Haran, M; Applegate, P; Pollard, D</t>
  </si>
  <si>
    <t>Chang, Won; Haran, Murali; Applegate, Patrick; Pollard, David</t>
  </si>
  <si>
    <t>Calibrating an Ice Sheet Model Using High-Dimensional Binary Spatial Data</t>
  </si>
  <si>
    <t>JOURNAL OF THE AMERICAN STATISTICAL ASSOCIATION</t>
  </si>
  <si>
    <t>Climate change; Computer experiments; Gaussian processes; Principal components; Spatial generalized linear mixed models</t>
  </si>
  <si>
    <t>PRINCIPAL COMPONENT ANALYSIS; SEA-LEVEL; PINE ISLAND; ANTARCTICA; COLLAPSE; RETREAT; DEGLACIATION; SIMULATIONS; PROJECTIONS; WIDESPREAD</t>
  </si>
  <si>
    <t>Rapid retreat of ice in the Amundsen Sea sector of West Antarctica may cause drastic sea level rise, posing significant risks to populations in low-lying coastal regions. Calibration of computer models representing the behavior of the West Antarctic Ice Sheet is key for informative projections of future sea level rise. However, both the relevant observations and the model output are high-dimensional binary spatial data; existing computer model calibration methods are unable to handle such data. Here we present a novel calibration method for computer models whose output is in the form of binary spatial data. To mitigate the computational and inferential challenges posed by our approach, we apply a generalized principal component based dimension reduction method. To demonstrate the utility of our method, we calibrate the PSU3D-ICE model by comparing the output from a 499-member perturbed-parameter ensemble with observations from the Amundsen Sea sector of the ice sheet. Our methods help rigorously characterize the parameter uncertainty even in the presence of systematic data-model discrepancies and dependence in the errors. Our method also helps inform environmental risk analyses by contributing to improved projections of sea level rise from the ice sheets. Supplementary materials for this article are available online.</t>
  </si>
  <si>
    <t>[Chang, Won] Univ Chicago, Dept Stat, Chicago, IL 60637 USA; [Haran, Murali] Penn State Univ, Dept Stat, University Pk, PA 16802 USA; [Applegate, Patrick; Pollard, David] Penn State Univ, Earth &amp; Environm Syst Inst, University Pk, PA 16802 USA</t>
  </si>
  <si>
    <t>University of Chicago; Pennsylvania Commonwealth System of Higher Education (PCSHE); Pennsylvania State University; Pennsylvania State University - University Park; Pennsylvania Commonwealth System of Higher Education (PCSHE); Pennsylvania State University; Pennsylvania State University - University Park</t>
  </si>
  <si>
    <t>Chang, W (corresponding author), Univ Chicago, Dept Stat, Chicago, IL 60637 USA.;Haran, M (corresponding author), Penn State Univ, Dept Stat, University Pk, PA 16802 USA.;Applegate, P; Pollard, D (corresponding author), Penn State Univ, Earth &amp; Environm Syst Inst, University Pk, PA 16802 USA.</t>
  </si>
  <si>
    <t>wonchang@uchicago.edu; mharan@stat.psu.edu; patrick.applegate@psu.edu; pollard@essc.psu.edu</t>
  </si>
  <si>
    <t>Chang, Won/I-5908-2019</t>
  </si>
  <si>
    <t>Chang, Won/0000-0003-3556-1249</t>
  </si>
  <si>
    <t>National Science Foundation through NSF Statistical Methods in the Atmospheric Sciences Network [1106862, 1106974, 1107046]; National Science Foundation [NSF-DMS-1418090, NSF-OPP-ANT-1043018]; National Science Foundation through Network for Sustainable Climate Risk Management (SCRiM) under NSF cooperative agreement [GEO1240507]; Division Of Mathematical Sciences; Direct For Mathematical &amp; Physical Scien [1418090, 1107046] Funding Source: National Science Foundation</t>
  </si>
  <si>
    <t>National Science Foundation through NSF Statistical Methods in the Atmospheric Sciences Network(National Science Foundation (NSF)); National Science Foundation(National Science Foundation (NSF)); National Science Foundation through Network for Sustainable Climate Risk Management (SCRiM) under NSF cooperative agreement; Division Of Mathematical Sciences; Direct For Mathematical &amp; Physical Scien(National Science Foundation (NSF)NSF - Directorate for Mathematical &amp; Physical Sciences (MPS))</t>
  </si>
  <si>
    <t>This work was partially supported by National Science Foundation through (1) NSF Statistical Methods in the Atmospheric Sciences Network (Award Nos. 1106862, 1106974, and 1107046), (2) NSF-DMS-1418090, (3) NSF-OPP-ANT-1043018, and (4) Network for Sustainable Climate Risk Management (SCRiM) under NSF cooperative agreement (GEO1240507). WC was partially supported by (1) and (4), and MH and PA were partially supported by (2) and (4), and DP is partially supported by (2), (3), and (4). All views, errors, and opinions are solely those of the authors.</t>
  </si>
  <si>
    <t>AMER STATISTICAL ASSOC</t>
  </si>
  <si>
    <t>ALEXANDRIA</t>
  </si>
  <si>
    <t>732 N WASHINGTON ST, ALEXANDRIA, VA 22314-1943 USA</t>
  </si>
  <si>
    <t>0162-1459</t>
  </si>
  <si>
    <t>1537-274X</t>
  </si>
  <si>
    <t>J AM STAT ASSOC</t>
  </si>
  <si>
    <t>J. Am. Stat. Assoc.</t>
  </si>
  <si>
    <t>10.1080/01621459.2015.1108199</t>
  </si>
  <si>
    <t>Statistics &amp; Probability</t>
  </si>
  <si>
    <t>Mathematics</t>
  </si>
  <si>
    <t>DM0JT</t>
  </si>
  <si>
    <t>WOS:000376031000005</t>
  </si>
  <si>
    <t>Vick-Majors, TJ; Achberger, A; Santibáñez, P; Dore, JE; Hodson, T; Michaud, AB; Christner, BC; Mikucki, J; Skidmore, ML; Powell, R; Adkins, WP; Barbante, C; Mitchell, A; Scherer, R; Priscu, JC</t>
  </si>
  <si>
    <t>Vick-Majors, Trista J.; Achberger, Amanda; Santibanez, Pamela; Dore, John E.; Hodson, Timothy; Michaud, Alexander B.; Christner, Brent C.; Mikucki, Jill; Skidmore, Mark L.; Powell, Ross; Adkins, W. Peyton; Barbante, Carlo; Mitchell, Andrew; Scherer, Reed; Priscu, John C.</t>
  </si>
  <si>
    <t>Biogeochemistry and microbial diversity in the marine cavity beneath the McMurdo Ice Shelf, Antarctica</t>
  </si>
  <si>
    <t>DISSOLVED ORGANIC-MATTER; WATER DRILL SYSTEM; ROSS-SEA; COMMUNITY STRUCTURE; CHLOROPHYLL-A; BACTERIOPLANKTON; BACTERIA; SHEET; SOUND; OCEANOGRAPHY</t>
  </si>
  <si>
    <t>Ice shelves surround similar to 75% of Antarctica's coastline and are highly sensitive to climate change; several have recently collapsed and others are predicted to in the near future. Marine waters beneath ice shelves harbor active ecosystems, while adjacent seas can be important areas of bottom water formation. Despite their oceanographic significance, logistical constraints have resulted in few opportunities to directly sample subice shelf cavities. Here, we present the first data on microbial diversity and biogeochemistry beneath the McMurdo Ice Shelf (MIS) near Ross Island, Antarctica. Physicochemical profiles obtained via a 56 m deep borehole through the MIS revealed three vertically layered water masses (Antarctic Surface Water [AASW], Ice Shelf Water [ISW], and modified High Salinity Shelf Water [mHSSW]). Metabolically active, moderately diverse (Shannon diversity from 2.06 to 5.74) microbial communities were detected in the AASW and mHSSW. Heterotrophic bacterial production and dissolved organic matter concentrations were higher (1237% and 24%, respectively) in mHSSW relative to AASW. Chemoautotrophic production was 5.3 nmol C L-1 d(-1) and 6.0 nmol C L-1 d(-1) in the AASW and mHSSW, respectively. Phytoplankton cells were more abundant and larger in the mHSSW sample relative to the AASW, which indicates sinking of phytoplankton produced in surface waters and, together with southerly flowing currents (0.09-0.16 m s(-1)), horizontal advection of phytoplankton from McMurdo Sound. Advected phytoplankton carbon together with in situ chemoautotrophic production provide important sources of organic matter and other reduced compounds to support ecosystem processes in the dark waters in the ice shelf cavity.</t>
  </si>
  <si>
    <t>[Vick-Majors, Trista J.; Santibanez, Pamela; Dore, John E.; Michaud, Alexander B.; Priscu, John C.] Montana State Univ, Dept Land Resources &amp; Environm Sci, Bozeman, MT 59717 USA; [Achberger, Amanda; Christner, Brent C.; Adkins, W. Peyton] Louisiana State Univ, Dept Biol Sci, Baton Rouge, LA 70803 USA; [Hodson, Timothy; Powell, Ross; Scherer, Reed] No Illinois Univ, Dept Geol &amp; Environm Sci, De Kalb, IL 60115 USA; [Mikucki, Jill] Middlebury Coll, Dept Biol, Middlebury, VT 05753 USA; [Skidmore, Mark L.] Montana State Univ, Dept Earth Sci, Bozeman, MT 59717 USA; [Barbante, Carlo] Univ Venice, Inst Dynam Environm Proc, CNR, Dept Environm Sci, I-30123 Venice, Italy; [Mitchell, Andrew] Aberystwyth Univ, Dept Geog &amp; Earth Sci, Ceredigion, England</t>
  </si>
  <si>
    <t>Montana State University System; Montana State University Bozeman; Louisiana State University System; Louisiana State University; Northern Illinois University; Montana State University System; Montana State University Bozeman; Universita Ca Foscari Venezia; Consiglio Nazionale delle Ricerche (CNR); Istituto per la Dinamica dei Processi Ambientali (IDPA-CNR); Aberystwyth University</t>
  </si>
  <si>
    <t>Priscu, JC (corresponding author), Montana State Univ, Dept Land Resources &amp; Environm Sci, Bozeman, MT 59717 USA.</t>
  </si>
  <si>
    <t>jpriscu@montana.edu</t>
  </si>
  <si>
    <t>Barbante, Carlo/B-3195-2011; Michaud, Alex/AAC-4890-2020; Skidmore, Mark L/I-4317-2018; Santibanez, Pamela/HII-2820-2022; Vick-Majors, Trista/AAQ-6258-2020</t>
  </si>
  <si>
    <t>Michaud, Alex/0000-0001-5714-8741; Santibanez, Pamela/0000-0001-7022-3232; Vick-Majors, Trista/0000-0002-6868-4010; Hodson, Timothy/0000-0003-0962-5130; Achberger, Amanda/0000-0001-5738-2255; Barbante, Carlo/0000-0003-4177-2288</t>
  </si>
  <si>
    <t>National Science Foundation from the Office of Polar Programs [0838933, 0838896, 0838941, 0839142, 0839059, 0838885, 0838855, 0838763, 0839107, 0838947, 0838854, 0838764, 1142123]; NSF [1023233, 1115245, 1247192]; American Association of University Women Dissertation Fellowship; Chilean Fulbright-CONICYT Scholarship; Italian National Antarctic Program; NSF's IGERT Program [0654336]; Montana Space Grant Consortium; Directorate For Geosciences [0839142] Funding Source: National Science Foundation; Directorate For Geosciences; Office of Polar Programs (OPP) [0838885, 1115245, 0838947] Funding Source: National Science Foundation; Directorate For Geosciences; Office of Polar Programs (OPP) [0838763, 0838896, 0838764, 0839107, 0839059, 1142123, 0838855] Funding Source: National Science Foundation; Division Of Polar Programs; Directorate For Geosciences [0838941, 0838854] Funding Source: National Science Foundation; Division Of Polar Programs; Directorate For Geosciences [0838933, 1023233] Funding Source: National Science Foundation; Office of Polar Programs (OPP) [0839142] Funding Source: National Science Foundation</t>
  </si>
  <si>
    <t>National Science Foundation from the Office of Polar Programs; NSF(National Science Foundation (NSF)); American Association of University Women Dissertation Fellowship; Chilean Fulbright-CONICYT Scholarship; Italian National Antarctic Program; NSF's IGERT Program; Montana Space Grant Consortium; Directorate For Geosciences(National Science Foundation (NSF)NSF - Directorate for Geosciences (GEO)); Directorate For Geosciences; Office of Polar Programs (OPP)(National Science Foundation (NSF)NSF - Directorate for Geosciences (GEO)); Directorate For Geosciences; Office of Polar Programs (OPP)(National Science Foundation (NSF)NSF - Directorate for Geosciences (GEO)); Division Of Polar Programs; Directorate For Geosciences(National Science Foundation (NSF)NSF - Directorate for Geosciences (GEO)); Division Of Polar Programs; Directorate For Geosciences(National Science Foundation (NSF)NSF - Directorate for Geosciences (GEO)); Office of Polar Programs (OPP)(National Science Foundation (NSF)NSF - Directorate for Geosciences (GEO))</t>
  </si>
  <si>
    <t>The authors would like to thank two anonymous reviewers for helpful comments, Robert Edwards for project management, Andrew T. Fisher and Kenneth D. Mankoff for providing sediment samples, the WISSARD Science Team, the individuals working as part of the Antarctic Support Contractor managed by Lockheed-Martin, for logistical support, as well as K. Welch and A. Chiuchiolo for analytical and laboratory assistance and I. Alekhina for field support. The Whillans Ice Stream Subglacial Access Research Drilling (WISSARD) project was funded by National Science Foundation grants (0838933, 0838896, 0838941, 0839142, 0839059, 0838885, 0838855, 0838763, 0839107, 0838947, 0838854, 0838764 and 1142123) from the Office of Polar Programs. Partial support was also provided by funds from NSF award 1023233 (B.C.C.), NSF award 1115245 (J.C.P.), the American Association of University Women Dissertation Fellowship (T.J.V.), the NSF's Graduate Research Fellowship Program (1247192; A.M.A.), the Chilean Fulbright-CONICYT Scholarship (P.S), the Italian National Antarctic Program (C.B.), and fellowships from the NSF's IGERT Program (0654336) and the Montana Space Grant Consortium (A.B.M.). The drilling was directed by F. Rack and implemented by D. Blythe, J. Burnett, C. Carpenter, D. Duling (chief driller), D. Gibson, J. Lemery, A. Melby and G. Roberts.</t>
  </si>
  <si>
    <t>10.1002/lno.10234</t>
  </si>
  <si>
    <t>DG6BF</t>
  </si>
  <si>
    <t>WOS:000372166500006</t>
  </si>
  <si>
    <t>Too cold for invasions? Contrasting patterns of native and introduced ascidians in subantarctic and temperate Chile</t>
  </si>
  <si>
    <t>MANAGEMENT OF BIOLOGICAL INVASIONS</t>
  </si>
  <si>
    <t>tunicates; ship traffic; exotic species; bivalve cultures; Strait of Magellan; Coquimbo</t>
  </si>
  <si>
    <t>We analysed the biodiversity of ascidians in two areas located in southern and northern Chile: Punta Arenas in the Strait of Magellan (53 degrees latitude, subantarctic) and Coquimbo (29 degrees latitude, temperate). The oceanographic features of the two zones are markedly different, with influence of the Humboldt Current in the north, and the Cape Horn Current System, together with freshwater influxes, in the Magellanic zone. Both regions were surveyed twice during 2013 by SCUBA diving and pulling ropes and aquaculture cages. Both artificial structures and natural communities were sampled. A total of 22 species were identified, three of them reported for the first time in Chilean waters: Lissoclinum perforatum, Synoicum georgianum, and Polyzoa minor. The first is an introduced species found here for the first time in the Pacific. No species occurred in both regions, highlighting the very different environmental conditions of subantarctic vs. temperate waters. In spite of exhaustive searches in aquaculture facilities and on artificial structures such as harbour docks and piers, no introduced species were found in the Punta Arenas area. Conversely, 5 out of 11 (45%) species found in northern Chile were introduced. The Coquimbo area has a history of ship traffic dating back at least 150 years, and cultures of native (e.g. scallop) as well as exotic species (e.g. abalone) have been deployed for ca. 35 years. Some of the introduced species, such as Ciona robusta (formerly C. intestinalis sp. A), constitute pests for scallop culture facilities in the area, causing serious losses to local farmers. It is surprising that the Punta Arenas zone, with a history of ship traffic dating back ca. 500 years and over 25 years of sustained mussel and salmon aquaculture activity, is apparently free from introduced species. The ascidian cover on artificial structures is high, but it is made up of native species such as Paramolgula sp., Cnemidocarpa verrucosa, or Polyzoa opuntia. It is hypothesized that cold waters (5 to 11 degrees C) are the determining factor hindering the development of introduced ascidians, which tend to be temperate-warm water species. The ongoing warming in the Southern Cone may change this picture and continued monitoring is strongly advised.</t>
  </si>
  <si>
    <t>[Turon, Xavier] Ctr Adv Studies Blanes CEAB CSIC, Acces Cala S Francesc 14, Blanes 17300, Girona, Spain; [Canete, Juan I.] Univ Magallanes, Fac Ciencias, Punta Arenas, Chile; [Sellanes, Javier] Univ Catolica Norte, Fac Ciencias Mar, Dept Biol Marina, Coquimbo, Chile; [Sellanes, Javier] Millenium Nucleus Ecol &amp; Sustainable Management O, Coquimbo, Chile; [Rocha, Rosana M.] Univ Fed Parana, Dept Zool, Curitiba, Parana, Brazil; [Lopez-Legentil, Susanna] Univ North Carolina Wilmington, Dept Biol &amp; Marine Biol, Wilmington, NC 28409 USA; [Lopez-Legentil, Susanna] Univ North Carolina Wilmington, Ctr Marine Sci, Wilmington, NC 28409 USA</t>
  </si>
  <si>
    <t>Turon, X (corresponding author), Ctr Adv Studies Blanes CEAB CSIC, Acces Cala S Francesc 14, Blanes 17300, Girona, Spain.</t>
  </si>
  <si>
    <t>xturon@ceab.csic.es</t>
  </si>
  <si>
    <t>Sellanes, Javier/I-5722-2012; da Rocha, Rosana Moreira/AAD-8390-2019; Rocha, Rosana M./H-7989-2012; Canete, Juan/GRS-4620-2022; Turon, Xavier/J-9211-2012; Sellanes, Javier/P-4699-2019; Lopez-Legentil, Susanna/B-8194-2008</t>
  </si>
  <si>
    <t>Sellanes, Javier/0000-0002-6942-0762; da Rocha, Rosana Moreira/0000-0001-6712-7960; Rocha, Rosana M./0000-0001-6712-7960; Turon, Xavier/0000-0002-9229-5541; Sellanes, Javier/0000-0002-6942-0762; Lopez-Legentil, Susanna/0000-0001-8737-6729</t>
  </si>
  <si>
    <t>CONICYT Chile [80122006]; Spanish Government [CHALLENGEN CTM2013-48163]; University of Magallanes - UMAG/DIP Grant [PR-F2-01CRN-12]; GAIA-Antarctic Project (MINEDUC-UMAG); CNPq-National Counsel of Technological and Scientific Development [304768/2010-3]; CIMAR 18 &amp; CIMAR 20 Fjords Chilean Navy</t>
  </si>
  <si>
    <t>CONICYT Chile(Comision Nacional de Investigacion Cientifica y Tecnologica (CONICYT)); Spanish Government(Spanish Government); University of Magallanes - UMAG/DIP Grant; GAIA-Antarctic Project (MINEDUC-UMAG); CNPq-National Counsel of Technological and Scientific Development(Conselho Nacional de Desenvolvimento Cientifico e Tecnologico (CNPQ)); CIMAR 18 &amp; CIMAR 20 Fjords Chilean Navy</t>
  </si>
  <si>
    <t>We acknowledge Empresa Nacional del Petroleo, ENAP, for granting access to its docks in Cabo Negro, and Marcelina Novoa for sharing samples from Bahia Tongoy. This research was funded by CONICYT Chile (Grant 80122006). Additional funding was obtained by XT from the Spanish Government (project CHALLENGEN CTM2013-48163) and by JIC from University of Magallanes - UMAG/DI&amp;P Grant PR-F2-01CRN-12, CIMAR 18 &amp; CIMAR 20 Fjords Chilean Navy, and GAIA-Antarctic Project (MINEDUC-UMAG). RMR received a research grant from CNPq-National Counsel of Technological and Scientific Development (304768/2010-3). The authors thank the Institute of Patagonia for the lodging of the samples in its collection.</t>
  </si>
  <si>
    <t>REGIONAL EURO-ASIAN BIOLOGICAL INVASIONS CENTRE-REABIC</t>
  </si>
  <si>
    <t>HELSINKI</t>
  </si>
  <si>
    <t>PO BOX 3, HELSINKI, 00981, FINLAND</t>
  </si>
  <si>
    <t>1989-8649</t>
  </si>
  <si>
    <t>MANAG BIOL INVASION</t>
  </si>
  <si>
    <t>Manag. Biol. Invasion</t>
  </si>
  <si>
    <t>10.3391/mbi.2016.7.1.10</t>
  </si>
  <si>
    <t>Biodiversity Conservation</t>
  </si>
  <si>
    <t>Biodiversity &amp; Conservation</t>
  </si>
  <si>
    <t>VB8VT</t>
  </si>
  <si>
    <t>WOS:000422636100010</t>
  </si>
  <si>
    <t>Moles, J; Wägele, H; Cutignano, A; Fontana, A; Avila, C</t>
  </si>
  <si>
    <t>Moles, Juan; Waegele, Heike; Cutignano, Adele; Fontana, Angelo; Avila, Conxita</t>
  </si>
  <si>
    <t>Distribution of granuloside in the Antarctic nudibranch Charcotia granulosa (Gastropoda: Heterobranchia: Charcotiidae)</t>
  </si>
  <si>
    <t>CHEMICAL ECOLOGY; AUSTRODORIS-KERGUELENENSIS; OPISTHOBRANCH MOLLUSKS; SECONDARY METABOLITES; SIGNY ISLAND; DEFENSE; MANTLE; SESQUITERPENES; ULTRASTRUCTURE; MORPHOLOGY</t>
  </si>
  <si>
    <t>The loss of the shell in nudibranch gastropods has been related to the acquisition of chemical defensive strategies during evolution, such as the use of natural products to deter predation. In the present study, we investigated the origin, location, and putative role of granuloside (1), a homosesterterpene lactone, recently isolated from the Antarctic nudibranch Charcotia granulosa Vayssisre, 1906. Several adults, egg masses, and its bryozoan prey, Beania erecta Waters, 1904, were chemically analyzed by chromatographic and spectroscopic techniques. Light-and transmission electron microscopy of the mantle revealed complex glandular structures, which might be associated with the storage of defensive compounds in analogy to mantle dermal formations described in other nudibranchs. Although preliminary in situ repellence bioassays with live specimens of the nudibranch showed avoidance against the Antarctic generalist sea star predator Odontaster validus, the specific role of the terpene granuloside requires further investigation. The egg masses do not present granuloside, and the glandular structures are absent in the trochophore larvae. Our results suggest that C. granulosa synthesizes granuloside de novo in early stages of its ontogeny, instead of obtaining it from the prey. Considering the wide geographic area inhabited by this slug, this may be advantageous, because natural products produced by the slug will not be affected by fluctuant food availability. Overall, the Antarctic sea slug C. granulosa seems to possess defensive strategies that are similar, in terms of production and storage, to nudibranchs from other regions of the world. This species is one of the few cladobranchs investigated so far that present de novo biosynthesis of a defensive compound.</t>
  </si>
  <si>
    <t>[Moles, Juan; Avila, Conxita] Univ Barcelona, Dept Anim Biol Invertebrates, Avinguda Diagonal 643, Barcelona 08028, Catalonia, Spain; [Moles, Juan; Avila, Conxita] Univ Barcelona, Biodivers Res Inst IrBIO, Avinguda Diagonal 643, Barcelona 08028, Catalonia, Spain; [Moles, Juan; Waegele, Heike] Zool Forsch Museum Alexander Koenig, Adenauerallee 160, D-53113 Bonn, Germany; [Moles, Juan; Cutignano, Adele; Fontana, Angelo] CNR, Ist Chim Biomol, Bioorgan Chem Lab, Via Campi Flegrei 34, I-80078 Naples, Italy</t>
  </si>
  <si>
    <t>University of Barcelona; University of Barcelona; Zoologisches Forschungsmuseum Alexander Koenig (ZFMK); Consiglio Nazionale delle Ricerche (CNR); Istituto di Chimica Biomolecolare (ICB-CNR)</t>
  </si>
  <si>
    <t>Moles, J (corresponding author), Univ Barcelona, Dept Anim Biol Invertebrates, Avinguda Diagonal 643, Barcelona 08028, Catalonia, Spain.;Moles, J (corresponding author), Univ Barcelona, Biodivers Res Inst IrBIO, Avinguda Diagonal 643, Barcelona 08028, Catalonia, Spain.;Moles, J (corresponding author), Zool Forsch Museum Alexander Koenig, Adenauerallee 160, D-53113 Bonn, Germany.;Moles, J (corresponding author), CNR, Ist Chim Biomol, Bioorgan Chem Lab, Via Campi Flegrei 34, I-80078 Naples, Italy.</t>
  </si>
  <si>
    <t>moles.sanchez@gmail.com</t>
  </si>
  <si>
    <t>Cutignano, Adele/C-3343-2012; Fontana, Angelo/AAO-2741-2021; Fontana, Angelo/C-3354-2012; Moles, Juan/H-4786-2018; Avila, Conxita/B-9466-2008</t>
  </si>
  <si>
    <t>Cutignano, Adele/0000-0003-3035-9252; Fontana, Angelo/0000-0002-5453-461X; Moles, Juan/0000-0003-4511-4055; Avila, Conxita/0000-0002-5489-8376</t>
  </si>
  <si>
    <t>Spanish Government [CTM2010-17415/ANT, CTM2013-42667/ANT]; Italian PNRA [2009/A1.06]; FPI of the Spanish Government [BES-2011-045325]</t>
  </si>
  <si>
    <t>Spanish Government(Spanish Government); Italian PNRA(Ministry of Education, Universities and Research (MIUR)); FPI of the Spanish Government</t>
  </si>
  <si>
    <t>We wish to thank J. Cristobo, C. Angulo-Preckler, M. Bas, B. Figuerola, L. Nunez-Pons, A. Riesgo, and S. Taboada for their help in the field work. We are indebted to the crews of the BIO-Las Palmas, the BIO-Hesperides, and the Gabriel de Castilla Spanish Antarctic Base, which provided logistic support during the ACTIQUIM-3 and 4 cruises. Special thanks are given to the ICB-NMR Service. A. Garcia, R. Rivera, and A. Riesgo provided support in transmission electron microscopy. Funding was provided by the Spanish Government through the ACTIQUIM-II (CTM2010-17415/ANT) and DISTANTCOM (CTM2013-42667/ANT) projects, and by the Italian PNRA through the Research Project 2009/A1.06. J. M. was supported by a FPI of the Spanish Government (BES-2011-045325).</t>
  </si>
  <si>
    <t>10.1007/s00227-016-2831-0</t>
  </si>
  <si>
    <t>WOS:000372302600010</t>
  </si>
  <si>
    <t>Borchers, A; Dietze, E; Kuhn, G; Esper, O; Voigt, I; Hartmann, K; Diekmann, B</t>
  </si>
  <si>
    <t>Borchers, Andreas; Dietze, Elisabeth; Kuhn, Gerhard; Esper, Oliver; Voigt, Ines; Hartmann, Kai; Diekmann, Bernhard</t>
  </si>
  <si>
    <t>Holocene ice dynamics and bottom-water formation associated with Cape Darnley polynya activity recorded in Burton Basin, East Antarctica</t>
  </si>
  <si>
    <t>Deglaciation; Sedimentology; End-member modeling; MacRobertson Shelf; Prydz Bay</t>
  </si>
  <si>
    <t>LAST GLACIAL MAXIMUM; PENINSULA ODP LEG-178; MARINE DIATOM RECORD; MAC-ROBERTSON LAND; PRYDZ BAY-REGION; PALMER DEEP; SEA-ICE; CONTINENTAL-SHELF; SURFACE SEDIMENTS; LATE PLEISTOCENE</t>
  </si>
  <si>
    <t>A multi-proxy study including sedimentological, mineralogical, biogeochemical and micropaleontological methods was conducted on sediment core PS69/849-2 retrieved from Burton Basin, MacRobertson Shelf, East Antarctica. The goal of this study was to depict the deglacial and Holocene environmental history of the MacRobertson Land-Prydz Bay region. A special focus was put on the timing of ice-sheet retreat and the variability of bottom-water formation due to sea ice formation through the Holocene. Results from site PS69/849-2 provide the first paleo-environmental record of Holocene variations in bottom-water production probably associated to the Cape Darnley polynya, which is the second largest polynya in the Antarctic. Methods included end-member modeling of laser-derived high-resolution grain size data to reconstruct the depositional regimes and bottom-water activity. The provenance of current-derived and ice-transported material was reconstructed using clay-mineral and heavy-mineral analysis. Conclusions on biogenic production were drawn by determination of biogenic opal and total organic carbon. It was found that the ice shelf front started to retreat from the site around 12.8 ka BP. This coincides with results from other records in Prydz Bay and suggests warming during the early Holocene optimum next to global sea level rise as the main trigger. Ice-rafted debris was then supplied to the site until 5.5 cal. ka BP, when Holocene global sea level rise stabilized and glacial isostatic rebound on MacRobertson Land commenced. Throughout the Holocene, three episodes of enhanced bottom-water activity probably due to elevated brine rejection in Cape Darnley polynya occured between 11.5 and 9 cal. ka BP, 5.6 and 4.5 cal. ka BP and since 1.5 cal. ka BP. These periods are related to shifts from warmer to cooler conditions at the end of Holocene warm periods, in particular the early Holocene optimum, the mid-Holocene warm period and at the beginning of the neoglacial. In contrast, between 7.7 and 6.7 cal. ka BP, brine rejection shut down, maybe owed to warm conditions and pronounced open-water intervals.</t>
  </si>
  <si>
    <t>[Borchers, Andreas; Diekmann, Bernhard] Helmholtz Zentrum Polar &amp; Meeresforsch, Alfred Wegener Inst, Telegrafenberg A43, D-14473 Potsdam, Germany; [Dietze, Elisabeth] GeoForschungsZentrum GFZ, Helmholtz Zentrum Potsdam Deutsch, D-14473 Potsdam, Germany; [Kuhn, Gerhard; Esper, Oliver] Helmholtz Zentrum Polar &amp; Meeresforsch, Alfred Wegener Inst, Alten Hafen 26, D-27568 Bremerhaven, Germany; [Voigt, Ines] MARUM Ctr Marine Environm Sci, Leobener Str, D-28359 Bremen, Germany; [Hartmann, Kai] Free Univ Berlin, Malteserstr 74-100, D-12249 Berlin, Germany</t>
  </si>
  <si>
    <t>Helmholtz Association; Alfred Wegener Institute, Helmholtz Centre for Polar &amp; Marine Research; Helmholtz Association; Helmholtz-Center Potsdam GFZ German Research Center for Geosciences; Helmholtz Association; Alfred Wegener Institute, Helmholtz Centre for Polar &amp; Marine Research; University of Bremen; Free University of Berlin</t>
  </si>
  <si>
    <t>Diekmann, B (corresponding author), Helmholtz Zentrum Polar &amp; Meeresforsch, Alfred Wegener Inst, Telegrafenberg A43, D-14473 Potsdam, Germany.</t>
  </si>
  <si>
    <t>Bernhard.Diekmann@awi.de</t>
  </si>
  <si>
    <t>Dietze, Elisabeth/AFJ-4450-2022; Dietze, Elisabeth/AAF-4616-2022</t>
  </si>
  <si>
    <t>Dietze, Elisabeth/0000-0003-4817-8441; Dietze, Elisabeth/0000-0003-4817-8441; Esper, Oliver/0000-0002-4342-3471; Hartmann, Kai/0000-0003-2540-6798; Kuhn, Gerhard/0000-0001-6069-7485; Diekmann, Bernhard/0000-0001-5129-3649</t>
  </si>
  <si>
    <t>Deutsche Forschungsgemeinschaft [DI 655/3-1/-2, SPP 1158]</t>
  </si>
  <si>
    <t>This investigation was funded by Deutsche Forschungsgemeinschaft priority program SPP 1158 through grant DI 655/3-1/-2. We thank the officers and crew of RV Polarstern and chief scientist H. W. Hubberten for their competent help in collecting the samples. R. Froehlking, N. Lensch, U. Bock and U. Bastian are acknowledged for technical assistance. The manuscript benefited from comments and constructive suggestions of Sonja Berg and Bernd Wagner. Keiichiro Ohshima gave important insights into modern polynya activity and bottom-water flow paths on MacRobertson Shelf. Two anonymous reviewers provided helpful comments and suggestions for improvement of the manuscript.</t>
  </si>
  <si>
    <t>10.1007/s11001-015-9254-z</t>
  </si>
  <si>
    <t>WOS:000374247900004</t>
  </si>
  <si>
    <t>Malinverno, E; Maffioli, P; Gariboldi, K</t>
  </si>
  <si>
    <t>Malinverno, E.; Maffioli, P.; Gariboldi, K.</t>
  </si>
  <si>
    <t>Latitudinal distribution of extant fossilizable phytoplankton in the Southern Ocean: Planktonic provinces, hydrographic fronts and palaeoecological perspectives</t>
  </si>
  <si>
    <t>Biogeography; Coccolithophores; Silicoflagellates; Diatoms; Dinoflagellates; Parmales; Archaeomonads; Corona-index; Southern Ocean</t>
  </si>
  <si>
    <t>LATE AUSTRAL SUMMER; MAJOR DIATOM TAXA; WATER-COLUMN ASSEMBLAGES; SEA-SURFACE DISTRIBUTION; GULF-OF-CALIFORNIA; MARGINAL ICE-ZONE; ATLANTIC SECTOR; INDIAN SECTOR; WEDDELL SEA; CALCAREOUS NANNOPLANKTON</t>
  </si>
  <si>
    <t>We present the combined abundance of all extant fossilizable planktonic groups (Dinoflagellates, Coccolithophores, Silicoflagellates, Diatoms, Parmales, Archaeomonads and micro-zooplankton) from surface waters collected along a latitudinal transect in the western Pacific sector of the Southern Ocean, ranging from similar to 48 degrees S, offshore New Zealand, to similar to 70 degrees S in the Ross Sea, Antarctica. Latitudinal shifts in species' distribution correspond with the Antarctic Circumpolar Current fronts and with the seasonal position of the ice-edge. Distinct bioprovinces are defined by clustering samples with a high degree of similarity. Our data confirm the importance of previously defined taxa as palaeoceanographic proxies but also reveal some differences: the shift in dominance between the silicoflagellates genera Dictyocha and Stephanocha, used as a proxy of palaeo sea-surface temperatures, occurs slightly north of the Southern Sub-Antarctic Front rather than at the Polar Front; the shifts in abundance between the open-ocean diatom species Fragilariopsis kerguelensis and sea-ice related F. curta and F.cylindrus, as well as the drop in the coccolithophore Emiliania huxleyi, occur at the southern Antarctic Circumpolar Front rather than at the Polar Front. Finally, we introduce the Corona-index, based on the ratio of the coronatid to non-coronatid silicoflagellates species Stephanocha speculum, as a new proxy for sea-ice and we confirm the occurrence of abundant Archaeomonads and Parmales (Triparma Iaevis subsp. ramispina) in the marginal ice-edge zone. (C) 2016 Elsevier B.V. All rights reserved.</t>
  </si>
  <si>
    <t>[Malinverno, E.; Maffioli, P.] Univ Milano Bicocca, Dept Earth &amp; Environm Sci, Milan, Italy; [Gariboldi, K.] Univ Pisa, Dept Earth Sci, I-56100 Pisa, Italy</t>
  </si>
  <si>
    <t>University of Milano-Bicocca; University of Pisa</t>
  </si>
  <si>
    <t>Malinverno, E (corresponding author), Piazza Sci 4, I-20126 Milan, Italy.</t>
  </si>
  <si>
    <t>elisa.malinverno@unimib.it</t>
  </si>
  <si>
    <t>Gariboldi, Karen/AAA-4600-2020</t>
  </si>
  <si>
    <t>Malinverno, Elisa/0000-0002-9124-5155; Gariboldi, Karen/0000-0002-7978-7496</t>
  </si>
  <si>
    <t>Italian PNRA (Piano Nazionale di Ricerca in Antartide) [2004/8.06]</t>
  </si>
  <si>
    <t>Italian PNRA (Piano Nazionale di Ricerca in Antartide)</t>
  </si>
  <si>
    <t>Water samples analysed for this study were collected during the XX Italian Antarctic Expedition on board R/V Italica (Austral Summer 2004-2005) within ABIOCLEAR Project (Antartic BlOgeochemical cycles-Climatic and palEoclimAtic Recostructions), funded by the Italian PNRA (Piano Nazionale di Ricerca in Antartide, project 2004/8.06). Comments from the Editor and two anonymous reviewers strongly contributed to the improvement of the manuscript. E.M. is grateful to Helge Thomsen and Ric Jordan for stimulating discussion on Southern Ocean phytoplankton.</t>
  </si>
  <si>
    <t>10.1016/j.marmicro.2016.01.001</t>
  </si>
  <si>
    <t>DF7QJ</t>
  </si>
  <si>
    <t>WOS:000371552400004</t>
  </si>
  <si>
    <t>Serrao-Neumann, S; Davidson, JL; Baldwin, CL; Dedekorkut-Howes, A; Ellison, JC; Holbrook, NJ; Howes, M; Jacobson, C; Morgan, EA</t>
  </si>
  <si>
    <t>Serrao-Neumann, Silvia; Davidson, Julie L.; Baldwin, Claudia L.; Dedekorkut-Howes, Aysin; Ellison, Joanna C.; Holbrook, Neil J.; Howes, Michael; Jacobson, Christine; Morgan, Edward A.</t>
  </si>
  <si>
    <t>Marine governance to avoid tipping points: Can we adapt the adaptability envelope?</t>
  </si>
  <si>
    <t>Climate change; Marine systems; Australia; Thresholds; Vulnerability</t>
  </si>
  <si>
    <t>CLIMATE-CHANGE; MORETON BAY; WETLAND LANDSCAPE; ECOSYSTEM; MANAGEMENT; RESILIENCE; RIVER; SUSTAINABILITY; TRANSFORMATION; COMANAGEMENT</t>
  </si>
  <si>
    <t>Combined pressures from climate change, resources demand and environmental degradation could lead to the collapse of marine systems and increase the vulnerability of populations dependent on them. In this paper an adaptability envelope framework is applied to investigate how governance arrangements may be addressing changing conditions of marine social-ecological systems, particularly where thresholds might have been crossed. The analysis focuses on three Australian case studies that have been significantly impacted by variations or changes in weather and climate over the past decade. Findings indicate that, in some cases, global scale drivers are triggering tipping points, which challenge the potential success of existing governance arrangements at the local scale. Governance interventions to address tipping points have been predominantly reactive, despite existing scientific evidence indicating that thresholds are approaching and/or being crossed. It is argued that marine governance arrangements need to be framed so that they also anticipate increasing marine social-ecological system vulnerability, and therefore build appropriate adaptive capacity to buffer against potential tipping points. (C) 2015 The Authors. Published by Elsevier Ltd.</t>
  </si>
  <si>
    <t>[Serrao-Neumann, Silvia; Morgan, Edward A.] Griffith Univ, Griffith Sch Environm, Urban Res Program, Nathan, Qld 4111, Australia; [Serrao-Neumann, Silvia; Morgan, Edward A.] Monash Univ, Cooperat Res Ctr Water Sensit Cities, Clayton Campus, Clayton, Vic 3800, Australia; [Davidson, Julie L.] Univ Tasmania, Sch Land &amp; Food, Geog &amp; Spatial Sci, Private Bag 78, Hobart, Tas 7001, Australia; [Davidson, Julie L.] Univ Tasmania, Ctr Marine Socioecol, Private Bag 129, Hobart, Tas 7001, Australia; [Baldwin, Claudia L.] Univ Sunshine Coast, Reg &amp; Urban Planning, Maroochydore, Qld 4558, Australia; [Dedekorkut-Howes, Aysin; Howes, Michael] Griffith Univ, Griffith Sch Environm, Gold Coast Campus, Southport, Qld 4222, Australia; [Ellison, Joanna C.] Univ Tasmania, Sch Land &amp; Food, Locked Bag 1370, Launceston, Tas 7250, Australia; [Holbrook, Neil J.] ARC Ctr Excellence Climate Syst Sci, Hobart, Tas 7001, Australia; [Holbrook, Neil J.] Univ Tasmania, Inst Marine &amp; Antarctic Studies, Hobart, Tas 7001, Australia; [Jacobson, Christine] Univ Sunshine Coast, Sustainabil Res Ctr, Maroochydore, Qld 4558, Australia</t>
  </si>
  <si>
    <t>Griffith University; Monash University; Cooperative Research Centre for Water Sensitive Cities (CRCWSC); University of Tasmania; University of Tasmania; University of the Sunshine Coast; Griffith University; Griffith University - Gold Coast Campus; University of Tasmania; ARC Centre of Excellence for Climate System Science; University of Tasmania; University of the Sunshine Coast</t>
  </si>
  <si>
    <t>Serrao-Neumann, S (corresponding author), Griffith Univ, Sch Environm, Urban Res Program, 170 Kessels Rd, Nathan, Qld 4111, Australia.</t>
  </si>
  <si>
    <t>s.serrao-neumann@griffith.edu.au</t>
  </si>
  <si>
    <t>Serrao-Neumann, Silvia M/K-2470-2012; , Claudia and Baldwin/G-6889-2019; Jacobson, Christine L/C-4951-2012; Morgan, Edward/AAX-2372-2020; Howes, Michael/S-2804-2019; Dedekorkut-Howes, Aysin/V-5636-2018; Ellison, Joanna/C-2372-2014; Holbrook, Neil/M-7544-2013</t>
  </si>
  <si>
    <t>, Claudia and Baldwin/0000-0002-0707-6564; Morgan, Edward/0000-0002-9239-4320; Howes, Michael/0000-0003-1102-1483; Dedekorkut-Howes, Aysin/0000-0002-3844-4796; Jacobson, Chris/0000-0002-8592-0601; Ellison, Joanna/0000-0003-0692-8347; Serrao-Neumann, Silvia/0000-0001-9601-4914; Holbrook, Neil/0000-0002-3523-6254</t>
  </si>
  <si>
    <t>Collaborative Research Network scheme, Commonwealth Government of Australia</t>
  </si>
  <si>
    <t>This research was funded by the Collaborative Research Network scheme, Commonwealth Government of Australia.</t>
  </si>
  <si>
    <t>10.1016/j.marpol.2015.12.007</t>
  </si>
  <si>
    <t>DD7IF</t>
  </si>
  <si>
    <t>WOS:000370096200007</t>
  </si>
  <si>
    <t>Lylloff, JE; Hansen, LBS; Jepsen, M; Sanggaard, KW; Vester, JK; Enghild, JJ; Sorensen, SJ; Stougaard, P; Glaring, MA</t>
  </si>
  <si>
    <t>Lylloff, Jeanette E.; Hansen, Lea B. S.; Jepsen, Morten; Sanggaard, Kristian W.; Vester, Jan K.; Enghild, Jan J.; Sorensen, Soren J.; Stougaard, Peter; Glaring, Mikkel A.</t>
  </si>
  <si>
    <t>Genomic and exoproteomic analyses of cold- and alkaline-adapted bacteria reveal an abundance of secreted subtilisin-like proteases</t>
  </si>
  <si>
    <t>MICROBIAL BIOTECHNOLOGY</t>
  </si>
  <si>
    <t>BIOTECHNOLOGICAL APPLICATIONS; ENZYME-PURIFICATION; PROTEOLYTIC-ENZYMES; PROTEIN SECRETION; BACILLUS-SUBTILIS; DIVERSITY; SEQUENCE; COLUMNS; CLONING; ENVIRONMENT</t>
  </si>
  <si>
    <t>Proteases active at low temperature or high pH are used in many commercial applications, including the detergent, food and feed industries, and bacteria specifically adapted to these conditions are a potential source of novel proteases. Environments combining these two extremes are very rare, but offer the promise of proteases ideally suited to work at both high pH and low temperature. In this report, bacteria from two cold and alkaline environments, the ikaite columns in Greenland and alkaline ponds in the McMurdo Dry Valley region, Antarctica, were screened for extracellular protease activity. Two isolates, Arsukibacterium ikkense from Greenland and a related strain, Arsukibacterium sp. MJ3, from Antarctica, were further characterized with respect to protease production. Genome sequencing identified a range of potential extracellular proteases including a number of putative secreted subtilisins. An extensive liquid chromatography-tandem mass spectrometry analysis of proteins secreted by A.ikkense identified six subtilisin-like proteases as abundant components of the exoproteome in addition to other peptidases potentially involved in complete degradation of extracellular protein. Screening of Arsukibacterium genome libraries in Escherichia coli identified two orthologous secreted subtilisins active at pH 10 and 20 degrees C, which were also present in the A.ikkense exoproteome. Recombinant production of both proteases confirmed the observed activity.</t>
  </si>
  <si>
    <t>[Lylloff, Jeanette E.; Jepsen, Morten; Vester, Jan K.; Stougaard, Peter; Glaring, Mikkel A.] Univ Copenhagen, Dept Plant &amp; Environm Sci, Thorvaldsensvej 40, DK-1871 Frederiksberg, Denmark; [Hansen, Lea B. S.; Sorensen, Soren J.] Univ Copenhagen, Dept Biol, Copenhagen, Denmark; [Sanggaard, Kristian W.; Enghild, Jan J.] Aarhus Univ, Interdisciplinary Nanosci Ctr, Aarhus, Denmark; [Sanggaard, Kristian W.; Enghild, Jan J.] Aarhus Univ, Dept Mol Biol &amp; Genet, Aarhus, Denmark</t>
  </si>
  <si>
    <t>University of Copenhagen; University of Copenhagen; Aarhus University; Aarhus University</t>
  </si>
  <si>
    <t>Stougaard, P (corresponding author), Univ Copenhagen, Dept Plant &amp; Environm Sci, Thorvaldsensvej 40, DK-1871 Frederiksberg, Denmark.</t>
  </si>
  <si>
    <t>psg@plen.ku.dk</t>
  </si>
  <si>
    <t>Sørensen, Søren Johannes/N-2120-2019; Vester, Jan/C-1631-2015; Glaring, Mikkel Andreas/I-5789-2014; Stougaard, Peter/G-9978-2014</t>
  </si>
  <si>
    <t>Sørensen, Søren Johannes/0000-0001-6227-9906; Vester, Jan/0000-0001-8272-9863; Glaring, Mikkel Andreas/0000-0002-8003-4635; Enghild, Jan Johannes/0000-0001-9292-9172; Stougaard, Peter/0000-0002-2796-7137</t>
  </si>
  <si>
    <t>Danish Council for Strategic Research, project NOVENIA; Novo Nordisk Fonden [NNF12OC0000797] Funding Source: researchfish</t>
  </si>
  <si>
    <t>Danish Council for Strategic Research, project NOVENIA; Novo Nordisk Fonden(Novo Nordisk Foundation)</t>
  </si>
  <si>
    <t>We gratefully acknowledge Dr Anne Jungblut, The Natural History Museum of London, for providing samples from the Antarctic alkaline ponds, Peter Hallin, Novozymes A/S, for assistance with genome sequencing of the Antarctic isolate and Tania A. Nielsen, Interdisciplinary Nanoscience Center, Aarhus University, for sample preparation prior to LC-MS/MS analyses. This work was supported by the Danish Council for Strategic Research, project NOVENIA.</t>
  </si>
  <si>
    <t>1751-7915</t>
  </si>
  <si>
    <t>MICROB BIOTECHNOL</t>
  </si>
  <si>
    <t>Microb. Biotechnol.</t>
  </si>
  <si>
    <t>10.1111/1751-7915.12343</t>
  </si>
  <si>
    <t>DF3HJ</t>
  </si>
  <si>
    <t>WOS:000371234500010</t>
  </si>
  <si>
    <t>Dickinson, I; Goodall-Copestake, W; Thorne, MAS; Schlitt, T; Avila-Jiménez, ML; Pearce, DA</t>
  </si>
  <si>
    <t>Dickinson, Iain; Goodall-Copestake, William; Thorne, Michael A. S.; Schlitt, Thomas; Avila-Jimenez, Maria L.; Pearce, David A.</t>
  </si>
  <si>
    <t>Extremophiles in an Antarctic Marine Ecosystem</t>
  </si>
  <si>
    <t>MICROORGANISMS</t>
  </si>
  <si>
    <t>Antarctica; bacteria; biodiversity; metagenome; polar; marine; bioprospecting; fosmid; extremophile; rare</t>
  </si>
  <si>
    <t>SP-NOV.; GENOME SEQUENCE; SUMMER BACTERIOPLANKTON; MICROBIAL BIOGEOGRAPHY; PSYCHROPHILIC BACTERIA; SALINITY GRADIENT; GROWTH-RATE; GEN. NOV.; SEA; TEMPERATURE</t>
  </si>
  <si>
    <t>Recent attempts to explore marine microbial diversity and the global marine microbiome have indicated a large proportion of previously unknown diversity. However, sequencing alone does not tell the whole story, as it relies heavily upon information that is already contained within sequence databases. In addition, microorganisms have been shown to present small-to-large scale biogeographical patterns worldwide, potentially making regional combinations of selection pressures unique. Here, we focus on the extremophile community in the boundary region located between the Polar Front and the Southern Antarctic Circumpolar Current in the Southern Ocean, to explore the potential of metagenomic approaches as a tool for bioprospecting in the search for novel functional activity based on targeted sampling efforts. We assessed the microbial composition and diversity from a region north of the current limit for winter sea ice, north of the Southern Antarctic Circumpolar Front (SACCF) but south of the Polar Front. Although, most of the more frequently encountered sequences were derived from common marine microorganisms, within these dominant groups, we found a proportion of genes related to secondary metabolism of potential interest in bioprospecting. Extremophiles were rare by comparison but belonged to a range of genera. Hence, they represented interesting targets from which to identify rare or novel functions. Ultimately, future shifts in environmental conditions favoring more cosmopolitan groups could have an unpredictable effect on microbial diversity and function in the Southern Ocean, perhaps excluding the rarer extremophiles.</t>
  </si>
  <si>
    <t>[Dickinson, Iain; Pearce, David A.] Northumbria Univ, Fac Life Sci, Dept Appl Sci, Ellison Bldg, Newcastle Upon Tyne NE1 8ST, Tyne &amp; Wear, England; [Goodall-Copestake, William; Thorne, Michael A. S.; Schlitt, Thomas; Pearce, David A.] British Antarctic Survey, Nat Environm Res Council, Madingley Rd, Cambridge CB3 OET, England; [Avila-Jimenez, Maria L.] Prudhoe St, Alnwick NE66 1UG, England; [Pearce, David A.] Univ Ctr Svalbard UNIS, POB 156, N-9171 Svalbard, Logyearbye, Norway; [Schlitt, Thomas] Novartis Inst Biomed Res, Biomarker Dev, Fabrikstr 10, CH-4002 Basel, Switzerland</t>
  </si>
  <si>
    <t>Northumbria University; UK Research &amp; Innovation (UKRI); Natural Environment Research Council (NERC); NERC British Antarctic Survey; University Centre Svalbard (UNIS); Novartis</t>
  </si>
  <si>
    <t>Pearce, DA (corresponding author), Northumbria Univ, Fac Life Sci, Dept Appl Sci, Ellison Bldg, Newcastle Upon Tyne NE1 8ST, Tyne &amp; Wear, England.;Pearce, DA (corresponding author), British Antarctic Survey, Nat Environm Res Council, Madingley Rd, Cambridge CB3 OET, England.;Pearce, DA (corresponding author), Univ Ctr Svalbard UNIS, POB 156, N-9171 Svalbard, Logyearbye, Norway.</t>
  </si>
  <si>
    <t>iain.dickinson@northumbria.ac.uk; wgco@bas.ac.uk; mior@bas.ac.uk; thomas.schlitt@novartis.com; mlavilaj@gmail.com; david.pearce@northumbria.ac.uk</t>
  </si>
  <si>
    <t>Goodall-Copestake, William/CAF-6866-2022; Goodall-Copestake, William P/C-1061-2011; Schlitt, Thomas/GWQ-8928-2022</t>
  </si>
  <si>
    <t>Schlitt, Thomas/0000-0002-0508-3971; Avila, Maria/0000-0003-2123-2698; Pearce, David/0000-0001-5292-4596; Goodall-Copestake, Will/0000-0003-3586-9091; Thorne, Michael/0000-0001-7759-612X</t>
  </si>
  <si>
    <t>Natural Environment Research Council through the British Antarctic Survey's Long Term Monitoring and Survey Programme; NERC [bas0100036, bas0100035] Funding Source: UKRI; Natural Environment Research Council [bas0100036, bas0100035] Funding Source: researchfish</t>
  </si>
  <si>
    <t>Natural Environment Research Council through the British Antarctic Survey's Long Term Monitoring and Survey Programme(UK Research &amp; Innovation (UKRI)Natural Environment Research Council (NERC)); NERC(UK Research &amp; Innovation (UKRI)Natural Environment Research Council (NERC)); Natural Environment Research Council(UK Research &amp; Innovation (UKRI)Natural Environment Research Council (NERC))</t>
  </si>
  <si>
    <t>Funding was provided by the Natural Environment Research Council through the British Antarctic Survey's Long Term Monitoring and Survey Programme. We would also like to thank the Master and crew of the RRS James Clark Ross for their help and support during the field sampling.</t>
  </si>
  <si>
    <t>2076-2607</t>
  </si>
  <si>
    <t>Microorganisms</t>
  </si>
  <si>
    <t>10.3390/microorganisms4010008</t>
  </si>
  <si>
    <t>VF7ZQ</t>
  </si>
  <si>
    <t>Green Submitted, Green Published, Green Accepted, gold</t>
  </si>
  <si>
    <t>WOS:000443610300008</t>
  </si>
  <si>
    <t>Roterman, CN; Copley, JT; Linse, KT; Tyler, PA; Rogers, AD</t>
  </si>
  <si>
    <t>Roterman, C. N.; Copley, J. T.; Linse, K. T.; Tyler, P. A.; Rogers, A. D.</t>
  </si>
  <si>
    <t>Connectivity in the cold: the comparative population genetics of vent-endemic fauna in the Scotia Sea, Southern Ocean</t>
  </si>
  <si>
    <t>MOLECULAR ECOLOGY</t>
  </si>
  <si>
    <t>connectivity; Gigantopelta; hydrothermal vents; Kiwa; Lepetodrilus; Southern Ocean</t>
  </si>
  <si>
    <t>EAST PACIFIC RISE; PELAGIC LARVAL DURATION; HYDROTHERMAL-VENT; BENTHIC INVERTEBRATES; DEEP; DIVERSITY; SELECTION; PATTERNS; HISTORY; PHYLOGEOGRAPHY</t>
  </si>
  <si>
    <t>We report the first comparative population genetics study for vent fauna in the Southern Ocean using cytochrome C oxidase I and microsatellite markers. Three species are examined: the kiwaid squat lobster, Kiwa tyleri, the peltospirid gastropod, Gigantopelta chessoia, and a lepetodrilid limpet, Lepetodrilus sp., collected from vent fields 440km apart on the East Scotia Ridge (ESR) and from the Kemp Caldera on the South Sandwich Island Arc, similar to 95km eastwards. We report no differentiation for all species across the ESR, consistent with panmixia or recent range expansions. A lack of differentiation is notable for Kiwa tyleri, which exhibits extremely abbreviated lecithotrophic larval development, suggestive of a very limited dispersal range. Larval lifespans may, however, be extended by low temperature-induced metabolic rate reduction in the Southern Ocean, muting the impact of dispersal strategy on patterns of population structure. COI diversity patterns suggest all species experienced demographic bottlenecks or selective sweeps in the past million years and possibly at different times. ESR and Kemp limpets are divergent, although with evidence of very recent ESR-Kemp immigration. Their divergence, possibility indicative of incipient speciation, along with the absence of the other two species at Kemp, may be the consequence of differing dispersal capabilities across a similar to 1000m depth range and/or different selective regimes between the two areas. Estimates of historic and recent limpet gene flow between the ESR and Kemp are consistent with predominantly easterly currents and potentially therefore, cross-axis currents on the ESR, with biogeographic implications for the region.</t>
  </si>
  <si>
    <t>[Roterman, C. N.; Rogers, A. D.] Univ Oxford, Dept Zool, S Parks Rd, Oxford OX1 3PS, England; [Copley, J. T.; Tyler, P. A.] Univ Southampton, Ocean &amp; Earth Sci, Waterfront Campus, Southampton SO14 3ZH, Hants, England; [Linse, K. T.] British Antarctic Survey, High Cross,Madingley Rd, Cambridge CB3 0ET, England</t>
  </si>
  <si>
    <t>University of Oxford; University of Southampton; UK Research &amp; Innovation (UKRI); Natural Environment Research Council (NERC); NERC British Antarctic Survey</t>
  </si>
  <si>
    <t>Roterman, CN (corresponding author), Univ Oxford, Dept Zool, S Parks Rd, Oxford OX1 3PS, England.</t>
  </si>
  <si>
    <t>christopher.roterman@zoo.ox.ac.uk</t>
  </si>
  <si>
    <t>Roterman, Christopher Nicolai/AAX-4395-2021; Copley, Jon/I-7076-2012</t>
  </si>
  <si>
    <t>Roterman, Christopher Nicolai/0000-0002-6636-6078; Copley, Jon/0000-0003-3333-4325; Linse, Katrin/0000-0003-3477-3047; Rogers, Alex David/0000-0002-4864-2980</t>
  </si>
  <si>
    <t>NERC Consortium Grant [NE/DO1249X/1]; NERC Grant [NE/F005504/]; NERC PhD studentship [NE/D01429X/1]; Natural Environment Research Council [NE/D010470/2, bas0100036] Funding Source: researchfish; NERC [bas0100036, NE/D010470/2] Funding Source: UKRI</t>
  </si>
  <si>
    <t>NERC Consortium Grant; NERC Grant(UK Research &amp; Innovation (UKRI)Natural Environment Research Council (NERC)); NERC PhD studentship(UK Research &amp; Innovation (UKRI)Natural Environment Research Council (NERC)); Natural Environment Research Council(UK Research &amp; Innovation (UKRI)Natural Environment Research Council (NERC)); NERC(UK Research &amp; Innovation (UKRI)Natural Environment Research Council (NERC))</t>
  </si>
  <si>
    <t>Thanks goes to the JC042 expedition crews of RRS James Cook and ROV ISIS for collecting specimens from vents in the most challenging conditions and to Dr Michelle Taylor and Dr Tom Hart for their invaluable advice. Fieldwork and analyses were funded by NERC Consortium Grant NE/DO1249X/1, NERC Grant NE/F005504/1 and NERC PhD studentship NE/D01429X/1(CNR, JTC, KL, PAT, ADR).</t>
  </si>
  <si>
    <t>0962-1083</t>
  </si>
  <si>
    <t>1365-294X</t>
  </si>
  <si>
    <t>MOL ECOL</t>
  </si>
  <si>
    <t>Mol. Ecol.</t>
  </si>
  <si>
    <t>10.1111/mec.13541</t>
  </si>
  <si>
    <t>DF5ZN</t>
  </si>
  <si>
    <t>WOS:000371433400005</t>
  </si>
  <si>
    <t>Lu, ZL; Hoogakker, BAA; Hillenbrand, CD; Zhou, XL; Thomas, E; Gutchess, KM; Lu, WY; Jones, L; Rickaby, REM</t>
  </si>
  <si>
    <t>Lu, Zunli; Hoogakker, Babette A. A.; Hillenbrand, Claus-Dieter; Zhou, Xiaoli; Thomas, Ellen; Gutchess, Kristina M.; Lu, Wanyi; Jones, Luke; Rickaby, Rosalind E. M.</t>
  </si>
  <si>
    <t>Oxygen depletion recorded in upper waters of the glacial Southern Ocean</t>
  </si>
  <si>
    <t>CIRCUMPOLAR DEEP-WATER; ATMOSPHERIC CO2; DISSOLVED IODINE; ATLANTIC SECTOR; ARABIAN SEA; ICE; PACIFIC; IODATE; PRODUCTIVITY; FORAMINIFERA</t>
  </si>
  <si>
    <t>Oxygen depletion in the upper ocean is commonly associated with poor ventilation and storage of respired carbon, potentially linked to atmospheric CO2 levels. Iodine to calcium ratios (I/Ca) in recent planktonic foraminifera suggest that values less than similar to 2.5 mu mol mol(-1) indicate the presence of O-2-depleted water. Here we apply this proxy to estimate past dissolved oxygen concentrations in the near surface waters of the currently well-oxygenated Southern Ocean, which played a critical role in carbon sequestration during glacial times. A down-core planktonic I/Ca record from south of the Antarctic Polar Front (APF) suggests that minimum O-2 concentrations in the upper ocean fell below 70 mu mol kg(-1) during the last two glacial periods, indicating persistent glacial O-2 depletion at the heart of the carbon engine of the Earth's climate system. These new estimates of past ocean oxygenation variability may assist in resolving mechanisms responsible for the much-debated ice-age atmospheric CO2 decline.</t>
  </si>
  <si>
    <t>[Lu, Zunli; Zhou, Xiaoli; Gutchess, Kristina M.; Lu, Wanyi] Syracuse Univ, Dept Earth Sci, Syracuse, NY 13244 USA; [Hoogakker, Babette A. A.; Jones, Luke; Rickaby, Rosalind E. M.] Univ Oxford, Dept Earth Sci, Oxford OX1 3AN, England; [Hillenbrand, Claus-Dieter] British Antarctic Survey, Cambridge CB3 0ET, England; [Thomas, Ellen] Yale Univ, Dept Geol &amp; Geophys, New Haven, CT USA</t>
  </si>
  <si>
    <t>Syracuse University; University of Oxford; UK Research &amp; Innovation (UKRI); Natural Environment Research Council (NERC); NERC British Antarctic Survey; Yale University</t>
  </si>
  <si>
    <t>Lu, ZL (corresponding author), Syracuse Univ, Dept Earth Sci, Syracuse, NY 13244 USA.;Rickaby, REM (corresponding author), Univ Oxford, Dept Earth Sci, Oxford OX1 3AN, England.</t>
  </si>
  <si>
    <t>zunlilu@syr.edu; rosr@earth.ox.ac.uk</t>
  </si>
  <si>
    <t>Lu, Wanyi/AFS-2639-2022; Thomas, Ellen/JVO-1734-2024; Jones, Luke/GWQ-5302-2022</t>
  </si>
  <si>
    <t>Thomas, Ellen/0000-0002-7141-9904; Hoogakker, Babette/0000-0002-8171-9679; Rickaby, Rosalind/0000-0002-6095-8419</t>
  </si>
  <si>
    <t>NSF OCE [1232620]; Natural Environment Research Council (NERC) [NE/I020563/1]; NERC [NE/E018432/1]; US National Science Foundation; NERC [bas0100030, NE/E018432/1, NE/I020563/1] Funding Source: UKRI; Natural Environment Research Council [NE/I020563/1, NE/E018432/1, bas0100030] Funding Source: researchfish; Division Of Ocean Sciences; Directorate For Geosciences [1232620, 1232413] Funding Source: National Science Foundation</t>
  </si>
  <si>
    <t>NSF OCE(National Science Foundation (NSF)); Natural Environment Research Council (NERC)(UK Research &amp; Innovation (UKRI)Natural Environment Research Council (NERC)); NERC(UK Research &amp; Innovation (UKRI)Natural Environment Research Council (NERC)); US National Science Foundation(National Science Foundation (NSF)); NERC(UK Research &amp; Innovation (UKRI)Natural Environment Research Council (NERC)); Natural Environment Research Council(UK Research &amp; Innovation (UKRI)Natural Environment Research Council (NERC)); Division Of Ocean Sciences; Directorate For Geosciences(National Science Foundation (NSF)NSF - Directorate for Geosciences (GEO))</t>
  </si>
  <si>
    <t>Z.L. thanks NSF OCE 1232620. B.A.A.H. is supported by Natural Environment Research Council (NERC) grant NE/I020563/1. C.-D.H. is supported by NERC. Z.L. and R.E.M.R. were supported by NERC NE/E018432/1 during the initial development of the I/Ca proxy. We thank the captains, officers, crews and shipboard scientists of expeditions JR179 and ANT-XI/3 for recovering cores TC493 and PS2547, Professor David Hodell and Professor Andreas Mackensen for analysing stable isotopes on these cores, and Dr Hannes Grobe for providing samples from core PS2547. We acknowledge Professor Nick McCave for providing some of the core top materials and Mr Thomas Williams provided assistance for Fig. 1. This research used samples provided by the Ocean Drilling Program (ODP). ODP is sponsored by the US National Science Foundation and participating countries under management of the Joint Oceanographic Institutions (JOI). This manuscript greatly benefited from comments by Dr Nicolaas Glock and two anonymous reviewers.</t>
  </si>
  <si>
    <t>10.1038/ncomms11146</t>
  </si>
  <si>
    <t>DI1YS</t>
  </si>
  <si>
    <t>WOS:000373293500001</t>
  </si>
  <si>
    <t>Dunstan, PK; Bax, NJ; Dambacher, JM; Hayes, KR; Hedge, PT; Smith, DC; Smith, ADM</t>
  </si>
  <si>
    <t>Dunstan, Piers K.; Bax, Nicholas J.; Dambacher, Jeffrey M.; Hayes, Keith R.; Hedge, Paul T.; Smith, David C.; Smith, Anthony D. M.</t>
  </si>
  <si>
    <t>Using ecologically or biologically significant marine areas (EBSAs) to implement marine spatial planning</t>
  </si>
  <si>
    <t>Ecologically or biologically significant area; Ecosystem based management; Marine spatial planning</t>
  </si>
  <si>
    <t>ECOSYSTEM-BASED MANAGEMENT; LORD HOWE RISE; HARVEST STRATEGIES; INDICATORS; CONVERGENCE; ASSEMBLAGES; SEAMOUNTS; VARIABLES; LESSONS; SUPPORT</t>
  </si>
  <si>
    <t>The Convention on Biological Diversity (CBD) agreed in 2008 on the need to identify Ecologically or Biologically Significant Marine Areas (EBSAs) in the world's oceans to focus future conservation and management efforts. From 2010 to 2014, 9 workshops had described 204 areas meeting the EBSA criteria in approximately 68% of the world's oceans. The workshops comprised experts nominated by more than 100 governments and a similar number of regional and global non government and intergovernmental organizations, supported by a technical team that collated data and provided mapping expertise. Despite this progress, there is uncertainty about how to use EBSA in Marine Spatial Planning (MSP). We review a suite of the existing MSP, Ecosystem Based Management, fisheries and conservation frameworks to determine their common elements and suggest how they can be synthesized. We propose an adaptive hierarchical approach that takes key elements from existing frameworks and show how EBSA can be used to support this approach within national jurisdictions and in areas beyond national jurisdiction. The adaptive hierarchical process encourages early implementation of MSP/EBM using available scientific knowledge and governance and supports the gradual progress to more complex and information rich structures as needed and appropriate. The EBSA process provides a sound basis for developing the scientific advice to support national and international management of the world's oceans by identifying marine systems and the criteria for which they are valued by regional experts. Crown Copyright (C) 2015 Published by Elsevier Ltd.</t>
  </si>
  <si>
    <t>[Dunstan, Piers K.; Bax, Nicholas J.; Smith, David C.; Smith, Anthony D. M.] CSIRO Oceans &amp; Atmosphere, GPO Box 1538, Hobart, Tas, Australia; [Bax, Nicholas J.; Hedge, Paul T.] Univ Tasmania, Inst Marine &amp; Antarctic Studies, Private Bag 129, Hobart, Tas 7001, Australia; [Smith, David C.; Smith, Anthony D. M.] Univ Tasmania, Ctr Marine Socioecol, 20 Castray Esplanade, Battery Point, Tas 7004, Australia; [Dambacher, Jeffrey M.; Hayes, Keith R.] CSIRO Digital Prod, GPO Box 1538, Hobart, Tas, Australia</t>
  </si>
  <si>
    <t>Commonwealth Scientific &amp; Industrial Research Organisation (CSIRO); University of Tasmania; University of Tasmania; Commonwealth Scientific &amp; Industrial Research Organisation (CSIRO)</t>
  </si>
  <si>
    <t>Dunstan, PK (corresponding author), CSIRO Oceans &amp; Atmosphere Flagship, GPO Box 1538, Hobart, Tas, Australia.</t>
  </si>
  <si>
    <t>Piers.Dunstan@csiro.au</t>
  </si>
  <si>
    <t>Smith, David/GQQ-8257-2022; Hayes, Keith/A-4550-2009; Dunstan, Piers/B-7309-2016; Bax, Nicholas/A-2321-2012</t>
  </si>
  <si>
    <t>Hedge, Paul/0000-0002-2040-9618; Hayes, Keith/0000-0003-4094-3575; Dunstan, Piers/0000-0002-2568-5945; Bax, Nicholas/0000-0002-9697-4963</t>
  </si>
  <si>
    <t>10.1016/j.ocecoaman.2015.11.021</t>
  </si>
  <si>
    <t>DD7JQ</t>
  </si>
  <si>
    <t>WOS:000370100900010</t>
  </si>
  <si>
    <t>Eggleston, S; Schmitt, J; Bereiter, B; Schneider, R; Fischer, H</t>
  </si>
  <si>
    <t>Eggleston, S.; Schmitt, J.; Bereiter, B.; Schneider, R.; Fischer, H.</t>
  </si>
  <si>
    <t>Evolution of the stable carbon isotope composition of atmospheric CO2 over the last glacial cycle</t>
  </si>
  <si>
    <t>ice core; carbon cycling; carbon isotopes; glacial; interglacial cycle</t>
  </si>
  <si>
    <t>SUB-ANTARCTIC OCEAN; DEEP SOUTHERN-OCEAN; ICE-CORE; SEA-ICE; CLIMATE-CHANGE; NORTH-ATLANTIC; CHRONOLOGY AICC2012; IRON FERTILIZATION; MINERAL DUST; DOME-C</t>
  </si>
  <si>
    <t>We present new C-13 measurements of atmospheric CO2 covering the last glacial/interglacial cycle, complementing previous records covering Terminations I and II. Most prominent in the new record is a significant depletion in C-13(atm) of 0.5 occurring during marine isotope stage (MIS) 4, followed by an enrichment of the same magnitude at the beginning of MIS 3. Such a significant excursion in the record is otherwise only observed at glacial terminations, suggesting that similar processes were at play, such as changing sea surface temperatures, changes in marine biological export in the Southern Ocean (SO) due to variations in aeolian iron fluxes, changes in the Atlantic meridional overturning circulation, upwelling of deep water in the SO, and long-term trends in terrestrial carbon storage. Based on previous modeling studies, we propose constraints on some of these processes during specific time intervals. The decrease in C-13(atm) at the end of MIS 4 starting approximately 64kyrB.P. was accompanied by increasing [CO2]. This period is also marked by a decrease in aeolian iron flux to the SO, followed by an increase in SO upwelling during Heinrich event 6, indicating that it is likely that a large amount of C-13-depleted carbon was transferred to the deep oceans previously, i.e., at the onset of MIS 4. Apart from the upwelling event at the end of MIS 4 (and potentially smaller events during Heinrich events in MIS 3), upwelling of deep water in the SO remained reduced until the last glacial termination, whereupon a second pulse of isotopically light carbon was released into the atmosphere.</t>
  </si>
  <si>
    <t>[Eggleston, S.; Schmitt, J.; Bereiter, B.; Schneider, R.; Fischer, H.] Univ Bern, Inst Phys, Climate &amp; Environm Phys, Bern, Switzerland; [Eggleston, S.; Schmitt, J.; Bereiter, B.; Schneider, R.; Fischer, H.] Univ Bern, Oeschger Ctr Climate Change Res, Bern, Switzerland</t>
  </si>
  <si>
    <t>University of Bern; University of Bern</t>
  </si>
  <si>
    <t>Eggleston, S (corresponding author), Univ Bern, Inst Phys, Climate &amp; Environm Phys, Bern, Switzerland.;Eggleston, S (corresponding author), Univ Bern, Oeschger Ctr Climate Change Res, Bern, Switzerland.</t>
  </si>
  <si>
    <t>eggleston@climate.unibe.ch</t>
  </si>
  <si>
    <t>Schmitt, Jochen/B-7893-2009; Fischer, Hubertus/A-1211-2014</t>
  </si>
  <si>
    <t>Schmitt, Jochen/0000-0003-4695-3029; Fischer, Hubertus/0000-0002-2787-4221</t>
  </si>
  <si>
    <t>The data of this study are available electronically at the PANGAEA. Data Publisher for Earth and Environmental Science (URL: http://www.pangaea.de). The authors would like to thank Gregory Teste and Jerome Chappellaz for their generous donation of time and ice samples from the EDML ice core as well as Peter Kohler for the BICYCLE model results presented here. We are additionally indebted to Daniel Baggenstos, Thomas Bauska, Ed Brook, Juerg Schaefer, Todd Sowers, and Eric Galbraith for their fruitful discussion. Financial support for this work was provided by the Swiss National Science Foundation. This is EPICA publication no. 304 and TALDICE publication no. 43.</t>
  </si>
  <si>
    <t>10.1002/2015PA002874</t>
  </si>
  <si>
    <t>WOS:000374344000006</t>
  </si>
  <si>
    <t>Chen, S; McElroy, JS; Dane, F; Goertzen, LR</t>
  </si>
  <si>
    <t>Chen, Shu; McElroy, J. Scott; Dane, Fenny; Goertzen, Leslie R.</t>
  </si>
  <si>
    <t>Transcriptome Assembly and Comparison of an Allotetraploid Weed Species, Annual Bluegrass, with its Two Diploid Progenitor Species, Poa supina Schrad and Poa infirma Kunth</t>
  </si>
  <si>
    <t>PLANT GENOME</t>
  </si>
  <si>
    <t>MULTIPLE SEQUENCE ALIGNMENT; ALS-INHIBITING HERBICIDES; EVOLUTIONARY ORIGIN; RESISTANCE; MUSCLE; GENES</t>
  </si>
  <si>
    <t>Annual bluegrass (Poa annua L.) is one of the most widespread weed species in this world. As a young allotetraploid, P. annua has occupied diverse environments from Antarctic area to subtropical regions. To unveil the evolutionary mystery behind P. annua's wide distribution, extensive adaptability and phenotypic plasticity needs collaboration from multiple research scopes from ecology and plant physiology to population genetics and molecular biology. However, the lack of omic data and reference has greatly hampered the study. This is the first comprehensive transcriptome study on Poa species. Total RNA was extracted from P. annua and its two proposed diploid parents, P. supina Schrad and P. infirma Kunth, and sequenced in Illumina Hiseq2000. Optimized, nonredundant transcriptome references were generated for each species using four de novo assemblers (Trinity, Velvet, SOAPdenovo, and CLC Genomics Workbench) and a redundancy-reducing pipeline (CD-HIT-EST and EvidentialGene tr2aacds). Using the constructed transcriptomes together with sequencing reads, we found high similarity in nucleotide sequences and homeologous polymorphisms between P. annua and the two proposed parents. Comparison of chloroplast and mitochondrion genes further confirmed P. infirma as the maternal parent. Less nucleotide percentage differences were observed between P. infirma and infirma homeologs than between P. supina and supina homeologs, indicating a higher nucleotide substitution rates in supina homeologs than in infirma homeologs. Gene ontology (GO) enrichment analysis suggested the more compatible cytoplasmic environment and cellular apparatus for infirma homeologs as the major cause for this phenomenon.</t>
  </si>
  <si>
    <t>[Chen, Shu] South China Agr Univ, Coll Forestry &amp; Landscape Architecture, Dept Grassland Sci, Guangzhou, Guangdong, Peoples R China; [Chen, Shu; McElroy, J. Scott] Auburn Univ, Dept Crop Soil &amp; Environm Sci, Auburn, AL 36849 USA; [Dane, Fenny] Auburn Univ, Dept Hort, Auburn, AL 36849 USA; [Goertzen, Leslie R.] Auburn Univ, Dept Biol Sci, Auburn, AL 36849 USA</t>
  </si>
  <si>
    <t>South China Agricultural University; Auburn University System; Auburn University; Auburn University System; Auburn University; Auburn University System; Auburn University</t>
  </si>
  <si>
    <t>McElroy, JS (corresponding author), Auburn Univ, Dept Crop Soil &amp; Environm Sci, Auburn, AL 36849 USA.</t>
  </si>
  <si>
    <t>jsm0010@auburn.edu</t>
  </si>
  <si>
    <t>CROP SCIENCE SOC AMER</t>
  </si>
  <si>
    <t>MADISON</t>
  </si>
  <si>
    <t>677 S SEGOE ROAD, MADISON, WI 53711 USA</t>
  </si>
  <si>
    <t>1940-3372</t>
  </si>
  <si>
    <t>PLANT GENOME-US</t>
  </si>
  <si>
    <t>Plant Genome</t>
  </si>
  <si>
    <t>10.3835/plantgenome2015.06.0050</t>
  </si>
  <si>
    <t>Plant Sciences; Genetics &amp; Heredity</t>
  </si>
  <si>
    <t>DO9ZM</t>
  </si>
  <si>
    <t>WOS:000378146900009</t>
  </si>
  <si>
    <t>Riginella, E; Mazzoldi, C; Ashford, J; Jones, CD; Morgan, C; La Mesa, M</t>
  </si>
  <si>
    <t>Riginella, Emilio; Mazzoldi, Carlotta; Ashford, Julian; Jones, Christopher D.; Morgan, Christina; La Mesa, Mario</t>
  </si>
  <si>
    <t>Life history strategies of the Scotia Sea icefish, Chaenocephalus aceratus, along the Southern Scotia Ridge</t>
  </si>
  <si>
    <t>Reproduction; Age structure; Chaenocephalus aceratus; Channichthyidae; Connectivity; Source-sink populations</t>
  </si>
  <si>
    <t>TERRA-NOVA BAY; FISH STOCKS; ANTARCTIC PENINSULA; OVARIAN DEVELOPMENT; ROSS SEA; SHETLAND; AGE; ELEPHANT; GROWTH; SPERMATOGENESIS</t>
  </si>
  <si>
    <t>Reproductive capacity can influence distribution and abundance over large spatial scales through larval dispersal, even when adult stages remain isolated following settlement. We examined size distribution, reproductive traits and age structure in Scotia Sea icefish, Chaenocephalus aceratus, an abundant benthic species with a long larval pelagic phase found on continental shelves along the Southern Scotia Ridge. In particular, we compared life history strategies between fish caught during surveys undertaken off the South Orkney Islands (SOI) and South Shetland Islands (SSI). Results corroborated regional separation after settlement and suggested distinct life history strategies, in which fish from SOI invested much less in reproduction, and somewhat more in somatic growth earlier in their life history. Compared to SSI, body weight increased faster with length and absolute fecundity was 46 % lower and increased more slowly with size for SOI population. In addition, the proportion of spawning cohorts and L (a) was lower and k higher for SOI. The differences appeared to be a phenotypic response to environmental conditions related to regional hydrography. Lower reproductive capacity around the SOI, and strong eastward flow in the large-scale circulation, suggests that the SSI may be more important in influencing distributions and abundance of icefish along the Southern Scotia Ridge.</t>
  </si>
  <si>
    <t>[Riginella, Emilio; Mazzoldi, Carlotta] Univ Padua, Dept Biol, Padua, Italy; [Riginella, Emilio; La Mesa, Mario] UOS Ancona, CNR, Inst Marine Sci, Ancona, Italy; [Ashford, Julian; Morgan, Christina] Old Dominion Univ, Ctr Quantitat Fisheries Ecol, Norfolk, VA USA; [Jones, Christopher D.] Natl Marine Fisheries Serv, Natl Ocean &amp; Atmospher Adm, Southwest Fisheries Sci Ctr, La Jolla, CA 92038 USA</t>
  </si>
  <si>
    <t>University of Padua; Consiglio Nazionale delle Ricerche (CNR); Istituto di Scienze Marine (ISMAR-CNR); Old Dominion University; National Oceanic Atmospheric Admin (NOAA) - USA</t>
  </si>
  <si>
    <t>La Mesa, M (corresponding author), UOS Ancona, CNR, Inst Marine Sci, Ancona, Italy.</t>
  </si>
  <si>
    <t>m.lamesa@ismar.cnr.it</t>
  </si>
  <si>
    <t>Morgan, Christina/HPD-5293-2023; Riginella, Emilio/Q-2987-2019; Mazzoldi, Carlotta/AAU-8628-2020</t>
  </si>
  <si>
    <t>Riginella, Emilio/0000-0002-1442-8310; MAZZOLDI, CARLOTTA/0000-0002-2798-3030</t>
  </si>
  <si>
    <t>Italian National Program for Antarctic Research (PNRA); MIUR (Ministero dell'Istruzione, dell'Universita e della Ricerca); United States National Science Foundation [NSF-OPP-0338294]; NOAA Antarctic Marine Living Resources Program</t>
  </si>
  <si>
    <t>Italian National Program for Antarctic Research (PNRA); MIUR (Ministero dell'Istruzione, dell'Universita e della Ricerca)(Ministry of Education, Universities and Research (MIUR)); United States National Science Foundation(National Science Foundation (NSF)); NOAA Antarctic Marine Living Resources Program(National Oceanic Atmospheric Admin (NOAA) - USA)</t>
  </si>
  <si>
    <t>We thank the Alfred Wegener Institut fur Polar-und Meeresforschung that provided us the opportunity to collect samples during ANT-XXVIII/4 2012 Polarstern cruise. A special thank goes to C. Papetti for helping in the gonad and otolith collection of the Scotia Sea icefish. We thank all the scientific staff, crew members and personnel aboard the RV Polarstern, for their essential support in sampling activities. We thank the crew and scientific team aboard the Yuzhmorgeologiya. Finally, we are grateful to two anonymous referees and to Karl-Hermann Kock, whose suggestions greatly improved the early draft of the manuscript. This research was supported by the Italian National Program for Antarctic Research (PNRA) to MLM and MIUR (Ministero dell'Istruzione, dell'Universita e della Ricerca) to CM; by the United States National Science Foundation (NSF-OPP-0338294) and NOAA Antarctic Marine Living Resources Program to JRA.</t>
  </si>
  <si>
    <t>10.1007/s00300-015-1802-0</t>
  </si>
  <si>
    <t>WOS:000371640300007</t>
  </si>
  <si>
    <t>Bokhorst, S; Convey, P; Huiskes, A; Aerts, R</t>
  </si>
  <si>
    <t>Bokhorst, Stef; Convey, Peter; Huiskes, Ad; Aerts, Rien</t>
  </si>
  <si>
    <t>Usnea antarctica, an important Antarctic lichen, is vulnerable to aspects of regional environmental change</t>
  </si>
  <si>
    <t>CO2; Gas fluxes; Micro-arthropods; Snow; Usnea antarctica; Winter</t>
  </si>
  <si>
    <t>WATER RELATIONS; CLIMATE-CHANGE; GROWTH; PLANTS; SNOW; TEMPERATURE; POPULATION; BRYOPHYTE; LATITUDE; TUNDRA</t>
  </si>
  <si>
    <t>Studies of cryptogam responses to climate change in the polar regions are scarce because these slow-growing organisms require long-term monitoring studies. Here, we analyse the response of a lichen and moss community to 10 years of passive environmental manipulation using open-top chambers (OTCs) in the maritime Antarctic region. Cover of the dominant lichen Usnea antarctica declined by 71 % in the OTCs. However, less dominant lichen species showed no significant responses except for an increase in Ochrolechia frigida, which typically covered dying lichen and moss vegetation. There were no detectable responses in the moss or associated micro-arthropod communities to the influence of the OTCs. Based on calculated respiration rates, we hypothesise that the decline of U. antarctica was most likely caused by increased net winter respiration rates (11 %), driven by the higher temperatures and lower light levels experienced inside the OTCs as a result of greater snow accumulation. During summer, U. antarctica appears unable to compensate for this increased carbon loss, leading to a negative carbon balance on an annual basis, and the lichen therefore appears to be vulnerable to such climate change simulations. These findings indicate that U. antarctica dominated fell-fields may change dramatically if current environmental change trends continue in the maritime Antarctic, especially if associated with increases in winter snow depth or duration.</t>
  </si>
  <si>
    <t>[Bokhorst, Stef] Norwegian Inst Nat Res NINA, Dept Arctic Ecol, N-9296 Tromso, Norway; [Convey, Peter] British Antarctic Survey, Nat Environm Res Council, Madingley Rd, Cambridge CB3 0ET, England; [Huiskes, Ad] Royal Netherlands Inst Sea Res, Korringaweg 7,POB 140, NL-4400 AC Yerseke, Netherlands; [Bokhorst, Stef; Aerts, Rien] Vrije Univ Amsterdam, Inst Ecol Sci, Dept Syst Ecol, De Boelelaan 1085, NL-1081 HV Amsterdam, Netherlands</t>
  </si>
  <si>
    <t>Norwegian Institute Nature Research; UK Research &amp; Innovation (UKRI); Natural Environment Research Council (NERC); NERC British Antarctic Survey; Utrecht University; Royal Netherlands Institute for Sea Research (NIOZ); Vrije Universiteit Amsterdam</t>
  </si>
  <si>
    <t>Bokhorst, S (corresponding author), Norwegian Inst Nat Res NINA, Dept Arctic Ecol, N-9296 Tromso, Norway.;Bokhorst, S (corresponding author), Vrije Univ Amsterdam, Inst Ecol Sci, Dept Syst Ecol, De Boelelaan 1085, NL-1081 HV Amsterdam, Netherlands.</t>
  </si>
  <si>
    <t>Stefbokhorst@hotmail.com</t>
  </si>
  <si>
    <t>Bokhorst, Stef/D-1858-2009; Convey, Peter/AAV-5728-2020</t>
  </si>
  <si>
    <t>Convey, Peter/0000-0001-8497-9903; Aerts, Rien/0000-0001-6694-0669; Bokhorst, Stef/0000-0003-0184-1162</t>
  </si>
  <si>
    <t>Netherlands Polar Programme [NPP-NWO 851.20.016]; Antarctic Science Bursary; NERC; Natural Environment Research Council [bas0100036] Funding Source: researchfish; NERC [bas0100036] Funding Source: UKRI</t>
  </si>
  <si>
    <t>Netherlands Polar Programme; Antarctic Science Bursary; NERC(UK Research &amp; Innovation (UKRI)Natural Environment Research Council (NERC)); Natural Environment Research Council(UK Research &amp; Innovation (UKRI)Natural Environment Research Council (NERC)); NERC(UK Research &amp; Innovation (UKRI)Natural Environment Research Council (NERC))</t>
  </si>
  <si>
    <t>We are very grateful for the logistical support provided by the British Antarctic Survey. We thank Mark van de Wouw and Simon Hernimon for their help in establishing this experiment in the field. Special thanks to Roger Worland for managing the micro-climate logging system for many years in our absence. This study was initiated through financial support by the Netherlands Polar Programme (NPP-NWO 851.20.016), and SB was supported by an Antarctic Science Bursary for the 2013/2014 field season. PC is supported by NERC funding to the BAS core 'Biodiversity, Evolution and Adaptation programme'. This work also forms an output of the SCAR programme 'State of the Antarctic Ecosystem'.</t>
  </si>
  <si>
    <t>10.1007/s00300-015-1803-z</t>
  </si>
  <si>
    <t>WOS:000371640300008</t>
  </si>
  <si>
    <t>Negri, A; Daneri, GA; Ceia, F; Vieira, R; Cherel, Y; Coria, NR; Corbalán, A; Xavier, JC</t>
  </si>
  <si>
    <t>Negri, A.; Daneri, G. A.; Ceia, F.; Vieira, R.; Cherel, Y.; Coria, N. R.; Corbalan, A.; Xavier, J. C.</t>
  </si>
  <si>
    <t>The cephalopod prey of the Weddell seal, Leptonychotes weddellii, a biological sampler of the Antarctic marine ecosystem</t>
  </si>
  <si>
    <t>Antarctica; Leptonychotes weddellii; Diet; Cephalopods; Stable isotopes</t>
  </si>
  <si>
    <t>SOUTH SHETLAND ISLANDS; DIET; OCEAN; OCTOPODIDAE; LOCALITIES; PREDATORS; PENINSULA; BEHAVIOR; EASTERN; FOOD</t>
  </si>
  <si>
    <t>Weddell seals, Leptonychotes weddellii, are important apex predators in the food web of the Antarctic marine ecosystem. However, detailed information on their trophic relationships with cephalopods is scarce. Moreover, cephalopods play a key role in the marine environment, but knowledge of their feeding habits is limited by lack of data. Here, we have combined the use of this seal as a biological sampler together with measurements of the stable isotopic signature of the beaks of their cephalopod prey. Thus, the aims of the present study were: (1) to examine in detail the cephalopod portion of the diet of Weddell seals by means of scat analysis and (2) to assess the habitat use and trophic level of the different cephalopod prey taxa identified. From January to February 2009, a total of 48 faecal droppings were collected at Hope Bay, Antarctic Peninsula. Cephalopods were mainly represented by beaks (n = 83) which were identified to the lowest possible taxonomic level. Furthermore, subsamples of beaks were separated for further isotopic analysis. Relative abundance of stable isotopes of carbon (delta C-13) and nitrogen (delta N-15) was determined by continuous-flow isotope-ratio mass spectrometry. Cephalopods were represented uniquely by octopods of the subfamily Eledoninae. Pareledone turqueti was the dominant prey species followed by the papillated Pareledone species group and Adelieledone polymorpha. We conclude that Weddell seals preyed primarily on benthic prey resources. Furthermore, the relatively similar delta C-13 and delta N-15 values in beaks of the three octopod prey taxa suggest that these share the same type of habitat and occupy similar trophic level positions.</t>
  </si>
  <si>
    <t>[Negri, A.; Daneri, G. A.] Museo Arg Cs Nat B Rivadavia, Div Mastozool, Ave A Gallardo 470,C1405DJR, Buenos Aires, DF, Argentina; [Negri, A.; Coria, N. R.; Corbalan, A.] Inst Antartico Argentino, Dept Predadores Tope, Cerrito 1248,C1010AAZ, Buenos Aires, DF, Argentina; [Ceia, F.; Vieira, R.; Xavier, J. C.] Univ Coimbra, Inst Marine Res IMAR, Coimbra, Portugal; [Cherel, Y.] CNRS, Ctr Etud Biol Chize, UPR 1934, F-79360 Villiers En Bois, France; [Xavier, J. C.] British Antarctic Survey, NERC, Cambridge, England</t>
  </si>
  <si>
    <t>Instituto Antartico Argentino; Universidade de Coimbra; Centre National de la Recherche Scientifique (CNRS); UK Research &amp; Innovation (UKRI); Natural Environment Research Council (NERC); NERC British Antarctic Survey</t>
  </si>
  <si>
    <t>Negri, A (corresponding author), Museo Arg Cs Nat B Rivadavia, Div Mastozool, Ave A Gallardo 470,C1405DJR, Buenos Aires, DF, Argentina.;Negri, A (corresponding author), Inst Antartico Argentino, Dept Predadores Tope, Cerrito 1248,C1010AAZ, Buenos Aires, DF, Argentina.</t>
  </si>
  <si>
    <t>agunegri136@gmail.com; gdaneri@macn.gov.ar</t>
  </si>
  <si>
    <t>Xavier, José/KFB-6739-2024; Ceia, Filipe R./A-2196-2012; Negri, Alessandra/D-4085-2011; Vieira, Rui/R-6881-2019; Vieira, Rui Pedro/G-1738-2012</t>
  </si>
  <si>
    <t>Ceia, Filipe R./0000-0002-5470-5183; /0000-0002-9621-6660; Vieira, Rui Pedro/0000-0001-8491-2565</t>
  </si>
  <si>
    <t>Direccion Nacional del Antartico; Agencia Nacional de Promocion Cientifica y Tecnologica [36054]; Foundation for Science and Technology (Portugal); Portuguese Polar Program PROPOLAR; NERC [bas0100035] Funding Source: UKRI; Natural Environment Research Council [bas0100035] Funding Source: researchfish</t>
  </si>
  <si>
    <t>Direccion Nacional del Antartico; Agencia Nacional de Promocion Cientifica y Tecnologica(ANPCyTSpanish Government); Foundation for Science and Technology (Portugal)(Fundacao para a Ciencia e a Tecnologia (FCT)); Portuguese Polar Program PROPOLAR; NERC(UK Research &amp; Innovation (UKRI)Natural Environment Research Council (NERC)); Natural Environment Research Council(UK Research &amp; Innovation (UKRI)Natural Environment Research Council (NERC))</t>
  </si>
  <si>
    <t>This work received financial support from the Direccion Nacional del Antartico and the Agencia Nacional de Promocion Cientifica y Tecnologica (Grant: PICTO No. 36054). It was also partly funded by the Foundation for Science and Technology (Portugal) and within the Portuguese Polar Program PROPOLAR.</t>
  </si>
  <si>
    <t>10.1007/s00300-015-1794-9</t>
  </si>
  <si>
    <t>WOS:000371640300013</t>
  </si>
  <si>
    <t>Hoshina, Y; Fujita, K; Iizuka, Y; Motoyama, H</t>
  </si>
  <si>
    <t>Hoshina, Yu; Fujita, Koji; Iizuka, Yoshinori; Motoyama, Hideaki</t>
  </si>
  <si>
    <t>Inconsistent relationships between major ions and water stable isotopes in Antarctic snow under different accumulation environments</t>
  </si>
  <si>
    <t>Ice core; Water stable isotope; Major ion; Antarctica; Accumulation rate</t>
  </si>
  <si>
    <t>DRONNING MAUD LAND; SEA-ICE EXTENT; DOME FUJI; TEMPORAL VARIABILITY; WEST ANTARCTICA; EAST ANTARCTICA; FIRN CORES; RECORDS; PRECIPITATION; CLIMATE</t>
  </si>
  <si>
    <t>Major ions, stable oxygen isotopes (delta O-18), and accumulation rates are analyzed using high temporal resolution data from shallow ice cores and snow pits from East and West Antarctica. Seasonal cycles of major ions and delta O-18 are well preserved at sites with an accumulation rate threshold of &gt;100 kg m(-2) a(-1) and calm wind conditions. The seasonal cycle is unclear at sites with high wind speeds, even if the accumulation rate is greater than the threshold. To eliminate the influences of different source regions on major ion and delta O-18 signals in ice cores, we calculate correlation coefficients between annually averaged major ion concentrations and delta O-18, and then compare these with accumulation rates and other geographical variables such as latitude, elevation, and distance from the coast. We find that accumulation rates are highly correlated with elevation and the 10-m snow temperature, and that major ions and delta O-18 are negatively correlated at low accumulation sites in inland Antarctica. Negative correlations could reflect inconsistent accumulation due to a large inter-annual variability in the accumulation rate. The results show that the relationships between major ions and delta O-18 may not reflect climatic signatures, and could be a result of the unique characteristics of this arid environment. (C) 2015 Elsevier B.V. and NIPR. All rights reserved.</t>
  </si>
  <si>
    <t>[Hoshina, Yu; Fujita, Koji] Nagoya Univ, Grad Sch Environm Studies, Chikusa Ku, Nagoya, Aichi 4648601, Japan; [Hoshina, Yu] Natl Inst Environm Studies, Tsukuba, Ibaraki 3058506, Japan; [Iizuka, Yoshinori] Hokkaido Univ, Inst Low Temp Sci, Sapporo, Hokkaido 0600819, Japan; [Motoyama, Hideaki] Natl Inst Polar Res, 10-3 Midori Cho, Tachikawa, Tokyo 1908518, Japan; [Motoyama, Hideaki] SOKENDAI, Tokyo 1908518, Japan</t>
  </si>
  <si>
    <t>Nagoya University; National Institute for Environmental Studies - Japan; Hokkaido University; Research Organization of Information &amp; Systems (ROIS); National Institute of Polar Research (NIPR) - Japan; Graduate University for Advanced Studies - Japan</t>
  </si>
  <si>
    <t>Hoshina, Y (corresponding author), Natl Inst Environm Studies, Tsukuba, Ibaraki 3058506, Japan.</t>
  </si>
  <si>
    <t>hoshina.yu@nies.go.jp</t>
  </si>
  <si>
    <t>Fujita, Koji/E-6104-2010; Iizuka, Yoshinori/D-9112-2012</t>
  </si>
  <si>
    <t>Fujita, Koji/0000-0003-3753-4981; Iizuka, Yoshinori/0000-0001-7241-6062</t>
  </si>
  <si>
    <t>Grants-in-Aid for Scientific Research [26241020, 16H01772] Funding Source: KAKEN</t>
  </si>
  <si>
    <t>10.1016/j.polar.2015.12.003</t>
  </si>
  <si>
    <t>WOS:000371396900001</t>
  </si>
  <si>
    <t>Gogoi, MM; Babu, SS; Moorthy, KK; Thakur, RC; Chaubey, JP; Nair, VS</t>
  </si>
  <si>
    <t>Gogoi, Mukunda M.; Babu, S. Suresh; Moorthy, K. Krishna; Thakur, Roseline C.; Chaubey, Jai Prakash; Nair, Vijayakumar S.</t>
  </si>
  <si>
    <t>Aerosol black carbon over Svalbard regions of Arctic</t>
  </si>
  <si>
    <t>Arctic; Black carbon; Scavenging ratio; Biomass burning fraction</t>
  </si>
  <si>
    <t>ATTENUATION CROSS-SECTION; LIGHT-ABSORPTION; CLIMATE RESPONSE; AIR-POLLUTION; SNOW; SOOT; HAZE; TRANSPORT; CALIBRATION; INSTRUMENT</t>
  </si>
  <si>
    <t>In view of the climate impact of aerosol Black Carbon (BC) over snow covered regions (through enhanced absorption of radiation as well as snow-albedo forcing), and in view of the increasing anthropogenic presence and influence in the northern polar regions, continuous long term measurements of airborne BC have been undertaken from the Svalbard region of Norwegian Arctic (Ny-Alesund, 79 degrees N, 12 degrees E, 8 m a.s.l.). This study, employing data over a period of 4-years (2010-2013) have shown a consistent springtime enhancement in BC concentrations, having a (climatological) seasonal mean value of similar to 50.3 +/- 19.5 ng m(-3), nearly 3-times higher than the lowest BC concentrations in summer (similar to 19.5 +/- 6.5 ng m(-3)). Spectral variation of absorbance indicates that long-range transported biomass burning aerosols contribute as high as 25% to the high BC concentrations in the Arctic atmosphere in spring. Concurrent estimates of BC concentrations in the Arctic snow (for an ensemble of snow samples collected over a period of time during spring) showed values ranging from 0.6 ppb to 4.1 ppb. These values have been used to estimate the BC scavenging ratio (SR). Our studies revealed a mean value of SR similar to 98 +/- 46, which varied over wide range from 40 to 184 for individual samples. In a broader perspective, the seasonal variations of atmospheric BC concentrations at the Arctic are similar to those seen at the high altitude Himalayas; even though the concentrations are much lower at Arctic. It is found that synoptic conditions mainly influence the high altitude Himalayas, while the influences of local anthropogenic influences are not negligible at the Arctic in modulating the seasonal variations of absorbing aerosols. (C) 2015 Elsevier B.V. and NIPR. All rights reserved.</t>
  </si>
  <si>
    <t>[Gogoi, Mukunda M.; Babu, S. Suresh; Nair, Vijayakumar S.] Vikram Sarabhai Space Ctr, Space Phys Lab, Thiruvananthapuram 695022, Kerala, India; [Moorthy, K. Krishna] Indian Space Res Org Hq, Bengaluru 560231, India; [Thakur, Roseline C.] Natl Ctr Antarctic &amp; Ocean Res, Vasco Da Gama 403804, Goa, India; [Chaubey, Jai Prakash] Univ Sherbrooke, CARTEL, Sherbrooke, PQ J1K 2R1, Canada</t>
  </si>
  <si>
    <t>Department of Space (DoS), Government of India; Indian Space Research Organisation (ISRO); Vikram Sarabhai Space Center (VSSC); Department of Space (DoS), Government of India; Indian Space Research Organisation (ISRO); Ministry of Earth Sciences (MoES) - India; National Centre for Polar and Ocean Research (NCPOR); University of Sherbrooke</t>
  </si>
  <si>
    <t>Gogoi, MM (corresponding author), Vikram Sarabhai Space Ctr, Space Phys Lab, Thiruvananthapuram 695022, Kerala, India.</t>
  </si>
  <si>
    <t>dr_mukunda@vssc.gov.in</t>
  </si>
  <si>
    <t>Thakur, Roseline/AHC-1408-2022; MOORTHY, KRISHNA/AAG-6807-2019</t>
  </si>
  <si>
    <t>Thakur, Roseline/0000-0002-3238-4171; Moorthy, K. Krishna/0000-0002-7234-3868</t>
  </si>
  <si>
    <t>Indian Institute of Astrophysics (IIA), Bangalore</t>
  </si>
  <si>
    <t>This work was carried out as part of Indian Scientific Expeditions to the Arctic. We thank National Centre for Antarctic and Ocean Research (NCAOR), Goa for arranging the expeditions and helping us in infrastructure development at the Polar Region. Over the high altitude Himalayas, the observations were carried out as part of ARFI Project of ISRO-GBP, with support from the Indian Institute of Astrophysics (IIA), Bangalore.</t>
  </si>
  <si>
    <t>10.1016/j.polar.2015.11.001</t>
  </si>
  <si>
    <t>WOS:000371396900007</t>
  </si>
  <si>
    <t>Kobayashi, F; Maki, T; Kakikawa, M; Noda, T; Mitamura, H; Takahashi, A; Imura, S; Iwasaka, Y</t>
  </si>
  <si>
    <t>Kobayashi, Fumihisa; Maki, Teruya; Kakikawa, Makiko; Noda, Takuji; Mitamura, Hiromichi; Takahashi, Akinori; Imura, Satoshi; Iwasaka, Yasunobu</t>
  </si>
  <si>
    <t>Atmospheric bioaerosols originating from Adelie penguins (Pygoscelis adeliae): Ecological observations of airborne bacteria at Hukuro Cove, Langhovde, Antarctica</t>
  </si>
  <si>
    <t>Bioaerosol; Antarctica; Adelie penguin; Ecosystem; Bacilli</t>
  </si>
  <si>
    <t>PLANT-COMMUNITIES; ASIAN DUST; ECOSYSTEMS</t>
  </si>
  <si>
    <t>The relationship between atmospheric bioaerosols and ecosystems is currently of global importance. Antarctica has an extreme climate, meaning that ecosystem behavior in this region is relatively simple. Direct sampling of atmospheric bioaerosols was performed at an Adelie penguin (Pygoscelis adeliae) colony at Hukuro Cove, Langhovde, Antarctica on 22 January 2013. The aim of the sampling was to reveal the effect of the penguins on the Antarctic ecosystem within the atmospheric bioaerosols. Samples were bio-analyzed using a next-generation sequencing method. Biomass concentrations of Bacilli-class bacteria were 19.4 times higher when sampled leeward of the penguin colony compared with windward sampling. The source of these bacteria was the feces of the penguins. Predicted atmospheric trajectories indicate that the bacteria disperse towards the Southern Ocean. The largest biomass concentration in the windward bacteria was of the Gammaproteobacteria class, which decreased markedly with distance through the penguin colony, being deposited on soil, surface water, and ocean. It is concluded that bioaerosols and ecosystems near the penguin colony strongly influence each other. (C) 2015 Elsevier B.V. and NIPR. All rights reserved.</t>
  </si>
  <si>
    <t>[Kobayashi, Fumihisa; Maki, Teruya; Kakikawa, Makiko] Kanazawa Univ, Inst Sci &amp; Engn, Kakuma Machi, Kanazawa, Ishikawa 9201192, Japan; [Noda, Takuji; Mitamura, Hiromichi] Kyoto Univ, Grad Sch Informat, Sakyo Ku, Yoshida Honmachi, Kyoto 6068501, Japan; [Takahashi, Akinori; Imura, Satoshi] Natl Inst Polar Res, 10-3 Midori Cho, Tachikawa, Tokyo 1908518, Japan; [Takahashi, Akinori; Imura, Satoshi] SOKENDAI, 10-3 Midori Cho, Tachikawa, Tokyo 1908518, Japan; [Iwasaka, Yasunobu] Univ Shiga Prefecture, 2500 Hassaka Cho, Hikone, Shiga 5228533, Japan</t>
  </si>
  <si>
    <t>Kanazawa University; Kyoto University; Research Organization of Information &amp; Systems (ROIS); National Institute of Polar Research (NIPR) - Japan; University Shiga Prefecture</t>
  </si>
  <si>
    <t>Kobayashi, F (corresponding author), Kanazawa Univ, Inst Sci &amp; Engn, Kakuma Machi, Kanazawa, Ishikawa 9201192, Japan.</t>
  </si>
  <si>
    <t>fumihisa@se.kanazawa-u.ac.jp</t>
  </si>
  <si>
    <t>Noda, Takuji/W-1420-2019; Maki, Teruya/J-8424-2015</t>
  </si>
  <si>
    <t>Takahashi, Akinori/0000-0002-9868-0408; Kakikawa, Makiko/0000-0002-6900-8508</t>
  </si>
  <si>
    <t>Global Environment Research Fund of the Japanese Ministry of the Environment [B-0901, C-1155]; JSPS KAKENHI [23405003, 24403002, 26281005, 26304003, 15K12218]; Grants-in-Aid for Scientific Research [26304003, 26340049, 26281005, 15K12218, 16H02703, 23405003, 24403002] Funding Source: KAKEN</t>
  </si>
  <si>
    <t>Global Environment Research Fund of the Japanese Ministry of the Environment; JSPS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</si>
  <si>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The authors thank Mr. Yohei Kumamoto (Graduate School of Kanazawa University) for bioanalyses and Prof. Takeshi Naganuma (Hiroshima University) for helpful discussions and suggestions. We thank members of Japanese Antarctic Research Expedition 54 (JARE 54) for support during sampling. This research was supported by the Global Environment Research Fund (B-0901 and C-1155) of the Japanese Ministry of the Environment and by JSPS KAKENHI Grant Numbers 23405003, 24403002, 26281005, 26304003, and 15K12218. The authors thank FASMAC for undertaking the next-generation sequencing analyses. This study used the HYSPLIT transport and dispersion model, and the READY website (http://www.arl.noaa.gov/ready.html).</t>
  </si>
  <si>
    <t>10.1016/j.polar.2015.12.002</t>
  </si>
  <si>
    <t>WOS:000371396900008</t>
  </si>
  <si>
    <t>Brat, K; Sedlacek, I; Sevcikova, A; Merta, Z; Laska, K; Sevcik, P</t>
  </si>
  <si>
    <t>Brat, Kristian; Sedlacek, Ivo; Sevcikova, Alena; Merta, Zdenek; Laska, Kamil; Sevcik, Pavel</t>
  </si>
  <si>
    <t>Imported anthropogenic bacteria may survive the Antarctic winter and introduce new genes into local bacterial communities</t>
  </si>
  <si>
    <t>Antarctic; Mendel Station; antropophilic bacteria; biological invasions; spaceflight medicine</t>
  </si>
  <si>
    <t>KING GEORGE ISLAND; ANTIBIOTIC-RESISTANCE; ENTERIC BACTERIA; SP NOV.; CLOSTRIDIUM-PERFRINGENS; CAMPYLOBACTER-JEJUNI; FECAL-COLIFORMS; STATION; MICROORGANISMS; STAPHYLOCOCCUS</t>
  </si>
  <si>
    <t>We studied dynamic changes in anthropogenic bacterial communities at a summer-operated Czech research base (the Mendel Research Station) in the Antarctic during 2012 and 2013. We observed an increase in total numbers of detected bacteria between the beginning and the end of each stay in the Antarctic. In the first series of samples, bacteria of Bacillus sp. predominated. Surprisingly, high numbers of Gram-positive cocci and coliforms were found (including opportunistic human pathogens), although the conditions for bacterial life were unfavourable (Antarctic winter). In the second series of samples, coliforms and Gram-positive cocci predominated. Dangerous human pathogens were also detected. Yersinia enterocolitica was identified as serotype O:9. Antibiotic susceptibility testing showed medium-to-high resistance rates to ampicillin, cefalotin, cefuroxime, amoxicillin-clavulanate and gentamicin in Enterobacteriaceae. 16S rRNA sequencing showed high rates of accordance between nucleotide sequences among the tested strains. Three conclusions were drawn: (1) Number of anthropogenic bacteria were able to survive the harsh conditions of the Antarctic winter (inside and outside the polar station). Under certain circumstances (e.g. impaired immunity), the surviving bacteria might pose a health risk to the participants of future expeditions or to other visitors to the base. (2) The bacteria released into the outer environment might have impacts on local ecosystems. (3) New characteristics (e.g. resistance to antibiotics) may be introduced into local bacterial communities.</t>
  </si>
  <si>
    <t>[Brat, Kristian; Merta, Zdenek] Univ Hosp Brno, Dept Resp Dis, Jihlavska 20, Brno 62500, Czech Republic; [Brat, Kristian; Merta, Zdenek] Masaryk Univ, Fac Med, Jihlavska 20, Brno 62500, Czech Republic; [Sedlacek, Ivo] Masaryk Univ, Fac Sci, Dept Expt Biol, Czech Collect Microorganisms, Kotlarska 2, CS-61137 Brno, Czech Republic; [Sevcikova, Alena] Univ Hosp Brno, Dept Microbiol, Jihlavska 20, Brno 62500, Czech Republic; [Laska, Kamil] Masaryk Univ, Fac Sci, Dept Geog, Kotlarska 267-2, CS-61137 Brno, Czech Republic; [Sevcik, Pavel] Univ Hosp Ostrava, Dept Anaesthesiol &amp; Intens Care Med, 17 Listopadu 1790, Ostrava 70852, Czech Republic; [Sevcik, Pavel] Univ Ostrava, Fac Med, Syllabova 19, Ostrava 70300, Czech Republic</t>
  </si>
  <si>
    <t>University Hospital Brno; Masaryk University Brno; Masaryk University Brno; University Hospital Brno; Masaryk University Brno; University Hospital Ostrava; University of Ostrava</t>
  </si>
  <si>
    <t>Brat, K (corresponding author), Univ Hosp Brno, Dept Resp Dis, Jihlavska 20, Brno 62500, Czech Republic.;Brat, K (corresponding author), Masaryk Univ, Fac Med, Jihlavska 20, Brno 62500, Czech Republic.</t>
  </si>
  <si>
    <t>kristian.brat@seznam.cz</t>
  </si>
  <si>
    <t>Sevcik, Pavel/G-6052-2017; Brat, Kristian/ABE-8121-2020; Sedlacek, Ivo/IWU-8828-2023; Laska, Kamil/L-7875-2013</t>
  </si>
  <si>
    <t>Sevcik, Pavel/0000-0003-1635-7832; Laska, Kamil/0000-0002-5199-9737</t>
  </si>
  <si>
    <t>project CzechPolar [LM2010009]</t>
  </si>
  <si>
    <t>project CzechPolar</t>
  </si>
  <si>
    <t>The authors would like to thank the staff of Mendel Station for enabling us to conduct this research (project CzechPolar LM2010009). We are particularly grateful to Ondrej Zverina for his help with creating the map.</t>
  </si>
  <si>
    <t>POLSKA AKAD NAUK, POLISH ACAD SCIENCES</t>
  </si>
  <si>
    <t>PL DEFILAD 1, WARSZAWA, 00-901, POLAND</t>
  </si>
  <si>
    <t>10.1515/popore-2016-0001</t>
  </si>
  <si>
    <t>WOS:000372467800005</t>
  </si>
  <si>
    <t>Xiao, WS; Esper, O; Gersonde, R</t>
  </si>
  <si>
    <t>Xiao, Wenshen; Esper, Oliver; Gersonde, Rainer</t>
  </si>
  <si>
    <t>Last Glacial - Holocene climate variability in the Atlantic sector of the Southern Ocean</t>
  </si>
  <si>
    <t>Southern Ocean; Diatoms; Sea Surface Temperatures; Sea ice; Last Glacial Maximum; Termination I; Holocene</t>
  </si>
  <si>
    <t>ANTARCTIC SEA-ICE; CARBON-CYCLE CHANGES; DRONNING MAUD LAND; EPICA DOME-C; ATMOSPHERIC CO2; SCOTIA SEA; SURFACE TEMPERATURES; DIATOM DISTRIBUTION; IRON FERTILIZATION; HIGH-LATITUDE</t>
  </si>
  <si>
    <t>The Southern Ocean plays a major role in the glacial/interglacial global carbon cycle. However, there is a substantial lack of information from its Antarctic Zone south of the Polar Front (PF) to understand key climate processes (e.g., sea ice variability, productivity changes, CO2 source region, shifts of the Southern Westerly Wind) active in this region during the glacial/interglacial transition, due to the limited high resolution sediment records from this area. To close this gap, we investigated high resolution diatom records from a series of sediment cores from the Atlantic and Western Indian sectors of the Southern Ocean between the modern PF and the Winter Sea Ice (WSI) edge. Summer Sea Surface Temperature (SSST) and sea ice information spanning the past 30 thousand years were derived from diatom transfer functions and indicators, which augment comprehensive information on past surface ocean conditions and related ocean and atmospheric circulation, as well as opal deposition. These complementary lines of evidences also provide important environmental boundary conditions for climate simulations understanding the past climate development in the high latitudes Southern Ocean. Our reconstructions show that the Last Glacial (LG) SSST5 south of the modern PF are 1-3 degrees C colder than modern conditions, WSI expanded to the modern PF. Our data suggests effective carbon export in the Antarctic Zone during the LG. Deglacial two steps of warming support the bipolar seesaw mechanism. Antarctic Zone is an important source region for the CO2 deglacial increase. The warming was more suppressed towards south, due to continuous ice discharge from Antarctica. The SSSTs exceeded modern values during the early Holocene optimum, when WSI extent probably retreated south of its modern position. The southern boundary of maximum opal deposition zone may have shifted to south of 55 degrees S in the Bouvet Island area at this time. The mid-late Holocene cooling with WSI re-expanding to the Bouvet Island area, probably related to enhanced cold-water export by the Weddell Gyre from the developing cavity under the West Antarctic Ice Shelf. The cooling also suggests a northward shift of the Southern Westerly Wind, at least its southern boundary. (C) 2016 Elsevier Ltd. All rights reserved.</t>
  </si>
  <si>
    <t>[Xiao, Wenshen; Esper, Oliver; Gersonde, Rainer] Helmholtz Zentrum Polar &amp; Meeresforsch, Alfred Wegener Inst, D-27568 Bremerhaven, Germany; [Xiao, Wenshen] Tongji Univ, State Key Lab Marine Geol, Shanghai 200092, Peoples R China</t>
  </si>
  <si>
    <t>Helmholtz Association; Alfred Wegener Institute, Helmholtz Centre for Polar &amp; Marine Research; Tongji University</t>
  </si>
  <si>
    <t>Xiao, WS (corresponding author), Tongji Univ, State Key Lab Marine Geol, Shanghai 200092, Peoples R China.</t>
  </si>
  <si>
    <t>wxiao@tongji.edu.cn</t>
  </si>
  <si>
    <t>Alfred Wegener Institute PACES program (Polar Regions and Coasts in the Changing Earth System); MARUM (The Ocean in the Earth System); Past4Future Climate change - learning from the past climate</t>
  </si>
  <si>
    <t>This work was co-supported by the Past4Future Climate change - learning from the past climate, the Alfred Wegener Institute PACES program (Polar Regions and Coasts in the Changing Earth System), and MARUM (The Ocean in the Earth System). We acknowledge U. Bock and R. Cordelair for their technical assistance. We are grateful to G. Cortese and an anonymous reviewer for their constructive and detailed comments which helped to improve the paper.</t>
  </si>
  <si>
    <t>10.1016/j.quascirev.2016.01.023</t>
  </si>
  <si>
    <t>DG9AW</t>
  </si>
  <si>
    <t>WOS:000372376200009</t>
  </si>
  <si>
    <t>Hui, FM; Li, XQ; Zhao, TC; Shokr, M; Heil, P; Zhao, JC; Liu, Y; Liang, SL; Cheng, X</t>
  </si>
  <si>
    <t>Hui, Fengming; Li, Xinqing; Zhao, Tiancheng; Shokr, Mohammed; Heil, Petra; Zhao, Jiechen; Liu, Yan; Liang, Shunlin; Cheng, Xiao</t>
  </si>
  <si>
    <t>Semi-Automatic Mapping of Tidal Cracks in the Fast Ice Region near Zhongshan Station in East Antarctica Using Landsat-8 OLI Imagery</t>
  </si>
  <si>
    <t>Landsat-8 OLI; fast ice; remote sensing; tidal cracks</t>
  </si>
  <si>
    <t>EXTRACTION; PENGUINS; BEHAVIOR; LEADS; SEAS</t>
  </si>
  <si>
    <t>Tidal cracks are linear features that appear parallel to coastlines in fast ice regions due to the actions of periodic and non-periodic sea level oscillations. They can influence energy and heat exchange between the ocean, ice, and atmosphere, as well as human activities. In this paper, the LINE module of Geomatics 2015 software was used to automatically extract tidal cracks in fast ice regions near the Chinese Zhongshan Station in East Antarctica from Landsat-8 Operational Land Imager (OLI) data with resolutions of 15 m (panchromatic band 8) and 30 m (multispectral bands 1-7). The detected tidal cracks were determined based on matching between the output from the LINE module and manually-interpreted tidal cracks in OLI images. The ratio of the length of detected tidal cracks to the total length of interpreted cracks was used to evaluate the automated detection method. Results show that the vertical direction gradient is a better input to the LINE module than the top-of-atmosphere (TOA) reflectance input for estimating the presence of cracks, regardless of the examined resolution. Data with a resolution of 15 m also gives better results in crack detection than data with a resolution of 30 m. The statistics also show that, in the results from the 15-m-resolution data, the ratios in Band 8 performed best with values of the above-mentioned ratio of 50.92 and 31.38 percent using the vertical gradient and the TOA reflectance methods, respectively. On the other hand, in the results from the 30-m-resolution data, the ratios in Band 5 performed best with ratios of 47.43 and 17.8 percent using the same methods, respectively. This implies that Band 8 was better for tidal crack detection than the multispectral fusion data (Bands 1-7), and Band 5 with a resolution of 30 m was best among the multispectral data. The semi-automatic mapping of tidal cracks will improve the safety of vehicles travel in fast ice regimes.</t>
  </si>
  <si>
    <t>[Hui, Fengming; Li, Xinqing; Zhao, Tiancheng; Liu, Yan; Cheng, Xiao] Beijing Normal Univ, State Key Lab Remote Sensing Sci, Beijing 100875, Peoples R China; [Hui, Fengming; Li, Xinqing; Zhao, Tiancheng; Liu, Yan; Cheng, Xiao] Beijing Normal Univ, Coll Global Change &amp; Earth Syst Sci, Beijing 100875, Peoples R China; [Hui, Fengming; Li, Xinqing; Zhao, Tiancheng; Liu, Yan; Cheng, Xiao] Beijing Normal Univ, Joint Ctr Global Change Studies, Beijing 100875, Peoples R China; [Shokr, Mohammed] Environm Canada, Sci &amp; Technol Branch, Toronto, ON M3H 5T4, Canada; [Heil, Petra] Univ Tasmania, Australian Antarct Div, Hobart, Tas 7001, Australia; [Heil, Petra] Univ Tasmania, Antarct Climate &amp; Ecosyst Cooperat Res Ctr, Hobart, Tas 7001, Australia; [Zhao, Jiechen] Natl Marine Environm Forecasting Ctr, Key Lab Res Marine Hazards Forecasting SOA, Beijing 100081, Peoples R China; [Liang, Shunlin] Univ Maryland, Dept Geog Sci, College Pk, MD 20742 USA</t>
  </si>
  <si>
    <t>Beijing Normal University; Beijing Normal University; Beijing Normal University; Environment &amp; Climate Change Canada; University of Tasmania; Australian Antarctic Division; University of Tasmania; National Marine Environmental Forecasting Center; University System of Maryland; University of Maryland College Park</t>
  </si>
  <si>
    <t>Cheng, X (corresponding author), Beijing Normal Univ, State Key Lab Remote Sensing Sci, Beijing 100875, Peoples R China.;Cheng, X (corresponding author), Beijing Normal Univ, Coll Global Change &amp; Earth Syst Sci, Beijing 100875, Peoples R China.;Cheng, X (corresponding author), Beijing Normal Univ, Joint Ctr Global Change Studies, Beijing 100875, Peoples R China.</t>
  </si>
  <si>
    <t>huifm@bnu.edu.cn; lixinqing0710@163.com; zhaotc100@126.com; mo.shokr.ms@gmail.com; Petra.Heil@utas.edu.au; zhaojcsd@hotmail.com; lyxixi_2003@163.com; sliang@umd.edu; xcheng@bnu.edu.cn</t>
  </si>
  <si>
    <t>liang, shunlin/C-2809-2015; Zhao, Jiechen/KHV-9905-2024; Li, Xinqing/AAT-5475-2020; Liu）, 刘岩（Yan/AAT-5481-2020</t>
  </si>
  <si>
    <t>Li, Xinqing/0000-0002-3984-3203; Heil, Petra/0000-0003-2078-0342</t>
  </si>
  <si>
    <t>Chinese Arctic and Antarctic Administration; National Natural Science Foundation of China [41106157]; National Basic Research Program of China [2012CB957704]; Specialized Research Fund for the Doctoral Program of Higher Education [20120003110030]; Chinese Polar Environment Comprehensive Investigation, Assessment Program, and Public Welfare Project of the State Oceanic Administration [201205007]; Project of International Cooperation and Exchanges CHINARE [IC201302]; Australian Antarctic Science grant [4072, 4301]; Antarctic Climate and Ecosystems CRC program</t>
  </si>
  <si>
    <t>Chinese Arctic and Antarctic Administration; National Natural Science Foundation of China(National Natural Science Foundation of China (NSFC)); National Basic Research Program of China(National Basic Research Program of China); Specialized Research Fund for the Doctoral Program of Higher Education(Specialized Research Fund for the Doctoral Program of Higher Education (SRFDP)); Chinese Polar Environment Comprehensive Investigation, Assessment Program, and Public Welfare Project of the State Oceanic Administration; Project of International Cooperation and Exchanges CHINARE; Australian Antarctic Science grant; Antarctic Climate and Ecosystems CRC program(Australian GovernmentDepartment of Industry, Innovation and ScienceCooperative Research Centres (CRC) Programme)</t>
  </si>
  <si>
    <t>This work was supported by the Chinese Arctic and Antarctic Administration, National Natural Science Foundation of China (Grant No. 41106157), the National Basic Research Program of China (Grant No. 2012CB957704), the Specialized Research Fund for the Doctoral Program of Higher Education (Grant No. 20120003110030), the Chinese Polar Environment Comprehensive Investigation, Assessment Program, and Public Welfare Project of the State Oceanic Administration (201205007) and the Project of International Cooperation and Exchanges CHINARE (IC201302). PH was supported by Australian Antarctic Science grant 4072 and 4301, as well as by the Antarctic Climate and Ecosystems CRC program. We are grateful to USGS for providing Landsat-8 OLI data and to the Australian Bureau of Meteorology for providing tide prediction data. We would like to thank the anonymous reviewers for their valuable comments.</t>
  </si>
  <si>
    <t>10.3390/rs8030242</t>
  </si>
  <si>
    <t>Green Published, Green Accepted, gold, Green Submitted</t>
  </si>
  <si>
    <t>WOS:000373627400045</t>
  </si>
  <si>
    <t>Feng, L; Li, J; Gong, WS; Zhao, X; Chen, XL; Pang, XP</t>
  </si>
  <si>
    <t>Feng, Lian; Li, Juan; Gong, Weishu; Zhao, Xi; Chen, Xiaoling; Pang, Xiaoping</t>
  </si>
  <si>
    <t>Radiometric cross-calibration of Gaofen-1 WFV cameras using Landsat-8 OLI images: A solution for large view angle associated problems</t>
  </si>
  <si>
    <t>Cross-calibration; GF-1; Landsat-8 OLI; MODIS; Aerosol; BRDF; Radiative transfer model; Remote sensing</t>
  </si>
  <si>
    <t>REFLECTANCE DISTRIBUTION FUNCTION; SURFACE REFLECTANCE; ALBEDO RETRIEVALS; PRODUCTS; SENSORS; TM; VALIDATION; ALGORITHM; AEROSOL; LAND</t>
  </si>
  <si>
    <t>Four wide-field-of-view (WFV) instruments are onboard the Gaofen-1 (or GF-1) satellite, providing a combined swath of similar to 800 km. However, observations with large view angles pose new challenges for radiometric cross calibration with a simple image-based method when using Landsat-8 Operational Land Imager (OLI) data as a reference. Based on radiative transfer modeling, a novel radiometric cross-calibration method has been proposed in this study to solve large view angle-associated problems. The Moderate Resolution Imaging Spectroradiometer (MODIS) aerosol products were used to simulate the top of atmosphere (TOA) signal of the reference and target instruments, and the unequal bidirectional effects were corrected using MODIS bi-directional reflectance distribution function (BRDF) products. Extensive validations with both satellite data and in situ measurements revealed an uncertainty of similar to 8% for the newly produced cross-calibration coefficients when they were used to calibrate TOA reflectance for both close-nadir and off-nadir instruments. The improvements are discernable when compared with the official provided coefficients and that were derived using the image-based cross calibration method. This study demonstrated not only the usefulness of Landsat-8 OLI data in sensor radiometric calibration but also the impressive accuracy of the MODIS BRDF and aerosol products in radiative transfer simulations. The proposed method can be used in the future to monitor and correct potential radiometric degradations of the GF-1 WFV instruments, and it also can be easily extended to other similar satellite missions to conduct radiometric cross-calibrations. (C) 2015 Elsevier Inc All tights reserved.</t>
  </si>
  <si>
    <t>[Feng, Lian; Chen, Xiaoling] Wuhan Univ, State Key Lab Informat Engn Surveying Mapping &amp; R, Wuhan 430079, Peoples R China; [Li, Juan; Zhao, Xi; Pang, Xiaoping] Wuhan Univ, Chinese Antarctic Ctr Surveying &amp; Mapping, Wuhan 430079, Peoples R China; [Gong, Weishu] Univ Maryland, Dept Geog Sci, College Pk, MD 20742 USA</t>
  </si>
  <si>
    <t>Pang, XP (corresponding author), Wuhan Univ, Chinese Antarctic Ctr Surveying &amp; Mapping, Wuhan 430079, Peoples R China.</t>
  </si>
  <si>
    <t>lian.feng@whu.edu.cn; pxp@whu.edu.cn</t>
  </si>
  <si>
    <t>Feng, Lian/JQI-0512-2023; Gong, Weishu/AHA-0761-2022; zhao, xi/HJY-6017-2023</t>
  </si>
  <si>
    <t>Feng, Lian/0000-0002-4590-3022; Zhao, Xi/0000-0003-2274-891X</t>
  </si>
  <si>
    <t>National Natural Science Foundation of China [41401388, 41331174]; Special Fund by Surveying &amp; Mapping and Geoinformation Research in the Public Interest [201512026]; Fundamental Research Funds for the Central Universities; open-fund projects of LIESMARS (Wuhan University)</t>
  </si>
  <si>
    <t>National Natural Science Foundation of China(National Natural Science Foundation of China (NSFC)); Special Fund by Surveying &amp; Mapping and Geoinformation Research in the Public Interest; Fundamental Research Funds for the Central Universities(Fundamental Research Funds for the Central Universities); open-fund projects of LIESMARS (Wuhan University)</t>
  </si>
  <si>
    <t>This work was supported by the National Natural Science Foundation of China (No.: 41401388, 41331174), the Special Fund by Surveying &amp; Mapping and Geoinformation Research in the Public Interest (No.: 201512026), the Fundamental Research Funds for the Central Universities and the open-fund projects of LIESMARS (Wuhan University). We thank the USGS for providing Landsat data and the spectral library, the MODIS Land Team for providing the aerosol and BRDF products, and the CCRSDA providing in situ spectral and other measurements. Two anonymous reviewers provided valuable comments to help improve this manuscript, whose effort is also appreciated.</t>
  </si>
  <si>
    <t>10.1016/j.rse.2015.11.031</t>
  </si>
  <si>
    <t>DB8DI</t>
  </si>
  <si>
    <t>WOS:000368746800005</t>
  </si>
  <si>
    <t>Berger, A; Crucifix, M; Hodell, DA; Mangili, C; McManus, JF; Otto-Bliesner, B; Pol, K; Raynaud, D; Skinner, LC; Tzedakis, PC; Wolff, EW; Yin, QZ; Abe-Ouchi, A; Barbante, C; Brovkin, V; Cacho, I; Capron, E; Ferretti, P; Ganopolski, A; Grimalt, JO; Hönisch, B; Kawamura, K; Landais, A; Margari, V; Martrat, B; Masson-Delmotte, V; Mokeddem, Z; Parrenin, F; Prokopenko, AA; Rashid, H; Schulz, M; Riveiros, NV</t>
  </si>
  <si>
    <t>Berger, A.; Crucifix, M.; Hodell, D. A.; Mangili, C.; McManus, J. F.; Otto-Bliesner, B.; Pol, K.; Raynaud, D.; Skinner, L. C.; Tzedakis, P. C.; Wolff, E. W.; Yin, Q. Z.; Abe-Ouchi, A.; Barbante, C.; Brovkin, V.; Cacho, I.; Capron, E.; Ferretti, P.; Ganopolski, A.; Grimalt, J. O.; Hoenisch, B.; Kawamura, K.; Landais, A.; Margari, V.; Martrat, B.; Masson-Delmotte, V.; Mokeddem, Z.; Parrenin, F.; Prokopenko, A. A.; Rashid, H.; Schulz, M.; Riveiros, N. Vazquez</t>
  </si>
  <si>
    <t>Past Interglacials Working Grp PAG</t>
  </si>
  <si>
    <t>Interglacials of the last 800,000years</t>
  </si>
  <si>
    <t>REVIEWS OF GEOPHYSICS</t>
  </si>
  <si>
    <t>interglacials; review; quaternary</t>
  </si>
  <si>
    <t>ANTARCTIC ICE-SHEET; OCEAN CIRCULATION CHANGES; DEEP-SEA-TEMPERATURE; MERIDIONAL OVERTURNING CIRCULATION; GLOBAL SENSITIVITY-ANALYSIS; ATMOSPHERIC CARBON-DIOXIDE; MARINE ISOTOPE STAGE-11; NORTH-ATLANTIC OCEAN; CLIMATE VARIABILITY; GLACIAL INCEPTION</t>
  </si>
  <si>
    <t>Interglacials, including the present (Holocene) period, are warm, low land ice extent (high sea level), end-members of glacial cycles. Based on a sea level definition, we identify eleven interglacials in the last 800,000years, a result that is robust to alternative definitions. Data compilations suggest that despite spatial heterogeneity, Marine Isotope Stages (MIS) 5e (last interglacial) and 11c (similar to 400ka ago) were globally strong (warm), while MIS 13a (similar to 500ka ago) was cool at many locations. A step change in strength of interglacials at 450ka is apparent only in atmospheric CO2 and in Antarctic and deep ocean temperature. The onset of an interglacial (glacial termination) seems to require a reducing precession parameter (increasing Northern Hemisphere summer insolation), but this condition alone is insufficient. Terminations involve rapid, nonlinear, reactions of ice volume, CO2, and temperature to external astronomical forcing. The precise timing of events may be modulated by millennial-scale climate change that can lead to a contrasting timing of maximum interglacial intensity in each hemisphere. A variety of temporal trends is observed, such that maxima in the main records are observed either early or late in different interglacials. The end of an interglacial (glacial inception) is a slower process involving a global sequence of changes. Interglacials have been typically 10-30ka long. The combination of minimal reduction in northern summer insolation over the next few orbital cycles, owing to low eccentricity, and high atmospheric greenhouse gas concentrations implies that the next glacial inception is many tens of millennia in the future.</t>
  </si>
  <si>
    <t>[Berger, A.; Crucifix, M.; Yin, Q. Z.] Catholic Univ Louvain, Earth &amp; Life Inst, Louvain La Neuve, Belgium; [Hodell, D. A.; Wolff, E. W.] Univ Cambridge, Dept Earth Sci, Cambridge CB2 3EQ, England; [Mangili, C.; McManus, J. F.] Lamont Doherty Earth Observ, Palisades, NY USA; [Otto-Bliesner, B.] Natl Ctr Atmospher Res, POB 3000, Boulder, CO 80307 USA; [Pol, K.; Capron, E.] British Antarctic Survey, Cambridge CB3 0ET, England; [Raynaud, D.; Skinner, L. C.; Parrenin, F.] CNRS UJF, Lab Glaciol &amp; Geophys Environm, Grenoble, France; [Tzedakis, P. C.; Margari, V.] UCL, Dept Geog, London, England; [Abe-Ouchi, A.] Univ Tokyo, Atmosphere &amp; Ocean Res Inst, Tokyo, Japan; [Barbante, C.; Ferretti, P.] CNR IDPA, Venice, Italy; [Brovkin, V.] Max Planck Inst Meteorol, Bundesstr 55, D-20146 Hamburg, Germany; [Cacho, I.] Univ Barcelona, Dept Stratig Paleontol &amp; Marine Geosci, Barcelona, Spain; [Ganopolski, A.] Potsdam Inst Climate Impact Res, Potsdam, Germany; [Grimalt, J. O.; Hoenisch, B.; Martrat, B.] CSIC, Barcelona, Spain; [Kawamura, K.] Natl Inst Polar Res, Tokyo, Japan; [Landais, A.; Masson-Delmotte, V.; Riveiros, N. Vazquez] Lab Sci Climat &amp; Environm, Gif Sur Yvette, France; [Mokeddem, Z.] IFREMER, F-29280 Plouzane, France; [Prokopenko, A. A.] Univ S Carolina, Dept Earth &amp; Ocean Sci, Columbia, SC 29208 USA; [Rashid, H.] Mem Univ Newfoundland, Earth Sci, St John, NF, Canada; [Schulz, M.] Univ Bremen, Ctr Marine Environm Sci, D-28359 Bremen, Germany</t>
  </si>
  <si>
    <t>Universite Catholique Louvain; University of Cambridge; Columbia University; National Center Atmospheric Research (NCAR) - USA; UK Research &amp; Innovation (UKRI); Natural Environment Research Council (NERC); NERC British Antarctic Survey; Centre National de la Recherche Scientifique (CNRS); Communaute Universite Grenoble Alpes; Universite Grenoble Alpes (UGA); University of London; University College London; University of Tokyo; Consiglio Nazionale delle Ricerche (CNR); Istituto per la Dinamica dei Processi Ambientali (IDPA-CNR); Max Planck Society; University of Barcelona; Potsdam Institut fur Klimafolgenforschung; Consejo Superior de Investigaciones Cientificas (CSIC); Research Organization of Information &amp; Systems (ROIS); National Institute of Polar Research (NIPR) - Japan; CEA; Centre National de la Recherche Scientifique (CNRS); Universite Paris Saclay; Ifremer; University of South Carolina System; University of South Carolina Columbia; Memorial University Newfoundland; University of Bremen</t>
  </si>
  <si>
    <t>Parrenin, Frédéric/H-3054-2014; Cacho, Isabel/H-4402-2013; Otto-Bliesner, Bette/AAY-7691-2020; Barbante, Carlo/B-3195-2011; Abe-Ouchi, Ayako A/M-6359-2013; Wolff, Eric W/D-7925-2014; Hoenisch, Baerbel/C-7530-2013; Cacho, Isabel/AAX-2610-2021; IPO, PAGES/JXY-7546-2024; Brovkin, Victor/C-2803-2016; Martrat, Belen/I-5952-2015; Vazquez Riveiros, Natalia/C-1100-2012; Tzedakis, Polychronis C/J-1894-2012; Masson-Delmotte, Valerie L/G-1995-2011; Hoenisch, Baerbel/ABF-4968-2021; Kawamura, Kenji/C-7660-2011; Grimalt, Joan/E-2073-2011; Schulz, Michael/P-7276-2016</t>
  </si>
  <si>
    <t>Parrenin, Frédéric/0000-0002-9489-3991; Cacho, Isabel/0000-0002-6512-0770; Abe-Ouchi, Ayako A/0000-0003-1745-5952; Wolff, Eric W/0000-0002-5914-8531; Hoenisch, Baerbel/0000-0001-5844-3398; Cacho, Isabel/0000-0002-6512-0770; Brovkin, Victor/0000-0001-6420-3198; Martrat, Belen/0000-0001-9904-9178; Vazquez Riveiros, Natalia/0000-0001-7513-153X; Masson-Delmotte, Valerie L/0000-0001-8296-381X; Hoenisch, Baerbel/0000-0001-5844-3398; Kawamura, Kenji/0000-0003-1163-700X; FERRETTI, Patrizia/0000-0002-4814-3655; Yin, Qiuzhen/0000-0002-7189-8335; Tzedakis, Polychronis/0000-0001-6072-1166; POL, Katy/0000-0002-3467-3698; LANDAIS, Amaelle/0000-0002-5620-5465; mcmanus, jerry/0000-0002-7365-1600; Grimalt, Joan/0000-0002-7391-5768; Barbante, Carlo/0000-0003-4177-2288; Schulz, Michael/0000-0001-6500-2697; Hodell, David/0000-0001-8537-1588</t>
  </si>
  <si>
    <t>Past Global Changes Project (PAGES); NSF (USA); NERC; Royal Society (UK); F.R.S-FNRS (Belgium); SNF (Switzerland); Past Global Changes Project (PAGES); NSF (USA); NERC; Royal Society (UK); F.R.S-FNRS (Belgium); SNF (Switzerland); Grants-in-Aid for Scientific Research [26241011, 25241005, 15KK0027] Funding Source: KAKEN; Division Of Earth Sciences; Directorate For Geosciences [1440015] Funding Source: National Science Foundation; Natural Environment Research Council [NE/I009639/1, NE/I025115/1, bas0100034, NE/E007600/1, NE/G007535/1, NE/G00756X/1] Funding Source: researchfish; NERC [NE/I025115/1, NE/G00756X/1, NE/G007535/1] Funding Source: UKRI</t>
  </si>
  <si>
    <t>Past Global Changes Project (PAGES); NSF (USA)(National Science Foundation (NSF)); NERC(UK Research &amp; Innovation (UKRI)Natural Environment Research Council (NERC)); Royal Society (UK)(Royal Society); F.R.S-FNRS (Belgium)(Fonds de la Recherche Scientifique - FNRS); SNF (Switzerland); Past Global Changes Project (PAGES); NSF (USA)(National Science Foundation (NSF)); NERC(UK Research &amp; Innovation (UKRI)Natural Environment Research Council (NERC)); Royal Society (UK)(Royal Society); F.R.S-FNRS (Belgium)(Fonds de la Recherche Scientifique - FNRS); SNF (Switzerland); Grants-in-Aid for Scientific Research(Ministry of Education, Culture, Sports, Science and Technology, Japan (MEXT)Japan Society for the Promotion of ScienceGrants-in-Aid for Scientific Research (KAKENHI)); Division Of Earth Sciences; Directorate For Geosciences(National Science Foundation (NSF)NSF - Directorate for Geosciences (GEO)); Natural Environment Research Council(UK Research &amp; Innovation (UKRI)Natural Environment Research Council (NERC)); NERC(UK Research &amp; Innovation (UKRI)Natural Environment Research Council (NERC))</t>
  </si>
  <si>
    <t>This paper arose as a result of a succession of workshops of the Past Interglacials Group (PIGS), sponsored by the Past Global Changes Project (PAGES). The authors acknowledge the contributions of all participants at those workshops, of whom the listed authors are only a subset. Numerous funding agencies have contributed to the work of this paper including NSF (USA), NERC and The Royal Society (UK), F.R.S-FNRS (Belgium), and SNF (Switzerland). Most data described in this paper are available through relevant data repositories, http://www.ncdc.noaa.gov/data-access/paleoclimatology-data and www.pangaea.de in particular. In addition, the data sets from which Figures 9 and 10 were derived have been compiled into a spreadsheet in the supporting information. Insolation data for Figure 5 can be calculated using programs available at ftp://ftp.elic.ucl.ac.be/berger/berger78/ and ftp://ftp.elic.ucl.ac.be/berger/ellipticintegrals/.</t>
  </si>
  <si>
    <t>8755-1209</t>
  </si>
  <si>
    <t>1944-9208</t>
  </si>
  <si>
    <t>REV GEOPHYS</t>
  </si>
  <si>
    <t>Rev. Geophys.</t>
  </si>
  <si>
    <t>10.1002/2015RG000482</t>
  </si>
  <si>
    <t>DK1RE</t>
  </si>
  <si>
    <t>Green Submitted, Green Published, Green Accepted, hybrid</t>
  </si>
  <si>
    <t>WOS:000374690300005</t>
  </si>
  <si>
    <t>Jackson, JA; Carroll, EL; Smith, TD; Zerbini, AN; Patenaude, NJ; Baker, CS</t>
  </si>
  <si>
    <t>Jackson, Jennifer A.; Carroll, Emma L.; Smith, Tim D.; Zerbini, Alexandre N.; Patenaude, Nathalie J.; Baker, C. Scott</t>
  </si>
  <si>
    <t>An integrated approach to historical population assessment of the great whales: case of the New Zealand southern right whale</t>
  </si>
  <si>
    <t>whaling; historical abundance; southern right whale; bottleneck; recovery</t>
  </si>
  <si>
    <t>EUBALAENA-AUSTRALIS; WORLDWIDE; GROUNDS; SIZE</t>
  </si>
  <si>
    <t>Accurate estimation of historical abundance provides an essential baseline for judging the recovery of the great whales. This is particularly challenging for whales hunted prior to twentieth century modern whaling, as population-level catch records are often incomplete. Assessments of whale recovery using pre-modern exploitation indices are therefore rare, despite the intensive, global nature of nineteenth century whaling. Right whales (Eubalaena spp.) were particularly exploited: slow swimmers with strong fidelity to sheltered calving bays, the species made predictable and easy targets. Here, we present the first integrated population-level assessment of the whaling impact and pre-exploitation abundance of a right whale, the New Zealand southern right whale (E. australis). In this assessment, we use a Bayesian population dynamics model integrating multiple data sources: nineteenth century catches, genetic constraints on bottleneck size and individual sightings histories informing abundance and trend. Different catch allocation scenarios are explored to account for uncertainty in the population's offshore distribution. From a pre-exploitation abundance of 28 800-47 100 whales, nineteenth century hunting reduced the population to approximately 30-40 mature females between 1914 and 1926. Today, it stands at less than 12% of pre-exploitation abundance. Despite the challenges of reconstructing historical catches and population boundaries, conservation efforts of historically exploited species benefit from targets for ecological restoration.</t>
  </si>
  <si>
    <t>[Jackson, Jennifer A.] British Antarctic Survey, NERC, High Cross,Madingley Rd, Cambridge, England; [Carroll, Emma L.] Univ St Andrews, Sch Biol, Scottish Oceans Inst, St Andrews KY16 8LB, Fife, Scotland; [Smith, Tim D.] World Whaling Hist, Redding, CA USA; [Zerbini, Alexandre N.] NOAA Fisheries, Natl Marine Mammal Lab, Alaska Fisheries Sci Ctr, 7600 Sand Point Way NE, Seattle, WA 98115 USA; [Zerbini, Alexandre N.] Cascadia Res Collect, 218 1-2 W 4th Ave, Olympia, WA 98501 USA; [Zerbini, Alexandre N.] Inst Aqualie, Av Dr Paulo Japiassu Coelho,714,Sala 206, Juiz De Fora, MG, Brazil; [Patenaude, Nathalie J.] Coll Int St Anne, Montreal, PQ, Canada; [Baker, C. Scott] Univ Auckland, Sch Biol Sci, Auckland 1010, New Zealand; [Baker, C. Scott] Oregon State Univ, Hatfield Marine Sci Ctr, Marine Mammal Inst, Newport, OR 97365 USA; [Baker, C. Scott] Oregon State Univ, Hatfield Marine Sci Ctr, Dept Fisheries &amp; Wildlife, Newport, OR 97365 USA</t>
  </si>
  <si>
    <t>UK Research &amp; Innovation (UKRI); Natural Environment Research Council (NERC); NERC British Antarctic Survey; University of St Andrews; National Oceanic Atmospheric Admin (NOAA) - USA; University of Auckland; Oregon State University; Oregon State University</t>
  </si>
  <si>
    <t>Jackson, JA (corresponding author), British Antarctic Survey, NERC, High Cross,Madingley Rd, Cambridge, England.</t>
  </si>
  <si>
    <t>jennifer.jackson@bas.ac.uk</t>
  </si>
  <si>
    <t>Carroll, Emma/U-9133-2019; Zerbini, Alexandre/ABH-3916-2020; Jackson, Jennifer A/E-7997-2013</t>
  </si>
  <si>
    <t>Carroll, Emma/0000-0003-3193-7288; Zerbini, Alexandre/0000-0002-9776-6605; Jackson, Jennifer/0000-0003-4158-1924</t>
  </si>
  <si>
    <t>New Zealand Ministry of Fisheries [ZBD200505]; Oregon State University General Research Fund; Lenfest Ocean Program of the Pew Charitable Trust; Marsden Grant from the Royal Society of New Zealand [01-UOA-070]; Tertiary Education Commission; Natural Environment Research Council; Natural Environment Research Council [bas0100035] Funding Source: researchfish; NERC [bas0100035] Funding Source: UKRI</t>
  </si>
  <si>
    <t>New Zealand Ministry of Fisheries; Oregon State University General Research Fund; Lenfest Ocean Program of the Pew Charitable Trust; Marsden Grant from the Royal Society of New Zealand(Royal Society of New ZealandMarsden Fund (NZ)); Tertiary Education Commission;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</si>
  <si>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Initial funding for this study was provided by the New Zealand Ministry of Fisheries through Project ZBD200505 to the National Institute of Water and Atmospheric Research (NIWA) which supported J.A.J., an Oregon State University General Research Fund, the Lenfest Ocean Program of the Pew Charitable Trust and a Marsden Grant from the Royal Society of New Zealand to C.S.B., Contract number 01-UOA-070. E.C. was supported by a fellowship from the Tertiary Education Commission and T.S. through the History of Marine Animal Populations (HMAP) project. This study is part of the British Antarctic Survey Polar Science for Planet Earth Programme, funded by the Natural Environment Research Council.</t>
  </si>
  <si>
    <t>10.1098/rsos.150669</t>
  </si>
  <si>
    <t>DO7NL</t>
  </si>
  <si>
    <t>WOS:000377969200019</t>
  </si>
  <si>
    <t>Tian, QG; Jiang, P; Du, FJ; Wang, J; Li, ZY; Li, XY; Zhang, ZY; Lu, HP; Yuan, XY; Liu, HG; Zhang, H; Sun, LM; Chang, L; Wang, JG; Zhang, SH; Ji, T; Shi, XH; Chen, J; Zhang, GY; Jia, MH; Liu, JJ; Zhou, JY; Pan, X; Dong, SC; Jiang, FX; Zhang, HF; Zhou, JL; Wang, LF; Zhou, HY</t>
  </si>
  <si>
    <t>Tian, Qiguo; Jiang, Peng; Du, Fujia; Wang, Jian; Li, Zhengyang; Li, Xiaoyan; Zhang, Zhiyong; Lu, Haiping; Yuan, Xiangyan; Liu, Huigen; Zhang, Hui; Sun, Luming; Chang, Liang; Wang, Jianguo; Zhang, Shaohua; Ji, Tuo; Shi, Xiheng; Chen, Jie; Zhang, Guangyu; Jia, Minghao; Liu, Jiajing; Zhou, Junyan; Pan, Xiang; Dong, Shucheng; Jiang, Fengxin; Zhang, Hongfei; Zhou, Jilin; Wang, Lifan; Zhou, Hongyan</t>
  </si>
  <si>
    <t>The bright star survey telescope for the planetary transit survey in Antarctica</t>
  </si>
  <si>
    <t>Instrumentation; Exoplanet; Photometry; Antarctic Site</t>
  </si>
  <si>
    <t>DIGITAL SKY SURVEY; K-DWARF; DOME-C; PHOTOMETRY; MASS; SCINTILLATION; ATMOSPHERE; COMPANION</t>
  </si>
  <si>
    <t>Transiting extrasolar planets (exoplanets), especially those orbiting bright stars, are desired for study of the diversity of planetary compositions, internal structures and atmospheres beyond our solar system. Dome A at Antarctica is a promising site for planetary transit surveys, where the continuous darkness and the large clear-sky fraction in the winter months greatly enhance the detection efficiency. The Chinese Small Telescope ARray and the Antarctic Survey Telescopes are the first facilities that have been operated at Dome A for use in exoplanet surveys. To increase the sky coverage, a low-temperature-resistant wide-field robotic telescope, named the bright star survey telescope (BSST), has been developed to join the ongoing planetary transit survey in Antarctica. The BSST has an aperture size of 300 mm and is equipped with a large-frame 4k x 4k CCD camera to receive starlight from a 3.degrees 4 x 3.degrees 4 field of view. The BSST was operated at Lijiang observatory in April and May 2015 for a test run. Photometric precision of 3.5 mmag was achieved for stars with V similar to 11 mag using 75 s exposures. The transiting events of two Jupiter-size exoplanets, HAT-P-3b and HAT-P-12b, were observed on May 10 and May 20, 2015, respectively.</t>
  </si>
  <si>
    <t>[Tian, Qiguo; Jiang, Peng; Sun, Luming; Zhang, Shaohua; Ji, Tuo; Shi, Xiheng; Zhou, Junyan; Pan, Xiang; Zhou, Hongyan] Polar Res Inst China, Shanghai 200136, Peoples R China; [Jiang, Peng; Liu, Huigen; Zhang, Hui; Zhou, Junyan] Nanjing Univ, Sch Astron &amp; Space Sci, Nanjing 210093, Jiangsu, Peoples R China; [Du, Fujia; Li, Zhengyang; Li, Xiaoyan; Zhang, Zhiyong; Lu, Haiping; Yuan, Xiangyan] Chinese Acad Sci, Natl Astron Observ, Nanjing Inst Astron Opt &amp; Technol, Nanjing 210042, Jiangsu, Peoples R China; [Wang, Jian; Chen, Jie; Zhang, Guangyu; Jia, Minghao; Liu, Jiajing; Dong, Shucheng; Jiang, Fengxin; Zhang, Hongfei] Univ Sci &amp; Technol China, Dept Modern Phys, State Key Lab Technol Particle Detect &amp; Elect, Hefei 230026, Peoples R China; [Liu, Huigen; Zhang, Hui; Zhou, Jilin] Nanjing Univ, Key Lab Modern Astron &amp; Astrophys, Minist Educ, Nanjing 210093, Jiangsu, Peoples R China; [Sun, Luming; Zhou, Junyan; Pan, Xiang; Zhou, Hongyan] Univ Sci &amp; Technol China, Chinese Acad Sci, Dept Astron, Key Lab Res Galaxies &amp; Cosmol, Hefei 230026, Peoples R China; [Chang, Liang; Wang, Jianguo] Chinese Acad Sci, Natl Astron Observ, Yunnan Observ, Kunming 650011, Peoples R China; [Chang, Liang; Wang, Jianguo] Chinese Acad Sci, Key Lab Struct &amp; Evolut Celestial Objects, Kunming 650011, Peoples R China; [Wang, Lifan] Chinese Acad Sci, Purple Mt Observ, Nanjing 210008, Jiangsu, Peoples R China</t>
  </si>
  <si>
    <t>Polar Research Institute of China; Nanjing University; Chinese Academy of Sciences; National Astronomical Observatory, CAS; Nanjing Institute of Astronomical Optics &amp; Technology, NAOC, CAS; Chinese Academy of Sciences; University of Science &amp; Technology of China, CAS; Nanjing University; Chinese Academy of Sciences; University of Science &amp; Technology of China, CAS; Chinese Academy of Sciences; Yunnan Astronomical Observatory, NAOC, CAS; National Astronomical Observatory, CAS; Chinese Academy of Sciences; Chinese Academy of Sciences; Nanjing Institute of Astronomical Optics &amp; Technology, NAOC, CAS; Purple Mountain Observatory, CAS</t>
  </si>
  <si>
    <t>Jiang, P (corresponding author), Nanjing Univ, Sch Astron &amp; Space Sci, Nanjing 210093, Jiangsu, Peoples R China.</t>
  </si>
  <si>
    <t>jpaty@mail.ustc.edu.cn</t>
  </si>
  <si>
    <t>Zhang, Shaohua/HTQ-5246-2023; lu, yuting/IIS-2826-2023; WANG, Jian/B-8138-2013; Liu, Hui-Gen/HLQ-5128-2023</t>
  </si>
  <si>
    <t>zhang, hui/0000-0003-3491-6394</t>
  </si>
  <si>
    <t>Astronomical Project for the Chinese Antarctic Inland Station, SOC Program [CHINARE201202-03, CHINARE2013-02-03, CHINARE2014-02-03, CHINARE2015-02-03]; National Basic Research Program of China [2013CB834905, 2015CB857005]; National Natural Science Foundation of China [11503023, 11233002, 11203022, 11473025, 11421303, 11033007, 11573024, 11503022]; Natural Science Foundation of Shanghai [14ZR1444100, 15ZR1444200]; Polar Science Innovation Fund for Young Scientists of Polar Research Institute of China [CX20130201]</t>
  </si>
  <si>
    <t>Astronomical Project for the Chinese Antarctic Inland Station, SOC Program; National Basic Research Program of China(National Basic Research Program of China); National Natural Science Foundation of China(National Natural Science Foundation of China (NSFC)); Natural Science Foundation of Shanghai(Natural Science Foundation of Shanghai); Polar Science Innovation Fund for Young Scientists of Polar Research Institute of China</t>
  </si>
  <si>
    <t>The authors appreciate the enlightening suggestions from the referees, which helped to improve the quality of this paper. This work is supported by the Astronomical Project for the Chinese Antarctic Inland Station, the SOC Program (CHINARE2012-02-03, CHINARE2013-02-03, CHINARE2014-02-03, and CHINARE2015-02-03), and the National Basic Research Program of China (2013CB834905 and 2015CB857005). Q. Tian is supported by the National Natural Science Foundation of China (11503023), the Natural Science Foundation of Shanghai (14ZR1444100), and the Polar Science Innovation Fund for Young Scientists of Polar Research Institute of China (CX20130201). P. Jiang is supported by the National Natural Science Foundation of China (11233002 and 11203022). H. Zhou is supported by the National Natural Science Foundation of China (11473025, 11421303 and 11033007). S. Zhang is supported by the National Natural Science Foundation of China (11573024). T. Ji is supported by the National Natural Science Foundation of China (11503022) and the Natural Science Foundation of Shanghai (15ZR1444200).</t>
  </si>
  <si>
    <t>10.1007/s11434-016-1015-0</t>
  </si>
  <si>
    <t>DF3VT</t>
  </si>
  <si>
    <t>WOS:000371276900007</t>
  </si>
  <si>
    <t>Neutel, AM; Thorne, MAS</t>
  </si>
  <si>
    <t>Neutel, Anje-Margriet; Thorne, Michael A. S.</t>
  </si>
  <si>
    <t>Linking saturation, stability and sustainability in food webs with observed equilibrium structure</t>
  </si>
  <si>
    <t>THEORETICAL ECOLOGY</t>
  </si>
  <si>
    <t>Predator-prey networks; Stability; Functional response; Interaction strength; Feedback loops; Sustainability</t>
  </si>
  <si>
    <t>REAL ECOSYSTEMS; INTERACTION STRENGTHS; ENRICHMENT; COMPLEXITY; DYNAMICS; SYSTEMS; IMPACT; MODEL</t>
  </si>
  <si>
    <t>Stability of a dynamic equilibrium in a predator-prey system depends both on the type of functional response and on the point of equilibrium on the response curve. Saturation effects from Holling type II responses are known to destabilise prey populations, while a type III (sigmoid) response curve has been shown to provide stability at lower levels of saturation. These effects have also been shown in multi-trophic model systems. However, stability analyses of observed equilibria in real complex ecosystems have as yet not assumed non-linear functional responses. Here, we evaluate the implications of saturation in observed balanced material-flow structures, for system stability and sustainability. We first make the effects of the non-linear functional responses on the interaction strengths in a food web transparent by expressing the elements of Jacobian 'community' matrices for type II and III systems as simple functions of their linear (type I) counterparts. We then determine the stability of the systems and distinguish two critical saturation levels: (1) a level where the system is just as stable as a type I system and (2) a level above which the system cannot be stable unless it is subsidised, separating a stable materially sustainable regime from an unsustainable one. We explain the stabilising and destabilising effects in terms of the feedbacks in the systems. The results shed light on the robustness of observed patterns of interaction strengths in complex food webs and suggest the implausibility of saturation playing a significant role in the equilibrium dynamics of sustainable ecosystems.</t>
  </si>
  <si>
    <t>[Neutel, Anje-Margriet; Thorne, Michael A. S.] British Antarctic Survey, High Cross,Madingley Rd, Cambridge CB3 0ET, England</t>
  </si>
  <si>
    <t>Neutel, AM (corresponding author), British Antarctic Survey, High Cross,Madingley Rd, Cambridge CB3 0ET, England.</t>
  </si>
  <si>
    <t>anjute@bas.ac.uk</t>
  </si>
  <si>
    <t>Thorne, Michael/0000-0001-7759-612X</t>
  </si>
  <si>
    <t>Natural Environment Research Council; Natural Environment Research Council [bas0100036] Funding Source: researchfish; NERC [bas0100036] Funding Source: UKRI</t>
  </si>
  <si>
    <t>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</si>
  <si>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We thank Thilo Gross and an anonymous reviewer for comments on the manuscript. This work is part of the British Antarctic Survey Polar Science for Planet Earth Programme. It was funded by The Natural Environment Research Council.</t>
  </si>
  <si>
    <t>1874-1738</t>
  </si>
  <si>
    <t>1874-1746</t>
  </si>
  <si>
    <t>THEOR ECOL-NETH</t>
  </si>
  <si>
    <t>Theor. Ecol.</t>
  </si>
  <si>
    <t>10.1007/s12080-015-0270-z</t>
  </si>
  <si>
    <t>DI2EN</t>
  </si>
  <si>
    <t>WOS:000373308600008</t>
  </si>
  <si>
    <t>Bonin, CA; Goebel, ME; O'Corry-Crowe, GM; Burton, RS</t>
  </si>
  <si>
    <t>Bonin, Carolina A.; Goebel, Michael E.; O'Corry-Crowe, Gregory M.; Burton, Ronald S.</t>
  </si>
  <si>
    <t>Impacts of ecology and behavior on Antarctic fur seal remating and relatedness</t>
  </si>
  <si>
    <t>Antarctic fur seals; Pinniped; Relatedness; Pedigree; Remating</t>
  </si>
  <si>
    <t>MULTILOCUS GENOTYPE DATA; ARCTOCEPHALUS-GAZELLA; RED DEER; MICROSATELLITE MARKERS; SITE FIDELITY; MATE FIDELITY; REPRODUCTIVE SUCCESS; NATURAL-POPULATIONS; GENETIC DIVERSITY; SIBSHIP INFERENCE</t>
  </si>
  <si>
    <t>Antarctic fur seals (Arctocephalus gazella) are polygynous and both sexes are typically faithful to a breeding site. These characteristics could promote remating among individuals over time, leading to increased relatedness levels and negatively affecting genetic diversity. To examine this issue, the reproductive output of 55 females was monitored annually for 12 years and their pups were sampled (n = 280) and genotyped using 17 microsatellite markers. A full likelihood pedigree inference method was used to confirm maternities inferred in the field and estimate the number of full sibling pups born across years. Relatedness coefficients were estimated for pairs of individuals in the pedigree and compared to simulated values for each relationship category. There were nine cases where a female mated with the same male twice and one case where a female mated with the same male three times over the study period. The observed relatedness coefficients estimated among the sampled pups matched the simulated distribution for half-siblings. In addition, no first order relatives were found among the fur seal mothers studied, nor did observed relatedness coefficient distributions differ significantly from simulated values. Together, these results suggest a low remating rate and a negligible effect of remating on pair-wise relatedness. Territorial male replacement over time as well as female small-scale movements, driven by suitable pupping habitat, likely contribute to the low remating frequency observed in Antarctic fur seals. (C) 2015 Elsevier B.V. All rights reserved.</t>
  </si>
  <si>
    <t>[Bonin, Carolina A.] Univ Calif San Diego, Scripps Inst Oceanog, Ctr Marine Biodivers &amp; Conservat, 8750 Biol Grade, La Jolla, CA 92037 USA; [Goebel, Michael E.] Southwest Fisheries Sci Ctr, Antarctic Ecosyst Res Div, 8901 La Jolla Shores Dr, La Jolla, CA 92037 USA; [O'Corry-Crowe, Gregory M.] Harbor Branch Oceanog Inst Inc, 5600 US 1 North, Ft Pierce, FL 34946 USA; [Burton, Ronald S.] Univ Calif San Diego, Scripps Inst Oceanog, Div Marine Biol Res, 8750 Biol Grade, La Jolla, CA 92037 USA</t>
  </si>
  <si>
    <t>University of California System; University of California San Diego; Scripps Institution of Oceanography; Harbor Branch Oceanographic Institute Foundation; University of California System; University of California San Diego; Scripps Institution of Oceanography</t>
  </si>
  <si>
    <t>Bonin, CA (corresponding author), Univ Calif San Diego, Scripps Inst Oceanog, Ctr Marine Biodivers &amp; Conservat, 8750 Biol Grade, La Jolla, CA 92037 USA.</t>
  </si>
  <si>
    <t>bonincarolina@gmail.com; Mike.Goebel@noaa.gov; gocorryc@hboi.fau.edu; rburton@ucsd.edu</t>
  </si>
  <si>
    <t>Burton, R/F-7694-2010</t>
  </si>
  <si>
    <t>Burton, R/0000-0002-6995-5329; Bonin Lewallen, Carolina/0000-0003-1162-7290</t>
  </si>
  <si>
    <t>National Science Foundation/Integrative Graduate Education and Research Traineeship Program [0903551]; US Antarctic Marine Living Resources Program (US AMLR contract)</t>
  </si>
  <si>
    <t>National Science Foundation/Integrative Graduate Education and Research Traineeship Program(National Science Foundation (NSF)); US Antarctic Marine Living Resources Program (US AMLR contract)</t>
  </si>
  <si>
    <t>C.A. Bonin is supported by the National Science Foundation/Integrative Graduate Education and Research Traineeship Program grant # 0903551 and the US Antarctic Marine Living Resources Program (US AMLR contract to CAB). All resources for field and laboratory work were provided by US AMLR (we particularly thank Dr. George Wafters). Laboratory infra-structure was provided by the Protected Resources Division, SWFSC, La Jolla, CA. We thank Sophie Rosseel and Austin Vetter for their help in processing samples and the field biologists who provided invaluable assistance over the years at Livingston Island. We are also grateful to Dr. Jinliang Wang for running the dataset on his server and for answering questions regarding COLONY2. Finally, we thank Drs. Eric Lewallen, Phillip Morin and Joseph Hoffman for suggestions on earlier versions of this manuscript. Fur seal tissues were collected in full compliance with Marine Mammal Protection Permit No. 774-1847-03 granted by the National Marine Fisheries Service of the United States. The scientific results and conclusions, as well as any views or opinions expressed herein, are those of the author(s) and do not necessarily reflect those of NOAA or the Department of Commerce. [SS]</t>
  </si>
  <si>
    <t>10.1016/j.jembe.2015.12.008</t>
  </si>
  <si>
    <t>DC8GE</t>
  </si>
  <si>
    <t>WOS:000369457100010</t>
  </si>
  <si>
    <t>Emery, TJ; Hartmann, K; Green, BS; Gardner, C</t>
  </si>
  <si>
    <t>Emery, Timothy J.; Hartmann, Klaas; Green, Bridget S.; Gardner, Caleb</t>
  </si>
  <si>
    <t>Handled with care: Minimal impacts of appendage damage on the growth and productivity of the southern rock lobster (Jasus edwardsii)</t>
  </si>
  <si>
    <t>Growth; Handling damage; Bayesian; Southern rock lobster; Jasus edwardsii</t>
  </si>
  <si>
    <t>PROCAMBARUS-CLARKII GIRARD; PANULIRUS-CYGNUS GEORGE; CRAB CANCER-PAGURUS; CLYDE SEA AREA; SPINY LOBSTER; 1852 DECAPODA; PHYSIOLOGICAL STRESS; PORTUNUS-PELAGICUS; SPATIAL VARIATION; NEPHROPS FISHERY</t>
  </si>
  <si>
    <t>The capture, handling and release of invertebrates such as lobsters during commercial fishing operations can lead to physiological changes such as reduced growth and impaired reproduction. In particular, damage to appendages can reduce the exploitable biomass available to fishers as moulting lobsters expend energy resources regrowing limbs at the expense of increasing in size. To assess the effect of injuries on the growth of male and female lobsters smaller than the legal minimum size (undersize), a Bayesian hierarchical approach was taken to fit the parameters of the von Bertalanffy growth equation to mark-recapture observer data from southern stock assessment areas (SSAAs) of the Tasmanian southern rock lobster (TSRL) fishery in Australia. While the effect or handling damage on the growth of undersize females could not be distinguished from zero because of small growth increments, the impact on males was marked, with damage to antennae or legs estimated to have a similar proportional impact on growth of 7% (0-16%, 95% CI) and 7% (0-14%, 95% CI) respectively. Damage to both antennae and legs had a greater estimated proportional impact on growth of 40% (24-57%, 95% CI). Despite the substantial reductions in predicted growth caused by the loss of antennae and/or legs, fewer than 6% of undersize male lobsters had these types of injuries. With an estimated 4.22 +/- 0.4 (mean +/- 95% CI) million lobsters discarded annually between 2001 and 2010 from SSAAs, annual lost productivity and revenue from slower growth was predicted to be 1.6 tonnes and AUD $72,905 respectively in the TSRL fishery. The overall impact of damage on male lobsters was less than 1% of the total allowable catch and revenue for the TSRL fishery in 2010. Mortality among damaged lobsters was estimated at 3.9% from SSAAs for a total productivity loss of 22.1 tonnes in the TSRL fishery. These results highlight the effectiveness of the fishing method, sorting procedures, as well as management measures (escape gaps) and the biology of the species in reducing excessive amounts of handling damage in the TSRL fishery. (C) 2015 Elsevier B.V. All rights reserved.</t>
  </si>
  <si>
    <t>[Emery, Timothy J.; Hartmann, Klaas; Green, Bridget S.; Gardner, Caleb] Univ Tasmania, Inst Marine &amp; Antarctic Studies, Private Bag 49, Hobart, Tas 7001, Australia</t>
  </si>
  <si>
    <t>Emery, TJ (corresponding author), Univ Tasmania, Inst Marine &amp; Antarctic Studies, Private Bag 49, Hobart, Tas 7001, Australia.</t>
  </si>
  <si>
    <t>timothy.emery@utas.edu.au</t>
  </si>
  <si>
    <t>Green, Bridget S/G-3368-2014; Hartmann, Klaas/B-3991-2008; Gardner, Caleb/I-7086-2013</t>
  </si>
  <si>
    <t>Gardner, Caleb/0000-0003-0324-4337; Emery, Timothy/0000-0002-4203-671X</t>
  </si>
  <si>
    <t>University of Tasmania; Australian Seafood Cooperative Research Centre</t>
  </si>
  <si>
    <t>University of Tasmania; Australian Seafood Cooperative Research Centre(Australian GovernmentDepartment of Industry, Innovation and ScienceCooperative Research Centres (CRC) Programme)</t>
  </si>
  <si>
    <t>This research was funded through postgraduate scholarships from the University of Tasmania and the Australian Seafood Cooperative Research Centre.</t>
  </si>
  <si>
    <t>10.1016/j.fishres.2015.11.015</t>
  </si>
  <si>
    <t>DB0RV</t>
  </si>
  <si>
    <t>WOS:000368216100009</t>
  </si>
  <si>
    <t>Kvacek, J; Vodrázka, R</t>
  </si>
  <si>
    <t>Kvacek, Jiri; Vodrazka, Radek</t>
  </si>
  <si>
    <t>Late Cretaceous flora of the Hidden Lake Formation, James Ross Island (Antarctica), its biostratigraphy and palaeoecological implications</t>
  </si>
  <si>
    <t>CRETACEOUS RESEARCH</t>
  </si>
  <si>
    <t>Antarctica; Macroflora; Coniacian; Gustav group</t>
  </si>
  <si>
    <t>BACK-ARC BASIN; SOUTH SHETLAND ISLANDS; ALEXANDER ISLAND; SEYMOUR-ISLAND; LARSEN-BASIN; GUSTAV-GROUP; LIVINGSTON ISLAND; PALEOCENE FLORA; WILLIAMS POINT; TABLE NUNATAK</t>
  </si>
  <si>
    <t>Plant fossils from the volcano-clastic marine deposits of the Coniacian Hidden Lake Formation of James Ross Island in Antarctica are described based on their macromorphology. Stratigraphic positions of fossiliferous horizons and details of the lithostratigraphic situation of the middle part of the Hidden Lake Formation are published for the first time. The flora consists primarily of leaf impressions and petrified wood. There are also small amounts of mesofossils, dispersed cuticles and charcoalified wood. The megafossils typically occur fragmented, underpinning their allochtonous origin. The plants are described in systematical order. This contribution in contrast to earlier observations reports a high diversity of pteridophytes (11 taxa) and conifers (6 taxa). Angiosperms representing families Nothofagaceae, Athe-rospermataceae, probably Lauraceae and Sterculiaceae are the most abundant and common plant groups of the flora (12 taxa). The presence of the tropical fern family Marattiaceae and rarity of the genus Nothofagus are of interest, arguing for the prevalence of a warm temperate to tropical humid climate during the Coniacian in this part of Antarctica. (C) 2015 Elsevier Ltd. All rights reserved.</t>
  </si>
  <si>
    <t>[Kvacek, Jiri] Natl Museum Prague, Dept Palaeontol, Vaclavske Nam 68, Prague 11579 1, Czech Republic; [Vodrazka, Radek] Czech Geol Survey, Prague 11821, Czech Republic</t>
  </si>
  <si>
    <t>National Museum; Czech Geological Survey</t>
  </si>
  <si>
    <t>Kvacek, J (corresponding author), Natl Museum Prague, Dept Palaeontol, Vaclavske Nam 68, Prague 11579 1, Czech Republic.</t>
  </si>
  <si>
    <t>jiri.kvacek@nm.cz; radek.vodrazka@seznam.cz</t>
  </si>
  <si>
    <t>Vodrazka, Radek/I-8801-2014; Kvacek, Jiri/A-1784-2014</t>
  </si>
  <si>
    <t>Kvacek, Jiri/0000-0003-2001-121X</t>
  </si>
  <si>
    <t>Research and Development Project of the Ministry of Environment of the Czech Republic [SPII 1a9/23/07.R.V]; Ministry of Culture of the Czech Republic [DKRVO 2015/04, 00023272, GACR GP14-31662P]</t>
  </si>
  <si>
    <t>Research and Development Project of the Ministry of Environment of the Czech Republic; Ministry of Culture of the Czech Republic</t>
  </si>
  <si>
    <t>We are grateful to Georgina del Fuego and Luis Marte from the Natural History Museum, Buenos Aires for their help and hospitality during the stay of JK in Buenos Aires. We also thank Lenka Vachova and Martin Valent for their assistance with photo documentation. Additionally, we are grateful to Alexei B. Herman and two anonymous reviewers for their constructive suggestions. Thanks also go to the scientific infrastructure of the Johann Gregor Mendel Czech Antarctic station. This research was supported by Research and Development Project of the Ministry of Environment of the Czech Republic No. SPII 1a9/23/07.R.V. It was also co-funded by the Ministry of Culture of the Czech Republic (DKRVO 2015/04, National Museum, 00023272) and the project GACR GP14-31662P.</t>
  </si>
  <si>
    <t>0195-6671</t>
  </si>
  <si>
    <t>1095-998X</t>
  </si>
  <si>
    <t>CRETACEOUS RES</t>
  </si>
  <si>
    <t>Cretac. Res.</t>
  </si>
  <si>
    <t>10.1016/j.cretres.2015.09.014</t>
  </si>
  <si>
    <t>Geology; Paleontology</t>
  </si>
  <si>
    <t>CZ2US</t>
  </si>
  <si>
    <t>WOS:000366960700017</t>
  </si>
  <si>
    <t>Dennett, GV; Blamey, JM</t>
  </si>
  <si>
    <t>Dennett, Geraldine V.; Blamey, Jenny M.</t>
  </si>
  <si>
    <t>A New Thermophilic Nitrilase from an Antarctic Hyperthermophilic Microorganism</t>
  </si>
  <si>
    <t>FRONTIERS IN BIOENGINEERING AND BIOTECHNOLOGY</t>
  </si>
  <si>
    <t>RHODOCOCCUS-RHODOCHROUS K22; PROTEIN GLYCOSYLATION; ALIPHATIC NITRILASE; NICOTINIC-ACID; PURIFICATION; CYANIDE; EXPRESSION; REMOVAL; ENZYMES; CLONING</t>
  </si>
  <si>
    <t>Several environmental samples from Antarctica were collected and enriched to search for microorganisms with nitrilase activity. A new thermostable nitrilase from a novel hyperthermophilic archaea Pyrococcus sp. M24D13 was purified and characterized. The activity of this enzyme increased as the temperatures rise from 70 up to 85 degrees C. Its optimal activity occurred at 85 degrees C and pH 7.5. This new enzyme shows a remarkable resistance to thermal inactivation retaining more than 50% of its activity even after 8 h of incubation at 85 degrees C. In addition, this nitrilase is highly versatile demonstrating activity toward different substrates, such as benzonitrile (60 mM, aromatic nitrile) and butyronitrile (60 mM, aliphatic nitrile), with a specific activity of 3286.7 U mg(-1) of protein and 4008.2 U mg(-1) of protein, respectively. Moreover the enzyme NitM24D13 also presents cyanidase activity. The apparent Michaelis-Menten constant (K-m) and V-max of this Nitrilase for benzonitrile were 0.3 mM and 333.3 mu M min(-1), respectively, and the specificity constant (k(cat)/K-m) for benzonitrile was 2.05 x 10(5) s(-1) M-1</t>
  </si>
  <si>
    <t>[Dennett, Geraldine V.; Blamey, Jenny M.] Fdn Cient &amp; Cultural Biociencia, Santiago, Chile; [Dennett, Geraldine V.; Blamey, Jenny M.] Univ Santiago, Doctorado Biotecnol, Santiago, Chile</t>
  </si>
  <si>
    <t>Universidad de Santiago de Chile</t>
  </si>
  <si>
    <t>Blamey, JM (corresponding author), Fdn Cient &amp; Cultural Biociencia, Santiago, Chile.;Blamey, JM (corresponding author), Univ Santiago, Doctorado Biotecnol, Santiago, Chile.</t>
  </si>
  <si>
    <t>jblamey@bioscience.cl</t>
  </si>
  <si>
    <t>Blamey, Jenny M/M-2637-2014</t>
  </si>
  <si>
    <t>Blamey, Jenny M/0000-0002-7640-316X</t>
  </si>
  <si>
    <t>2296-4185</t>
  </si>
  <si>
    <t>FRONT BIOENG BIOTECH</t>
  </si>
  <si>
    <t>Front. Bioeng. Biotechnol.</t>
  </si>
  <si>
    <t>FEB 29</t>
  </si>
  <si>
    <t>10.3389/fbioe.2016.00005</t>
  </si>
  <si>
    <t>Biotechnology &amp; Applied Microbiology; Engineering, Biomedical</t>
  </si>
  <si>
    <t>Biotechnology &amp; Applied Microbiology; Engineering</t>
  </si>
  <si>
    <t>EF2WU</t>
  </si>
  <si>
    <t>WOS:000390187100001</t>
  </si>
  <si>
    <t>Mariani, M; Fletcher, MS</t>
  </si>
  <si>
    <t>Mariani, Michela; Fletcher, Michael-Shawn</t>
  </si>
  <si>
    <t>The Southern Annular Mode determines interannual and centennial-scale fire activity in temperate southwest Tasmania, Australia</t>
  </si>
  <si>
    <t>RAINFALL VARIABILITY; CLIMATE; FOREST; WILDERNESS; RESPONSES; PATTERNS; DRIVERS; HISTORY; SCIENCE; REGIMES</t>
  </si>
  <si>
    <t>Southern Annular Mode (SAM) is the primary mode of atmospheric variability in the Southern Hemisphere. While it is well established that the current anthropogenic-driven trend in SAM is responsible for decreased rainfall in southern Australia, its role in driving fire regimes in this region has not been explored. We examined the connection between fire activity and SAM in southwest Tasmania, which lies in the latitudinal band of strongest correlation between SAM and rainfall in the Southern Hemisphere. We reveal that fire activity during a fire season is significantly correlated with the phase of SAM in the preceding year using superposed epoch analysis. We then synthesized new 14 charcoal records from southwest Tasmania spanning the last 1000 years, revealing a tight coupling between fire activity and SAM at centennial timescales, observing a multicentury increase in fire activity over the last 500 years and a spike in fire activity in the 21st century in response to natural and anthropogenic SAM trends.</t>
  </si>
  <si>
    <t>[Mariani, Michela; Fletcher, Michael-Shawn] Univ Melbourne, Sch Geog, Parkville, Vic 3052, Australia</t>
  </si>
  <si>
    <t>University of Melbourne</t>
  </si>
  <si>
    <t>Mariani, M (corresponding author), Univ Melbourne, Sch Geog, Parkville, Vic 3052, Australia.</t>
  </si>
  <si>
    <t>mmariani@student.unimelb.edu.au</t>
  </si>
  <si>
    <t>Fletcher, Michael-Shawn/AFR-2451-2022; MARIANI, MICHELA/P-9787-2019</t>
  </si>
  <si>
    <t>Fletcher, Michael-Shawn/0000-0002-1854-5629; MARIANI, MICHELA/0000-0003-1996-3694</t>
  </si>
  <si>
    <t>ARC [DI110100019, IN140100050]</t>
  </si>
  <si>
    <t>ARC(Australian Research Council)</t>
  </si>
  <si>
    <t>Research was supported by ARC grants DI110100019 and IN140100050. We thank Anthony Romano and William Rapuc for contributing to the charcoal analysis. Thanks to Andres Holz for his important comments and advice on the statistical analysis. We are also grateful for ListMap (Government of Tasmania) for providing the fire occurrence data set of Tasmania. All data employed in this analysis are available through either BOM, NOAA, the British Antarctic Survey, ListMap, or are provided in the supporting information. We also thank two anonymous referees for their comments on an earlier draft of this manuscript.</t>
  </si>
  <si>
    <t>FEB 28</t>
  </si>
  <si>
    <t>10.1002/2016GL068082</t>
  </si>
  <si>
    <t>DH9IF</t>
  </si>
  <si>
    <t>WOS:000373109000038</t>
  </si>
  <si>
    <t>Sen Gupta, A; McGregor, S; van Sebille, E; Ganachaud, A; Brown, JN; Santoso, A</t>
  </si>
  <si>
    <t>Sen Gupta, Alex; McGregor, Shayne; van Sebille, Erik; Ganachaud, Alexandre; Brown, Jaclyn N.; Santoso, Agus</t>
  </si>
  <si>
    <t>Future changes to the Indonesian Throughflow and Pacific circulation: The differing role of wind and deep circulation changes</t>
  </si>
  <si>
    <t>EAST AUSTRALIAN CURRENT; INDIAN-OCEAN; INTERANNUAL VARIABILITY; CLIMATE VARIABILITY; WARMING HIATUS; CMIP5 MODELS; ENSO; GYRE</t>
  </si>
  <si>
    <t>Climate models consistently project a substantial decrease in the Indonesian Throughflow (ITF) in response to enhanced greenhouse warming. On interannual timescales ITF changes are largely related to tropical Pacific wind variability. However, on the multidecadal timescales investigated here we demonstrate that regional winds and associated changes in the upper ocean circulation cannot explain the projected ITF decrease. Instead, the decrease is related to a weakening in the northward flow of deep waters entering the Pacific basin at similar to 40 degrees S and an associated reduction in the net basin-wide upwelling to the north of the southern tip of Australia. This can be traced back to consistent changes in the Antarctic Circumpolar Current and Southern Ocean overturning, although questions still remain as to the ultimate drivers. In contrast to the ITF decrease, substantial projected changes to the upper ocean circulation of the Pacific basin are well explained by robust changes in the surface winds.</t>
  </si>
  <si>
    <t>[Sen Gupta, Alex; Santoso, Agus] Univ New S Wales, Climate Change Res Ctr, POB 1, Kensington, NSW 2033, Australia; [Sen Gupta, Alex; Santoso, Agus] Univ New S Wales, Australian Res Council ARC, Ctr Excellence Climate Syst Sci, Mathews Bldg, Kensington, NSW 2033, Australia; [McGregor, Shayne] Monash Univ, Sch Earth Atmosphere &amp; Environm, Clayton, Vic 3800, Australia; [van Sebille, Erik] Univ London Imperial Coll Sci Technol &amp; Med, Grantham Inst, London, England; [van Sebille, Erik] Univ London Imperial Coll Sci Technol &amp; Med, Dept Phys, London, England; [Ganachaud, Alexandre] Univ Toulouse, UPS, CNRS, CNES,LEGOS,IRD, Toulouse, France; [Brown, Jaclyn N.] CSIRO, Hobart, Tas, Australia</t>
  </si>
  <si>
    <t>University of New South Wales Sydney; University of New South Wales Sydney; Monash University; Imperial College London; Imperial College London; Universite de Toulouse; Universite Toulouse III - Paul Sabatier; Centre National de la Recherche Scientifique (CNRS); Institut de Recherche pour le Developpement (IRD); Laboratoire d'Etudes en Geophysique et oceanographie spatiales; Commonwealth Scientific &amp; Industrial Research Organisation (CSIRO)</t>
  </si>
  <si>
    <t>Sen Gupta, A (corresponding author), Univ New S Wales, Climate Change Res Ctr, POB 1, Kensington, NSW 2033, Australia.;Sen Gupta, A (corresponding author), Univ New S Wales, Australian Res Council ARC, Ctr Excellence Climate Syst Sci, Mathews Bldg, Kensington, NSW 2033, Australia.</t>
  </si>
  <si>
    <t>a.sengupta@unsw.edu.au</t>
  </si>
  <si>
    <t>Santoso, Agus/J-7350-2012; van Sebille, Erik/F-6781-2010; Santoso, Agus/P-1918-2019; Ganachaud, Alexandre/B-7556-2013; McGregor, Shayne/A-9059-2013; Sen Gupta, Alexander/B-7995-2011</t>
  </si>
  <si>
    <t>Santoso, Agus/0000-0001-7749-8124; Ganachaud, Alexandre/0000-0002-9709-1396; McGregor, Shayne/0000-0003-3222-7042; van Sebille, Erik/0000-0003-2041-0704; Sen Gupta, Alexander/0000-0001-5226-871X</t>
  </si>
  <si>
    <t>Australian Research Council (ARC) [DE130101336, DE130100663]; ARC Centre of Excellence in Climate System Science; NCI National Facility, Canberra; Australian Research Council [DE130100663] Funding Source: Australian Research Council</t>
  </si>
  <si>
    <t>Australian Research Council (ARC)(Australian Research Council); ARC Centre of Excellence in Climate System Science(Australian Research Council); NCI National Facility, Canberra; Australian Research Council(Australian Research Council)</t>
  </si>
  <si>
    <t>For their roles in producing, coordinating, and making available CMIP5 model output, we acknowledge the climate modeling groups (Table S1), the World Climate Research Programme's Working Group on Coupled Modelling and the Global Organization for Earth System Science Portals. This work was supported by the Australian Research Council (ARC) including the ARC Centre of Excellence in Climate System Science and the NCI National Facility, Canberra. E.v.S. was supported by the ARC under grant DE130101336. S. M. was supported by the ARC under grant DE130100663. We would also like to thank the two anonymous reviewers for their useful feedback.</t>
  </si>
  <si>
    <t>10.1002/2016GL067757</t>
  </si>
  <si>
    <t>WOS:000373109000034</t>
  </si>
  <si>
    <t>Pautet, PD; Taylor, MJ; Fritts, DC; Bossert, K; Williams, BP; Broutman, D; Ma, J; Eckermann, SD; Doyle, JD</t>
  </si>
  <si>
    <t>Pautet, P. -D.; Taylor, M. J.; Fritts, D. C.; Bossert, K.; Williams, B. P.; Broutman, D.; Ma, J.; Eckermann, S. D.; Doyle, J. D.</t>
  </si>
  <si>
    <t>Large-amplitude mesospheric response to an orographic wave generated over the Southern Ocean Auckland Islands (50.7°S) during the DEEPWAVE project</t>
  </si>
  <si>
    <t>mesospheric gravity waves; orographic source</t>
  </si>
  <si>
    <t>ATMOSPHERIC GRAVITY-WAVES; STARFIRE OPTICAL-RANGE; MOMENTUM FLUX; OH AIRGLOW; SATELLITE-OBSERVATIONS; MESOSCALE VARIABILITY; LOWER STRATOSPHERE; JET-STREAM; THUNDERSTORM; CONVECTION</t>
  </si>
  <si>
    <t>The Deep Propagating Gravity Wave Experiment (DEEPWAVE) project was conducted over New Zealand and the surrounding regions during June and July 2014, to more fully understand the generation, propagation, and effects of atmospheric gravity waves. A large suite of instruments collected data from the ground to the upper atmosphere (similar to 100km), with several new remote-sensing instruments operating on board the NSF Gulfstream V (GV) research aircraft, which was the central measurement platform of the project. On 14 July, during one of the research flights (research flight 23), a spectacular event was observed as the GV flew in the lee of the sub-Antarctic Auckland Islands (50.7 degrees S). An apparent ship wave pattern was imaged in the OH layer (at similar to 83.5km) by the Utah State University Advanced Mesospheric Temperature Mapper and evolved significantly over four successive passes spanning more than 4h. The waves were associated with orographic forcing generated by relatively strong (15-20m/s) near-surface wind flowing over the rugged island topography. The mountain wave had an amplitude T similar to 10K, a dominant horizontal wavelength similar to 40km, achieved a momentum flux exceeding 300m(2)s(-2), and eventually exhibited instability and breaking at the OH altitude. This case of deep mountain wave propagation demonstrates the potential for strong responses in the mesosphere arising from a small source under suitable propagation conditions and suggests that such cases may be more common than previously believed.</t>
  </si>
  <si>
    <t>[Pautet, P. -D.; Taylor, M. J.] Utah State Univ, Ctr Atmospher &amp; Space Sci, Logan, UT 84322 USA; [Fritts, D. C.; Bossert, K.; Williams, B. P.] GATS Inc, Boulder, CO USA; [Broutman, D.; Ma, J.] Computat Phys Inc, Springfield, VA USA; [Eckermann, S. D.] Naval Res Lab, EO Hulburt Ctr Space Res, Washington, DC 20375 USA; [Doyle, J. D.] Naval Res Lab, Monterey, CA USA</t>
  </si>
  <si>
    <t>Utah System of Higher Education; Utah State University; Computational Physics Inc; United States Department of Defense; United States Navy; Naval Research Laboratory; United States Department of Defense; United States Navy; Naval Research Laboratory</t>
  </si>
  <si>
    <t>Pautet, PD (corresponding author), Utah State Univ, Ctr Atmospher &amp; Space Sci, Logan, UT 84322 USA.</t>
  </si>
  <si>
    <t>dominiquepautet@gmail.com</t>
  </si>
  <si>
    <t>Pautet, Pierre-Dominique/HRC-1681-2023</t>
  </si>
  <si>
    <t>Pautet, Pierre-Dominique/0000-0001-9452-7337; Eckermann, Stephen/0000-0002-8534-1909; Bossert, Katrina/0000-0002-7076-0449</t>
  </si>
  <si>
    <t>NSF [AGS-1061892, AGS-1261619, AGS-1338666, AGS-1338646, AGS-1338557]; NRL [PE0601153N]; Div Atmospheric &amp; Geospace Sciences; Directorate For Geosciences [1338646, 1338557] Funding Source: National Science Foundation</t>
  </si>
  <si>
    <t>NSF(National Science Foundation (NSF)); NRL; Div Atmospheric &amp; Geospace Sciences; Directorate For Geosciences(National Science Foundation (NSF)NSF - Directorate for Geosciences (GEO))</t>
  </si>
  <si>
    <t>The development of the upper atmosphere instruments used on board the GV aircraft was funded by the NSF grants AGS-1061892 (USU) and AGS-1261619 (GATS). The DEEPWAVE campaign was sponsored by the NSF grants AGS-1338666 (USU), AGS-1338646 (GATS), and AGS-1338557 (CPI). The NRL investigators are supported by the Chief of Naval Research through the NRL base program PE0601153N. The authors would like to thank R. Esplin and D. McLain, from the Space Dynamics Laboratory, as well as W.R. Pendleton Jr. Without their work the AMTM would not be such a high-quality instrument. They also would like to thank the NCAR/EOL personnel for their tremendous contribution and the U.S. Antarctic Program for allowing us to operate the field campaign from their offices in Christchurch.</t>
  </si>
  <si>
    <t>FEB 27</t>
  </si>
  <si>
    <t>10.1002/2015JD024336</t>
  </si>
  <si>
    <t>DH7MK</t>
  </si>
  <si>
    <t>WOS:000372977900003</t>
  </si>
  <si>
    <t>Yan, Q; Zhang, ZS; Wang, HJ</t>
  </si>
  <si>
    <t>Yan, Qing; Zhang, Zhongshi; Wang, Huijun</t>
  </si>
  <si>
    <t>Investigating uncertainty in the simulation of the Antarctic ice sheet during the mid-Piacenzian</t>
  </si>
  <si>
    <t>Antarctic Ice Sheet; mid-Piacenzian; sea level rise</t>
  </si>
  <si>
    <t>PLIOCENE SEA-LEVEL; MODEL PISM-PIK; SURFACE; SENSITIVITY; OCEAN; VARIABILITY; RETREAT; SHELF; TEMPERATURE; EUSTASY</t>
  </si>
  <si>
    <t>The mid-Piacenzian (similar to 3Ma) represents the most recent warm period in Earth's history on a geological time scale; it is characterized by a significant rise of global sea level. The simulation of the size and location of the ice sheets and the investigation of the uncertainty in the simulations are potentially helpful for constraining reconstructed sea level changes. In this study, we focus on the behavior of the Antarctic ice sheet (AIS) in the mid-Piacenzian. We investigate the influence of topography correction, model parameters, climate forcings, and model resolution on the modeled AIS and explore the isolated role of atmospheric and oceanic forcings. Forced by the simulated climate changes with the Norwegian Earth System Model, the Parallel Ice Sheet Model (15kmx15km) produces a nearly collapsed West AIS (WAIS) in the mid-Piacenzian, with no significant retreat of the East AIS (EAIS). The role of increased air temperature plays a key role in the mass loss of the mid-Piacenzian AIS, while its role is comparable to the role of ocean warming on the melting of the WAIS. In terms of the range of sea level changes, the largest source of uncertainty in the modeled AIS is derived from ice sheet model parameters and climate forcings. Although the employed model parameters, topography correction factors, and model resolution affect the simulated AIS in the mid-Piacenzian, large-scale deglaciation of the EAIS in our sensitivity experiments may only be possible with additional warming.</t>
  </si>
  <si>
    <t>[Yan, Qing; Zhang, Zhongshi; Wang, Huijun] Chinese Acad Sci, Inst Atmospher Phys, Nansen Zhu Int Res Ctr, Beijing, Peoples R China; [Zhang, Zhongshi] Bjerknes Ctr Climate Res, Uni Res, Bergen, Norway; [Wang, Huijun] Chinese Acad Sci, Climate Change Res Ctr, Beijing, Peoples R China</t>
  </si>
  <si>
    <t>Chinese Academy of Sciences; Institute of Atmospheric Physics, CAS; Bjerknes Centre for Climate Research; Chinese Academy of Sciences</t>
  </si>
  <si>
    <t>Yan, Q (corresponding author), Chinese Acad Sci, Inst Atmospher Phys, Nansen Zhu Int Res Ctr, Beijing, Peoples R China.</t>
  </si>
  <si>
    <t>yanqing@mail.iap.ac.cn</t>
  </si>
  <si>
    <t>zhang, zhi/HPH-4905-2023; Yan, Qing/K-4625-2019; Zhang, zs/GXN-3521-2022; Zhang, Zhongshi/ADE-5510-2022; Wang, Hui/HMU-9512-2023</t>
  </si>
  <si>
    <t>Yan, Qing/0000-0001-5299-7824; Zhang, Zhongshi/0000-0002-2354-1622;</t>
  </si>
  <si>
    <t>National Natural Science Foundation of China [41402158, 41472160, 41305073]</t>
  </si>
  <si>
    <t>National Natural Science Foundation of China(National Natural Science Foundation of China (NSFC))</t>
  </si>
  <si>
    <t>We thank the PISM teams for providing the ice sheet model and for their help on using it. We thank Emma Stone for her help on the LHS. We thank Aisling Dolan and an anonymous reviewer for the constructive suggestions. This work is supported by the National Natural Science Foundation of China (41402158, 41472160, and 41305073). The PRISM3 boundary conditions for climate model can be downloaded from the website (http://geology.er.usgs.gov/egpsc/prism/prism_1.23/prism_pliomip_data.html). The ice sheet modeling data for the paper are available at NZC supercomputer center, Beijing (China). For data requests, please contact the corresponding author.</t>
  </si>
  <si>
    <t>10.1002/2015JD023900</t>
  </si>
  <si>
    <t>WOS:000372977900011</t>
  </si>
  <si>
    <t>Le, T; Sjolte, J; Muscheler, R</t>
  </si>
  <si>
    <t>Thanh Le; Sjolte, Jesper; Muscheler, Raimund</t>
  </si>
  <si>
    <t>The influence of external forcing on subdecadal variability of regional surface temperature in CMIP5 simulations of the last millennium</t>
  </si>
  <si>
    <t>solar forcing; volcanic forcing; greenhouse gases radiative forcing; last millennium; Granger causality; near-surface air temperature</t>
  </si>
  <si>
    <t>ATLANTIC-OCEAN; IBERIAN PENINSULA; PMIP SIMULATIONS; HEAT-FLUX; SEA-ICE; CLIMATE; SOLAR; RECONSTRUCTIONS; ATTRIBUTION; CAUSALITY</t>
  </si>
  <si>
    <t>We use Granger causality to investigate the influences of external forcings on subdecadal variability of regional near-surface air temperature (SAT) in past millennium simulations (period 850-1850A.D.) of the Coupled Model Intercomparison Project Phase 5 (CMIP5) models. Our results strengthen the conclusion for robust influence of volcanic forcing on SAT during preindustrial times of the last millennium. The SAT response to solar variations is detected in tropical and subtropical regions. In other regions, this response is weak. The impact of greenhouse gases (GHGs) radiative forcing to regional SAT is weak and uncertain. This is most probably due to the low amplitude of the variations in GHGs and hence weak GHGs forcing during the preindustrial millennium. The low agreement between models in simulating the impacts of solar variations on SAT in several regions suggests the different dynamical responses in these models, possibly associated with inaccurate parameterization of the processes related to solar forcing. Our analysis suggests that internal climate variability played a more significant role than external forcings in short-term SAT variability in the regions of the North Atlantic, the North Pacific, the Arctic, the Antarctic Peninsula, and its surrounding oceans. The possibility of long-term impacts of external forcings on SAT and the uncertainties that might be contained due to effects of internal climate modes other than El Nino-Southern Oscillation underscore the necessity for a more detailed understanding of the dynamical response of SAT to external forcings.</t>
  </si>
  <si>
    <t>[Thanh Le; Sjolte, Jesper; Muscheler, Raimund] Lund Univ, Dept Geol Quaternary Sci, Lund, Sweden</t>
  </si>
  <si>
    <t>Lund University</t>
  </si>
  <si>
    <t>Le, T (corresponding author), Lund Univ, Dept Geol Quaternary Sci, Lund, Sweden.</t>
  </si>
  <si>
    <t>thanh.Le@geol.lu.se</t>
  </si>
  <si>
    <t>Le, Thanh/AAC-6732-2019; Sjolte, Jesper/N-7833-2019; Sjolte, Jesper/O-2942-2016</t>
  </si>
  <si>
    <t>Le, Thanh/0000-0001-5809-2751; Sjolte, Jesper/0000-0003-0870-5331; Sjolte, Jesper/0000-0003-0870-5331; Muscheler, Raimund/0000-0003-2772-3631</t>
  </si>
  <si>
    <t>strategic research program of ModEling the Regional and Global Earth system-MERGE; Fysiografiska Sallskapet i Lund (Physiographic Society in Lund)</t>
  </si>
  <si>
    <t>The authors thank the two anonymous reviewers for their constructive criticism and helpful comments. We acknowledge the World Climate Research Programme's Working Group on Coupled Modeling, which is responsible for CMIP, and we thank the climate modeling groups (listed in Table 1 of this paper) for producing and making available their model output. For CMIP the U.S. Department of Energy's Program for Climate Model Diagnosis and Intercomparison provided coordinating support and led the development of software infrastructure in partnership with the Global Organization for Earth System Science Portals. We thank Florian Adolphi for providing the Matlab code of spectral analysis. The research work reported herein was sponsored by a grant from the strategic research program of ModEling the Regional and Global Earth system-MERGE-hosted by the Faculty of Science at Lund University. We thank the Fysiografiska Sallskapet i Lund (Physiographic Society in Lund) for financial support.</t>
  </si>
  <si>
    <t>10.1002/2015JD024423</t>
  </si>
  <si>
    <t>WOS:000372977900019</t>
  </si>
  <si>
    <t>Aydin, M; Campbell, JE; Fudge, TJ; Cuffey, KM; Nicewonger, MR; Verhulst, KR; Saltzman, ES</t>
  </si>
  <si>
    <t>Aydin, M.; Campbell, J. E.; Fudge, T. J.; Cuffey, K. M.; Nicewonger, M. R.; Verhulst, K. R.; Saltzman, E. S.</t>
  </si>
  <si>
    <t>Changes in atmospheric carbonyl sulfide over the last 54,000years inferred from measurements in Antarctic ice cores</t>
  </si>
  <si>
    <t>carbonyl sulfide; COS; ice cores; ice core gas records; gross primary productivity</t>
  </si>
  <si>
    <t>CYCLE CHANGES; GAS-EXCHANGE; CO2; HOLOCENE; RECORD; SYNCHRONIZATION; CONSTRAINTS; CIRCULATION; METHANE; MODEL</t>
  </si>
  <si>
    <t>We measured carbonyl sulfide (COS) in air extracted from ice core samples from the West Antarctic Ice Sheet (WAIS) Divide, Antarctica, with the deepest sample dated to 54,300years before present. These are the first ice core COS measurements spanning the Last Glacial Maximum (LGM), the last glacial/interglacial transition, and the early Holocene. The WAIS Divide measurements from the LGM and the last transition are the first COS measurements in air extracted from full clathrate (bubble-free) ice. This study also includes new COS measurements from Taylor Dome, Antarctica, including some in bubbly glacial ice that are concurrent with the WAIS Divide data from clathrate glacial ice. COS hydrolyzes in ice core air bubbles, and the recovery of an atmospheric record requires correcting for this loss. The data presented here suggest that the in situ hydrolysis of COS is significantly slower in clathrate ice than in bubbly ice. The clathrate ice measurements are corrected for the hydrolysis loss during the time spent as bubbly ice only. The corrected WAIS Divide record indicates that atmospheric COS was 250-300parts per trillion (ppt) during the LGM and declined by 80-100ppt during the last glacial/interglacial transition to a minimum of 160-210ppt at the beginning of the Holocene. This decline was likely caused by an increase in the gross primary productivity of terrestrial plants, with a possible contribution from a reduction in ocean sources. COS levels were above 300ppt in the late Holocene, indicating that large changes in the COS biogeochemical cycle occurred during the Holocene.</t>
  </si>
  <si>
    <t>[Aydin, M.; Nicewonger, M. R.; Verhulst, K. R.; Saltzman, E. S.] Univ Calif Irvine, Dept Earth Syst Sci, Irvine, CA USA; [Campbell, J. E.] Univ Calif, Environm Engn, Merced, CA USA; [Fudge, T. J.] Univ Washington, Dept Earth &amp; Space Sci, Seattle, WA 98195 USA; [Cuffey, K. M.] Univ Calif Berkeley, Dept Geol, Berkeley, CA 94720 USA; [Verhulst, K. R.] CALTECH, Jet Prop Lab, Pasadena, CA USA</t>
  </si>
  <si>
    <t>University of California System; University of California Irvine; University of California System; University of California Merced; University of Washington; University of Washington Seattle; University of California System; University of California Berkeley; California Institute of Technology; National Aeronautics &amp; Space Administration (NASA); NASA Jet Propulsion Laboratory (JPL)</t>
  </si>
  <si>
    <t>Aydin, M (corresponding author), Univ Calif Irvine, Dept Earth Syst Sci, Irvine, CA USA.</t>
  </si>
  <si>
    <t>maydin@uci.edu</t>
  </si>
  <si>
    <t>Fudge, Tyler/0000-0002-6818-7479; Nicewonger, Melinda/0000-0002-2624-3831</t>
  </si>
  <si>
    <t>NSF Division of Polar Programs [PLR-1043780, PLR-0944197]; NASA; Office of Polar Programs (OPP); Directorate For Geosciences [0944197] Funding Source: National Science Foundation</t>
  </si>
  <si>
    <t>NSF Division of Polar Programs(National Science Foundation (NSF)NSF - Directorate for Geosciences (GEO)); NASA(National Aeronautics &amp; Space Administration (NASA)); Office of Polar Programs (OPP); Directorate For Geosciences(National Science Foundation (NSF)NSF - Directorate for Geosciences (GEO))</t>
  </si>
  <si>
    <t>We thank Gary Clow for borehole temperature measurements at Taylor Dome and WAIS Divide. We thank the scientists, the drillers, and the support personnel that contributed to the realization of the drilling projects at Taylor Dome and WAIS Divide. We thank UCI undergraduates Spencer Hernandez, Tina Ho, Vincent Hong, Mihai Leonte, Nancy Phu, and Michael Mori for their help with ice core gas extraction and analysis. We thank the three anonymous reviewers for their valuable comments. This work was supported by the NSF Division of Polar Programs grant PLR-1043780 for M.A., M.R.N., K.R.V., and E.S.S., and PLR-0944197 for T.J.F. T.J.F. also received support form the NASA Earth and Space Science Fellowship. Data presented in this paper can be accessed via the Antarctic Glaciological Data Center (https://nsidc.org/agdc).</t>
  </si>
  <si>
    <t>10.1002/2015JD024235</t>
  </si>
  <si>
    <t>WOS:000372977900036</t>
  </si>
  <si>
    <t>Bai, KX; Chang, NB; Gao, W</t>
  </si>
  <si>
    <t>Bai, Kaixu; Chang, Ni-Bin; Gao, Wei</t>
  </si>
  <si>
    <t>Quantification of relative contribution of Antarctic ozone depletion to increased austral extratropical precipitation during 1979-2013</t>
  </si>
  <si>
    <t>climate change; precipitation; ozone depletion; pattern recognition</t>
  </si>
  <si>
    <t>EXTREME LEARNING-MACHINE; CLIMATE-CHANGE; RECOVERY; ASSIMILATION; TEMPERATURE; REGRESSION; IMPACT; HOLE</t>
  </si>
  <si>
    <t>Attributing the observed climate changes to relevant forcing factors is critical to predicting future climate change scenarios. Precipitation observations in the Southern Hemisphere indicate an apparent moistening pattern over the extratropics during the time period 1979 to 2013. To investigate the predominant forcing factor in triggering such an observed wetting climate pattern, precipitation responses to four climatic forcing factors, including Antarctic ozone, water vapor, sea surface temperature (SST), and carbon dioxide, were assessed quantitatively in sequence through an inductive approach. Coupled time-space patterns between the observed austral extratropical precipitation and each climatic forcing factor were firstly diagnosed by using the maximum covariance analysis (MCA). With the derived time series from each coupled MCA modes, statistical relationships were established between extratropical precipitation variations and each climatic forcing factor by using the extreme learning machine. Based on these established statistical relationships, sensitivity tests were conducted to estimate precipitation responses to each climatic forcing factor quantitatively. Quantified differential contribution with respect to those climatic forcing factors may explain why the observed austral extratropical moistening pattern is primarily driven by the Antarctic ozone depletion, while mildly modulated by the cooling effect of equatorial Pacific SST and the increased greenhouse gases, respectively.</t>
  </si>
  <si>
    <t>[Bai, Kaixu; Gao, Wei] E China Normal Univ, Minist Educ, Key Lab Geog Informat Sci, Shanghai 200062, Peoples R China; [Bai, Kaixu; Chang, Ni-Bin] Univ Cent Florida, Dept Civil Environm &amp; Construct Engn, Orlando, FL 32816 USA; [Gao, Wei] Colorado State Univ, Nat Resource Ecol Lab, USDA UV B Monitoring &amp; Res Program, Ft Collins, CO 80523 USA; [Gao, Wei] Colorado State Univ, Dept Ecosyst Sci &amp; Sustainabil, Ft Collins, CO 80523 USA</t>
  </si>
  <si>
    <t>East China Normal University; State University System of Florida; University of Central Florida; United States Department of Agriculture (USDA); Colorado State University; Colorado State University</t>
  </si>
  <si>
    <t>Chang, NB (corresponding author), Univ Cent Florida, Dept Civil Environm &amp; Construct Engn, Orlando, FL 32816 USA.</t>
  </si>
  <si>
    <t>nchang@ucf.edu</t>
  </si>
  <si>
    <t>Gao, Wei/HLH-2787-2023; Gao, Wei/GXH-0380-2022</t>
  </si>
  <si>
    <t>Bai, Kaixu/0000-0002-6529-712X</t>
  </si>
  <si>
    <t>Science and Technology Commission of Shanghai Municipality [15dz1207805, 13231203804]; USDA NIFA [2015-34263-24070]; NIFA [810330, 2015-34263-24070] Funding Source: Federal RePORTER</t>
  </si>
  <si>
    <t>Science and Technology Commission of Shanghai Municipality(Science &amp; Technology Commission of Shanghai Municipality (STCSM)); USDA NIFA(United States Department of Agriculture (USDA)); NIFA(United States Department of Agriculture (USDA)National Institute of Food and Agriculture)</t>
  </si>
  <si>
    <t>The GPCP Version 2.2 Combination Data were obtained from the NASA Goddard Space Flight Center, the ERA-Interim Reanalysis data from the ECMWF, and the carbon dioxide data from the NOAA/ESRL. This work was supported by the Science and Technology Commission of Shanghai Municipality (15dz1207805 and 13231203804) and USDA NIFA (2015-34263-24070).</t>
  </si>
  <si>
    <t>10.1002/2015JD024247</t>
  </si>
  <si>
    <t>WOS:000372977900005</t>
  </si>
  <si>
    <t>Deb, P; Orr, A; Hosking, JS; Phillips, T; Turner, J; Bannister, D; Pope, JO; Colwell, S</t>
  </si>
  <si>
    <t>Deb, Pranab; Orr, Andrew; Hosking, J. Scott; Phillips, Tony; Turner, John; Bannister, Daniel; Pope, James O.; Colwell, Steve</t>
  </si>
  <si>
    <t>An assessment of the Polar Weather Research and Forecasting (WRF) model representation of near-surface meteorological variables over West Antarctica</t>
  </si>
  <si>
    <t>West Antarctica; Polar WRF; automatic weather station; validation; sensitivity study; boundary layer scheme</t>
  </si>
  <si>
    <t>ATMOSPHERIC BOUNDARY-LAYER; SEA-ICE; MASS-BALANCE; PART I; CLIMATE; PREDICTION; SUMMER; SIMULATIONS; PERFORMANCE; CHALLENGES</t>
  </si>
  <si>
    <t>Despite the recent significant climatic changes observed over West Antarctica, which include large warming in central West Antarctica and accelerated ice loss, adequate validation of regional simulations of meteorological variables are rare for this region. To address this gap, results from a recent version of the Polar Weather Research and Forecasting model (Polar WRF) covering West Antarctica at a high horizontal resolution of 5km were validated against near-surface meteorological observations. The model employed physics options that included the Mellor-Yamada-Nakanishi-Niino boundary layer scheme, the WRF Single Moment 5-Class cloud microphysics scheme, the new version of the rapid radiative transfer model for both shortwave and longwave radiation, and the Noah land surface model. Our evaluation finds this model to be a useful tool for realistically capturing the near-surface meteorological conditions. It showed high skill in simulating surface pressure (correlation 0.97), good skill for wind speed with better correlation at inland sites (0.7-0.8) compared to coastal sites (0.3-0.6), generally good representation of strong wind events, and good skill for temperature in winter (correlation 0.8). The main shortcomings of this configuration of Polar WRF are an occasional failure to properly represent transient cyclones and their influence on coastal winds, an amplified diurnal temperature cycle in summer, and a general tendency to underestimate the wind speed at inland sites in summer. Additional sensitivity studies were performed to quantify the impact of the choice of boundary layer scheme and surface boundary conditions. It is shown that the model is most sensitive to the choice of boundary layer scheme, with the representation of the temperature diurnal cycle in summer significantly improved by selecting the Mellor-Yamada-Janjic boundary layer scheme. By contrast, the model results showed little sensitivity to whether the horizontal resolution was 5 or 15km.</t>
  </si>
  <si>
    <t>[Deb, Pranab; Orr, Andrew; Hosking, J. Scott; Phillips, Tony; Turner, John; Bannister, Daniel; Pope, James O.; Colwell, Steve] British Antarctic Survey, Cambridge CB3 0ET, England</t>
  </si>
  <si>
    <t>Deb, P (corresponding author), British Antarctic Survey, Cambridge CB3 0ET, England.</t>
  </si>
  <si>
    <t>prab@bas.ac.uk</t>
  </si>
  <si>
    <t>Pope, James/E-9473-2017</t>
  </si>
  <si>
    <t>Pope, James/0000-0001-8945-4209; Bannister, Daniel/0000-0002-2982-3751</t>
  </si>
  <si>
    <t>National Science Foundation (NSF) [ANT-0944018, ANT-1245663]; NSF [ANT-1141908]; Natural Environment Research Council (NERC) [NEB1115]; NERC [NE/K00445X/1, bas0100032] Funding Source: UKRI; Natural Environment Research Council [bas0100032, NE/K00445X/1] Funding Source: researchfish</t>
  </si>
  <si>
    <t>National Science Foundation (NSF)(National Science Foundation (NSF)); NSF(National Science Foundation (NSF)); Natural Environment Research Council (NERC)(UK Research &amp; Innovation (UKRI)Natural Environment Research Council (NERC)); NERC(UK Research &amp; Innovation (UKRI)Natural Environment Research Council (NERC)); Natural Environment Research Council(UK Research &amp; Innovation (UKRI)Natural Environment Research Council (NERC))</t>
  </si>
  <si>
    <t>The authors appreciate the support of the University of Wisconsin-Madison for the data set, data display, and information from the Automatic Weather Station Program (National Science Foundation (NSF) grant numbers ANT-0944018 and ANT-1245663) and the Antarctic Composite Imagery (NSF grant number ANT-1141908). Special thanks are due to Matthew A. Lazzara (Antarctic Meteorological Research Center, University of Wisconsin-Madison). The study was funded by Natural Environment Research Council (NERC) under grant NEB1115. The authors express their sincere appreciation to David B. Reusch (Department of Earth and Environmental Science, New Mexico Technology), Keith Hines and David Bromwich (Byrd Polar Research Centre, Ohio State University), Kevin Manning (National Center for Atmospheric Research, Boulder, Colorado), and Michiel van den Broeke (University of Utrecht) for useful discussions. The authors would like to thank the three anonymous reviewers for their insightful comments which helped to considerably improve this study.</t>
  </si>
  <si>
    <t>10.1002/2015JD024037</t>
  </si>
  <si>
    <t>WOS:000372977900009</t>
  </si>
  <si>
    <t>Steinach, M; Kohlberg, E; Maggioni, MA; Mendt, S; Opatz, O; Stahn, A; Gunga, HC</t>
  </si>
  <si>
    <t>Steinach, Mathias; Kohlberg, Eberhard; Maggioni, Martina Anna; Mendt, Stefan; Opatz, Oliver; Stahn, Alexander; Gunga, Hanns-Christian</t>
  </si>
  <si>
    <t>Sleep Quality Changes during Overwintering at the German Antarctic Stations Neumayer II and III: The Gender Factor</t>
  </si>
  <si>
    <t>SEASONAL AFFECTIVE-DISORDER; RESTING ENERGY-EXPENDITURE; FAT-FREE MASS; PHYSICAL-ACTIVITY; CIRCADIAN PHASE; SENSEWEAR ARMBAND; ACTIVITY MONITORS; BODY-COMPOSITION; SEX-DIFFERENCES; NATURAL LIGHT</t>
  </si>
  <si>
    <t>Purpose Antarctic residence holds many challenges to human physiology, like increased psychosocial tension and altered circadian rhythm, known to influence sleep. We assessed changes in sleep patterns during 13 months of overwintering at the German Stations Neumayer II and III from 2008 to 2014, with focus on gender, as many previous investigations were inconclusive regarding gender-based differences or had only included men. Materials &amp; Methods Time in bed, sleep time, sleep efficiency, number of arousals, sleep latency, sleep onset, sleep offset, and physical activity level were determined twice per month during seven overwintering campaigns of n = 54 participants (37 male, 17 female) using actimetry. Data were analyzed using polynomial regression and analysis of covariance for change over time with the covariates gender, inhabited station, overwintering season and influence of physical activity and local sunshine radiation. Results We found overall longer times in bed (p = 0.004) and sleep time (p = 0.014) for women. The covariate gender had a significant influence on time in bed (p&lt;0.001), sleep time (p&lt;0.001), number of arousals (p = 0.04), sleep latency (p = 0.04), and sleep onset (p&lt;0.001). Women separately (p = 0.02), but not men (p = 0.165), showed a linear increase in number of arousals. Physical activity decreased over overwintering time for men (p = 0.003), but not for women (p = 0.174). The decline in local sunshine radiation led to a 48 minutes longer time in bed (p&lt;0.001), 3.8% lower sleep efficiency (p&lt;0.001), a delay of 32 minutes in sleep onset (p&lt;0.001), a delay of 54 minutes in sleep offset (p&lt;0.001), and 11% less daily energy expenditure (p&lt;0.001), for all participants in reaction to the Antarctic winter's darkness-phase. Conclusions Overwinterings at the Stations Neumayer II and III are associated with significant changes in sleep patterns, with dependences from overwintering time and local sunshine radiation. Gender appears to be an influence, as women showed a declining sleep quality, despite that their physical activity remained unchanged, suggesting other causes such as a higher susceptibility to psycho-social stress and changes in environmental circadian rhythm during long-term isolation in Antarctica.</t>
  </si>
  <si>
    <t>[Steinach, Mathias; Maggioni, Martina Anna; Mendt, Stefan; Opatz, Oliver; Stahn, Alexander; Gunga, Hanns-Christian] Charite, Ctr Space Med &amp; Extreme Environm Berlin, Inst Physiol, D-13353 Berlin, Germany; [Kohlberg, Eberhard] Alfred Wegener Inst Polar &amp; Marine Res, Bremerhaven, Germany; [Maggioni, Martina Anna] Univ Milan, Dept Biomed Sci Hlth, Milan, Italy</t>
  </si>
  <si>
    <t>Free University of Berlin; Humboldt University of Berlin; Charite Universitatsmedizin Berlin; Helmholtz Association; Alfred Wegener Institute, Helmholtz Centre for Polar &amp; Marine Research; University of Milan</t>
  </si>
  <si>
    <t>Steinach, M (corresponding author), Charite, Ctr Space Med &amp; Extreme Environm Berlin, Inst Physiol, D-13353 Berlin, Germany.</t>
  </si>
  <si>
    <t>mathias.steinach@charite.de</t>
  </si>
  <si>
    <t>Maggioni, Martina Anna/P-1351-2019; Stahn, Alexander/HJI-0059-2023</t>
  </si>
  <si>
    <t>Maggioni, Martina Anna/0000-0002-6319-8566; Stahn, Alexander/0000-0002-4030-4944; Mendt, Stefan/0000-0001-8227-9655</t>
  </si>
  <si>
    <t>Federal Ministry for Economic Affairs and Energy (BMWi, Berlin); German Space Administration (Raumfahrtmanagement DLR, Bonn-Oberkassel); German Aerospace Center (Deutsches Zentrum fur Luft- und Raumfahrt DLR, Cologne) [AZ50WB0724, AZ50WB1030, AZ50WB1330]</t>
  </si>
  <si>
    <t>Federal Ministry for Economic Affairs and Energy (BMWi, Berlin); German Space Administration (Raumfahrtmanagement DLR, Bonn-Oberkassel); German Aerospace Center (Deutsches Zentrum fur Luft- und Raumfahrt DLR, Cologne)</t>
  </si>
  <si>
    <t>All Grants received by the Federal Ministry for Economic Affairs and Energy (BMWi, Berlin, website: http://www.bmwi.de/en); German Space Administration (Raumfahrtmanagement DLR, Bonn-Oberkassel, website: http://www.dlr.de/rd/en); German Aerospace Center (Deutsches Zentrum fur Luft- und Raumfahrt DLR, Cologne, website: http://www.dlr.de/dlr/en) [Grant numbers: Aktenzeichen 50 Forschung unter Weltraumbedingungen 0724 (AZ50WB0724), Aktenzeichen 50 Forschung unter Weltraumbedingungen 1030 (AZ50WB1030), Aktenzeichen 50 Forschung unter Weltraumbedingungen 1330 (AZ50WB1330) (to HCG)]. The funders had no role in study design, data collection and analysis, decision to publish, or preparation of the manuscript.</t>
  </si>
  <si>
    <t>FEB 26</t>
  </si>
  <si>
    <t>e0150099</t>
  </si>
  <si>
    <t>10.1371/journal.pone.0150099</t>
  </si>
  <si>
    <t>DF3UU</t>
  </si>
  <si>
    <t>WOS:000371274400086</t>
  </si>
  <si>
    <t>Zhang, T; Wang, NF; Liu, HY; Zhang, YQ; Yu, LY</t>
  </si>
  <si>
    <t>Zhang, Tao; Wang, Neng-Fei; Liu, Hong-Yu; Zhang, Yu-Qin; Yu, Li-Yan</t>
  </si>
  <si>
    <t>Soil pH is a Key Determinant of Soil Fungal Community Composition in the Ny-Alesund Region, Svalbard (High Arctic)</t>
  </si>
  <si>
    <t>soil fungi; fungal community composition; arctic tundra; soil properties; high-throughput sequencing</t>
  </si>
  <si>
    <t>DIVERSITY; HELOTIALES; VEGETATION; ALPINE</t>
  </si>
  <si>
    <t>This study assessed the fungal community composition and its relationships with properties of surface soils in the Ny-Alesund Region (Svalbard, High Arctic). A total of thirteen soil samples were collected and soil fungal community was analyzed by 454 pyrosequencing with fungi specific primers targeting the rDNA internal transcribed spacer (ITS) region. The following eight soil properties were analyzed: pH, organic carbon (C), organic nitrogen (N), ammonium nitrogen (NH4+-N), silicate silicon (SiO42--Si), nitrite nitrogen (NO2- -N), phosphate phosphorus (PO43- -P), and nitrate nitrogen (NO3--N). A total of 57,952 reads belonging to 541 operational taxonomic units (OTUs) were found, of these OTUs, 343 belonged to Ascomycota, 100 to Basidiomycota, 31 to Chytridiomycota, 22 to Glomeromycota, 11 to Zygomycota, 10 to Rozellomycota, whereas 24 belonged to unknown fungi. The dominant orders were Helotiales, Verrucariales, Agaricales, Lecanorales, Chaetothyriales, Lecideales, and Capnodiales. The common genera (&gt; eight soil samples) were Tetracladium, Mortierella, Fusarium, Cortinarius, and Atla. Distance-based redundancy analysis (db-rda) and analysis of similarities (ANOSIM) revealed that soil pH (p = 0.001) was the most significant factor in determining the soil fungal community composition. Members of Verrucariales were found to predominate in soils of pH 8-9, whereas Sordariales predominated in soils of pH 7-8 and Coniochaetales predominated in soils of pH 6-7. The results suggest the presence and distribution of diverse soil fungal communities in the High Arctic, which can provide reliable data for studying the ecological responses of soil fungal communities to climate changes in the Arctic.</t>
  </si>
  <si>
    <t>[Zhang, Tao; Liu, Hong-Yu; Zhang, Yu-Qin; Yu, Li-Yan] Chinese Acad Med Sci, Inst Med Biotechnol, China Pharmaceut Culture Collect, Beijing 100730, Peoples R China; [Zhang, Tao; Liu, Hong-Yu; Zhang, Yu-Qin; Yu, Li-Yan] Peking Union Med Coll, Beijing 100021, Peoples R China; [Wang, Neng-Fei] State Ocean Adm, Inst Oceanog 1, Key Lab Marine Bioact Subst, Qingdao, Peoples R China</t>
  </si>
  <si>
    <t>Yu, LY (corresponding author), Chinese Acad Med Sci, Inst Med Biotechnol, China Pharmaceut Culture Collect, Beijing 100730, Peoples R China.;Yu, LY (corresponding author), Peking Union Med Coll, Beijing 100021, Peoples R China.</t>
  </si>
  <si>
    <t>huang, libo/JMB-4345-2023; Zhang, Yu-Qin/AEH-7339-2022; yu, liyan/GYD-2950-2022</t>
  </si>
  <si>
    <t>National Infrastructure of Microbial Resources [NIMR-2015-3]; National Natural Science Foundation of China (NSFC) [31170041, 81321004, 31300115]; Polar Strategic Research Foundation of China [20120302]; 863 Program [2014AA021504]; Projects of the Chinese Arctic and Antarctic Administration; State Oceanic Administration [2013YR06006, 2013YR05005]; Xiehe Scholar</t>
  </si>
  <si>
    <t>National Infrastructure of Microbial Resources; National Natural Science Foundation of China (NSFC)(National Natural Science Foundation of China (NSFC)); Polar Strategic Research Foundation of China; 863 Program(National High Technology Research and Development Program of China); Projects of the Chinese Arctic and Antarctic Administration; State Oceanic Administration; Xiehe Scholar</t>
  </si>
  <si>
    <t>This research was supported by the National Infrastructure of Microbial Resources (No.NIMR-2015-3), the National Natural Science Foundation of China (NSFC) (Nos. 31170041, 81321004, and 31300115), the Polar Strategic Research Foundation of China (No. 20120302), 863 Program (No. 2014AA021504), Projects of the Chinese Arctic and Antarctic Administration, State Oceanic Administration (Nos. 2013YR06006 and 2013YR05005). LY is supported by Xiehe Scholar.</t>
  </si>
  <si>
    <t>10.3389/fmicb.2016.00227</t>
  </si>
  <si>
    <t>DE8FX</t>
  </si>
  <si>
    <t>WOS:000370872300001</t>
  </si>
  <si>
    <t>Srivastava, RK; Melluso, L; Sinha, AK</t>
  </si>
  <si>
    <t>Srivastava, Rajesh K.; Melluso, Leone; Sinha, Anup K.</t>
  </si>
  <si>
    <t>Petrogenesis of an early Cretaceous potassic lamprophyre dyke from Rongjeng, East Garo Hills, Shillong plateau, north-eastern India</t>
  </si>
  <si>
    <t>CURRENT SCIENCE</t>
  </si>
  <si>
    <t>Geochemistry; lithospheric alkaline magmatism; mantle heterogeneity; petrogenesis; potassic lamprophyre</t>
  </si>
  <si>
    <t>MAHAKOSHAL SUPRACRUSTAL BELT; ALKALINE-CARBONATITE COMPLEX; ULTRAMAFIC LAMPROPHYRES; NORTHEASTERN INDIA; SUNG VALLEY; IGNEOUS ROCKS; CLASSIFICATION; GEOCHEMISTRY; MAGMATISM; MEGHALAYA</t>
  </si>
  <si>
    <t>An early Cretaceous potassic lamprophyre dyke, exposed near Rongjeng, East Garo Hills, Shillong plateau, north-eastern India, is a highly porphyritic rock with large phenocrysts of clinopyroxene, phlogopite, amphibole and olivine. Reversely zoned phlogopite and clinopyroxene grains indicate that some degree of interaction between magma batches of variable composition took place somewhere during the crystallization of the lamprophyre. Mineral compositions indicate its derivation from an alkaline magma comparable with those that filled the nearby Jasra potassic intrusion. Moreover, the geochemistry of the Rongjeng lamprophyre is distinctly different from that of the Damodar Valley lamproites, the Sung Valley carbonatitic-ijolitic intrusion, and the Antarctic ultramafic lamprophyres. The contrasting geochemical affinity is suggestive of heterogenous lithospheric mantle sources, rather than input of plume-related magmatism.</t>
  </si>
  <si>
    <t>[Srivastava, Rajesh K.] Banaras Hindu Univ, Dept Geol, Ctr Adv Study, Varanasi 221005, Uttar Pradesh, India; [Melluso, Leone] Univ Naples Federico II, Dipartimento Sci Terra Ambiente &amp; Risorse, I-80134 Naples, Italy; [Sinha, Anup K.] Indian Inst Geomagnetism, Dr KS Krishnan Geomagnet Res Lab, Allahabad 211505, Uttar Pradesh, India</t>
  </si>
  <si>
    <t>Banaras Hindu University (BHU); University of Naples Federico II; Department of Science &amp; Technology (India); Indian Institute of Geomagnetism (IIG)</t>
  </si>
  <si>
    <t>Srivastava, RK (corresponding author), Banaras Hindu Univ, Dept Geol, Ctr Adv Study, Varanasi 221005, Uttar Pradesh, India.</t>
  </si>
  <si>
    <t>rajeshgeolbhu@gmail.com</t>
  </si>
  <si>
    <t>MIUR [COFIN 20107ESMX9-001]; CSIR, New Delhi [24(0251)/01/EMR-II]</t>
  </si>
  <si>
    <t>MIUR(Ministry of Education, Universities and Research (MIUR)); CSIR, New Delhi(Council of Scientific &amp; Industrial Research (CSIR) - India)</t>
  </si>
  <si>
    <t>We thank Roberto de' Gennaro for his assistance in the microprobe work and Sergio Bravi for performing thin sections. This work has been partially supported by MIUR (COFIN 20107ESMX9-001) grants to L. Melluso and CSIR, New Delhi (Scheme No. 24(0251)/01/EMR-II) grants to R.K.S. We also thank N. V. Chalapathi Rao and an anonymous reviewer for their useful comments.</t>
  </si>
  <si>
    <t>0011-3891</t>
  </si>
  <si>
    <t>CURR SCI INDIA</t>
  </si>
  <si>
    <t>Curr. Sci.</t>
  </si>
  <si>
    <t>FEB 25</t>
  </si>
  <si>
    <t>10.18520/cs/v110/i4/649-658</t>
  </si>
  <si>
    <t>DE2XO</t>
  </si>
  <si>
    <t>WOS:000370491500037</t>
  </si>
  <si>
    <t>Sumida, PYG; Alfaro-Lucas, JM; Shimabukuro, M; Kitazato, H; Perez, JAA; Soares-Gomes, A; Toyofuku, T; Lima, AOS; Ara, K; Fujiwara, Y</t>
  </si>
  <si>
    <t>Sumida, Paulo Y. G.; Alfaro-Lucas, Joan M.; Shimabukuro, Mauricio; Kitazato, Hiroshi; Perez, Jose A. A.; Soares-Gomes, Abilio; Toyofuku, Takashi; Lima, Andre O. S.; Ara, Koichi; Fujiwara, Yoshihiro</t>
  </si>
  <si>
    <t>Deep-sea whale fall fauna from the Atlantic resembles that of the Pacific Ocean</t>
  </si>
  <si>
    <t>MONTEREY CANYON; SEEP; ECOLOGY; VENT; POLYCHAETA; EVOLUTION; OSEDAX; WATER; SEDIMENTS; ANNELIDA</t>
  </si>
  <si>
    <t>Whale carcasses create remarkable habitats in the deep-sea by producing concentrated sources of organic matter for a food-deprived biota as well as places of evolutionary novelty and biodiversity. Although many of the faunal patterns on whale falls have already been described, the biogeography of these communities is still poorly known especially from basins other than the NE Pacific Ocean. The present work describes the community composition of the deepest natural whale carcass described to date found at 4204 m depth on Southwest Atlantic Ocean with manned submersible Shinkai 6500. This is the first record of a natural whale fall in the deep Atlantic Ocean. The skeleton belonged to an Antarctic Minke whale composed of only nine caudal vertebrae, whose degradation state suggests it was on the bottom for 5-10 years. The fauna consisted mainly of galatheid crabs, a new species of the snail Rubyspira and polychaete worms, including a new Osedax species. Most of the 41 species found in the carcass are new to science, with several genera shared with NE Pacific whale falls and vent and seep ecosystems. This similarity suggests the whale-fall fauna is widespread and has dispersed in a stepping stone fashion, deeply influencing its evolutionary history.</t>
  </si>
  <si>
    <t>[Sumida, Paulo Y. G.; Alfaro-Lucas, Joan M.; Shimabukuro, Mauricio] Univ Sao Paulo, Inst Oceanog, Praca Oceanog 191, BR-05508120 Sao Paulo, SP, Brazil; [Kitazato, Hiroshi; Toyofuku, Takashi; Fujiwara, Yoshihiro] Japan Agcy Marine Earth Sci &amp; Technol JAMSTEC, 2-15 Natsushima Cho, Yokosuka, Kanagawa 2370061, Japan; [Perez, Jose A. A.; Lima, Andre O. S.] Univ Vale Itajai, Ctr Ciencias Tecnol Terra &amp; Mar CTTMAR, Rua Uruguai 458,POB 360, BR-88302202 Itajai, SC, Brazil; [Soares-Gomes, Abilio] Univ Fed Fluminense, Dept Ecol Marinha, POB 100-644, BR-24001970 Niteroi, RJ, Brazil; [Ara, Koichi] Nihon Univ, Coll Bioresource Sci, Kameino 1866, Fujisawa, Kanagawa 2520880, Japan</t>
  </si>
  <si>
    <t>Universidade de Sao Paulo; Japan Agency for Marine-Earth Science &amp; Technology (JAMSTEC); Universidade do Vale do Itajai; Universidade Federal Fluminense; Nihon University</t>
  </si>
  <si>
    <t>Sumida, PYG (corresponding author), Univ Sao Paulo, Inst Oceanog, Praca Oceanog 191, BR-05508120 Sao Paulo, SP, Brazil.</t>
  </si>
  <si>
    <t>psumida@usp.br</t>
  </si>
  <si>
    <t>Fapesp, Biota/F-8655-2017; Lucas, Joan Manel Alfaro/AAR-4205-2021; Sumida, Paulo Y G/F-2561-2011; Shimabukuro, Maurício/O-3014-2016; Takashi, Toyofuku/E-4441-2011; rodrigues, andre/JWP-8432-2024; Lima, Andre/J-3626-2014</t>
  </si>
  <si>
    <t>Fapesp, Biota/0000-0002-9887-8449; Lucas, Joan Manel Alfaro/0000-0001-5725-3218; Sumida, Paulo Y G/0000-0001-7549-4541; Shimabukuro, Maurício/0000-0002-1572-8542; Takashi, Toyofuku/0000-0001-8095-6077; Alvarez Perez, Jose Angel/0000-0001-6431-5237; Lima, Andre/0000-0003-2261-2801</t>
  </si>
  <si>
    <t>BIOTA-FAPESP [2011/50185-1]; CNPq [302526/2012-9]; Grants-in-Aid for Scientific Research [25247085] Funding Source: KAKEN</t>
  </si>
  <si>
    <t>BIOTA-FAPESP(Fundacao de Amparo a Pesquisa do Estado de Sao Paulo (FAPESP)); CNPq(Conselho Nacional de Desenvolvimento Cientifico e Tecnologico (CNPQ)); Grants-in-Aid for Scientific Research(Ministry of Education, Culture, Sports, Science and Technology, Japan (MEXT)Japan Society for the Promotion of ScienceGrants-in-Aid for Scientific Research (KAKENHI))</t>
  </si>
  <si>
    <t>We are deeply indebted to the various representatives of the Japan Agency for Marine-Earth Science and Technology (JAMSTEC), the Japanese Consulate at Sao Paulo, the Brazilian Ministry of Science and Technology and Innovation, Brazilian Ministry of Foreign Affairs and the Brazilian Navy for helping establishing the Brazil-Japan Marine Science Agreement. We also wish to thank the Master and crews of RV Yokosuka and DSRV Shinkai 6500 for invaluable help at sea. PYGS benefitted from a BIOTA-FAPESP Grant 2011/50185-1 and a CNPq research productivity fellowship 302526/2012-9 to whom he is grateful. We also wish to thank Craig R. Smith (University of Hawaii) for insightful comments that greatly improved the manuscript.</t>
  </si>
  <si>
    <t>FEB 24</t>
  </si>
  <si>
    <t>10.1038/srep22139</t>
  </si>
  <si>
    <t>DE6OY</t>
  </si>
  <si>
    <t>WOS:000370754700001</t>
  </si>
  <si>
    <t>Basher, Z; Costello, MJ</t>
  </si>
  <si>
    <t>Basher, Zeenatul; Costello, Mark J.</t>
  </si>
  <si>
    <t>The past, present and future distribution of a deep-sea shrimp in the Southern Ocean</t>
  </si>
  <si>
    <t>PEERJ</t>
  </si>
  <si>
    <t>Climate change; Last glacial maximum; Benthos; Range shift; Biogeography; Refugia; Antarctica; Decapod; Species distribution modeling</t>
  </si>
  <si>
    <t>CLIMATE-CHANGE; SPECIES DISTRIBUTIONS; DECAPOD CRUSTACEANS; WEDDELL SEA; ICE; MODELS; ENVELOPE; MAXIMUM; IMPACTS; RANGE</t>
  </si>
  <si>
    <t>Shrimps have a widespread distribution across the shelf, slope and seamount regions of the Southern Ocean. Studies of Antarctic organisms have shown that individual species and higher taxa display different degrees of sensitivity and adaptability in response to environmental change. We use species distribution models to predict changes in the geographic range of the deep-sea Antarctic shrimp Nematocarcinus lanceopes under changing climatic conditions from the Last Glacial Maximum to the present and to the year 2100. The present distribution range indicates a pole-ward shift of the shrimp population since the last glaciation. This occurred by colonization of slopes from nearby refugia located around the northern part of Scotia Arc, southern tip of South America, South Georgia, Bouvet Island, southern tip of the Campbell plateau and Kerguelen plateau. 13y 2 1 00, the shrimp are likely to expand their distribution in east Antarctica but have a continuea poie-wara contraction in west Antarctica. The range extension and contraction process followed by the deep-sea shrinip provide a geographic context of how other deep-sea Antarctic species.. may have survived during the last glaciation and may endure with proiected changing climatic conditions in the future.</t>
  </si>
  <si>
    <t>[Basher, Zeenatul; Costello, Mark J.] Univ Auckland, Inst Marine Sci, Leigh Marine Lab, Auckland 1, New Zealand</t>
  </si>
  <si>
    <t>University of Auckland</t>
  </si>
  <si>
    <t>Basher, Z (corresponding author), Univ Auckland, Inst Marine Sci, Leigh Marine Lab, Auckland 1, New Zealand.</t>
  </si>
  <si>
    <t>z.basher@auckland.ac.nz</t>
  </si>
  <si>
    <t>Basher, Zeenatul/0000-0002-6439-8324</t>
  </si>
  <si>
    <t>New Zealand Government under the New Zealand International Polar Year-Census of Antarctic Marine Life Project [So001IPY, IPY2007-01]</t>
  </si>
  <si>
    <t>New Zealand Government under the New Zealand International Polar Year-Census of Antarctic Marine Life Project</t>
  </si>
  <si>
    <t>The research was funded by the New Zealand Government under the New Zealand International Polar Year-Census of Antarctic Marine Life Project (Phase 1: So001IPY; Phase 2: IPY2007-01) and University of Auckland Doctoral Scholarship. We gratefully acknowledge project governance by the Ministry of Primary Industries Science Team and the Ocean Survey 20/20 CAML Advisory Group (Land Information New Zealand, Ministry of Primary Industries, Antarctica New Zealand, Ministry of Foreign Affairs and Trade, and National Institute of Water and Atmosphere Ltd). The funders had no role in study design, data collection and analysis, decision to publish, or preparation of the manuscript.</t>
  </si>
  <si>
    <t>PEERJ INC</t>
  </si>
  <si>
    <t>341-345 OLD ST, THIRD FLR, LONDON, EC1V 9LL, ENGLAND</t>
  </si>
  <si>
    <t>2167-8359</t>
  </si>
  <si>
    <t>PeerJ</t>
  </si>
  <si>
    <t>FEB 23</t>
  </si>
  <si>
    <t>e1713</t>
  </si>
  <si>
    <t>10.7717/peerj.1713</t>
  </si>
  <si>
    <t>DF9DU</t>
  </si>
  <si>
    <t>WOS:000371661300002</t>
  </si>
  <si>
    <t>Prasanna, K; Ghosh, P; Bhattacharya, SK; Mohan, K; Anilkumar, N</t>
  </si>
  <si>
    <t>Prasanna, K.; Ghosh, Prosenjit; Bhattacharya, S. K.; Mohan, K.; Anilkumar, N.</t>
  </si>
  <si>
    <t>Isotopic disequilibrium in Globigerina bulloides and carbon isotope response to productivity increase in Southern Ocean</t>
  </si>
  <si>
    <t>LIVING PLANKTONIC-FORAMINIFERA; SAN-PEDRO-BASIN; INDIAN-OCEAN; SECONDARY CALCIFICATION; VERTICAL-DISTRIBUTION; ANTHROPOGENIC CO2; INORGANIC CARBON; ORGANIC-MATTER; SURFACE WATERS; SEDIMENT TRAPS</t>
  </si>
  <si>
    <t>Oxygen and carbon isotope ratios in planktonic foraminifera Globigerina bulloides collected from tow samples along a transect from the equatorial Indian ocean to the Southern Ocean (45 degrees E and 80 degrees E and 10 degrees N to 53 degrees S) were analysed and compared with the equilibrium delta O-18 and delta C-13 values of calcite calculated using the temperature and isotopic composition of the water column. The results agree within similar to 0.25% for the region between 10 degrees N and 40 degrees S and 75-200 m water depth which is considered to be the habitat of Globigerina bulloides. Further south (from 40 degrees S to 55 degrees S), however, the measured delta O-18 and delta C-13 values are higher than the expected values by similar to 2% and similar to 1% respectively. These enrichments can be attributed to either a 'vital effect' or a higher calcification rate. An interesting pattern of increase in the delta C-13(DIC) value of the surface water with latitude is observed between 35 degrees S and similar to 60 degrees S, with a peak at similar to 42 degrees S. This can be caused by increased organic matter production and associated removal. A simple model accounting for the increase in the delta C-13(DIC) values is proposed which fits well with the observed chlorophyll abundance as a function of latitude.</t>
  </si>
  <si>
    <t>[Prasanna, K.; Ghosh, Prosenjit; Bhattacharya, S. K.] Indian Inst Sci, Ctr Earth Sci CEaS, Bangalore 560012, Karnataka, India; [Ghosh, Prosenjit] Indian Inst Sci, Divecha Ctr Climate Change, Bangalore 560012, Karnataka, India; [Mohan, K.] VIT Univ, Geol &amp; Geotech Engn Div, Sch Mech &amp; Bldg Sci, Chennai Campus, Madras 600127, Tamil Nadu, India; [Anilkumar, N.] Natl Ctr Antarctic &amp; Ocean Res, Vasco Da Gama 403804, Goa, India</t>
  </si>
  <si>
    <t>Indian Institute of Science (IISC) - Bangalore; Indian Institute of Science (IISC) - Bangalore; Vellore Institute of Technology (VIT); VIT Chennai; Ministry of Earth Sciences (MoES) - India; National Centre for Polar and Ocean Research (NCPOR)</t>
  </si>
  <si>
    <t>Ghosh, P (corresponding author), Indian Inst Sci, Ctr Earth Sci CEaS, Bangalore 560012, Karnataka, India.;Ghosh, P (corresponding author), Indian Inst Sci, Divecha Ctr Climate Change, Bangalore 560012, Karnataka, India.</t>
  </si>
  <si>
    <t>pghosh@ceas.iisc.ernet.in</t>
  </si>
  <si>
    <t>Naidu, Prasanna/T-4975-2019; Kuppusamy, Mohan/AAC-3900-2021</t>
  </si>
  <si>
    <t>Kuppusamy, Mohan/0000-0002-2558-057X; Naidu, Prasanna/0000-0001-5162-3900; Ghosh, Prosenjit/0000-0001-7828-577X</t>
  </si>
  <si>
    <t>Ministry of Earth Science, Government of India</t>
  </si>
  <si>
    <t>We thank the Ministry of Earth Science, Government of India for providing financial support for the Indian Scientific Expedition to the Indian Ocean sector of the Southern Ocean, under which the present work was carried out. We also thank the Director, NCAOR, Goa, and the Director of Divecha Centre for Climate Change, Bangalore, for providing the necessary facilities and support. We thank all the scientific team, Captain, officers and crew on-board ORV SagarNidhi for their support during the sampling.</t>
  </si>
  <si>
    <t>10.1038/srep21533</t>
  </si>
  <si>
    <t>DE4UR</t>
  </si>
  <si>
    <t>WOS:000370626400001</t>
  </si>
  <si>
    <t>Cianfarra, P; Salvini, F</t>
  </si>
  <si>
    <t>Cianfarra, P.; Salvini, F.</t>
  </si>
  <si>
    <t>Origin of the Adventure Subglacial Trench linked to Cenozoic extension in the East Antarctic Craton</t>
  </si>
  <si>
    <t>Adventure Subglacial Trench; East Antarctica; Intracratonic deformation; Strike-slip corridor; Cenozoic tectonics</t>
  </si>
  <si>
    <t>TRANSANTARCTIC MOUNTAINS; EROSION SURFACES; WEST ANTARCTICA; VOSTOK REGION; TIEN-SHAN; ICE FLOW; EVOLUTION; BENEATH; FAULT; STRESS</t>
  </si>
  <si>
    <t>The Antarctic plate occupies a unique geodynamic setting being mostly surrounded by divergent or transform margins. Major intracontinental basins and highlands characterize its bedrock, buried under the 34 Ma East Antarctic Ice Sheet (EAIS). Their formation atop of the cratonic lithosphere in the interior of East Antarctica remains a major open question. Post-Mesozoic intraplate extensional tectonic activity has been proposed for their development and is supported by this work. Here we focus on the Adventure Subglacial Trench (AST) whose origin is poorly constrained and controversial, as currently available geophysical models suggest either extensional or compressional tectonic origin. The AST is an over 250-km-long, 60-km-wide subglacial trough, elongated in the NNW-SSE direction adjacent to the westernmost flank of the Wilkes Subglacial Basin, and is parallel to regional scale alignments of magnetic and gravimetric anomalies. Geophysical campaigns allowed better definition of the AST physiography showing its typical half-graben geometry. The rounded morphology of the western flank of the AST was simulated through tectonic numerical modelling. We consider the subglacial landscape to primarily reflect a preserved relict of the tectonic processes affecting the interior of East Antarctica in the Cenozoic, due to the negligible erosion/deposition capability of the EAIS. The bedrock morphology was replicated through the activity of the listric Adventure Fault, characterized by a basal detachment at the base of the crust (34 km) and a vertical displacement of 2.5 km. This length suggests its regional/crustal importance. The predicted displacement is interpreted either as a newly formed fault or as the partial reactivation of a weaker zone along a major Precambrian crustal-scale tectonic boundary. The extensional regime in the AST is part of a more extensive 800-km long intraplate corridor characterized by nearly along-strike extension in Cenozoic times with a left lateral transpressional component. This corridor may represent the effect of far-field stresses induced by plate motions. (C) 2016 Elsevier B.V. All rights reserved.</t>
  </si>
  <si>
    <t>[Cianfarra, P.; Salvini, F.] Univ Rome Tre, Dipartimento Sci, Lgo SL Murialdo 1, I-00146 Rome, Italy</t>
  </si>
  <si>
    <t>Roma Tre University</t>
  </si>
  <si>
    <t>Cianfarra, P (corresponding author), Univ Rome Tre, Dipartimento Sci, Lgo SL Murialdo 1, I-00146 Rome, Italy.</t>
  </si>
  <si>
    <t>paola.cianfarra@uniroma3.it</t>
  </si>
  <si>
    <t>CIANFARRA, Paola/AAQ-5641-2020; CIANFARRA, Paola/JCE-5168-2023</t>
  </si>
  <si>
    <t>CIANFARRA, Paola/0000-0001-9396-4519</t>
  </si>
  <si>
    <t>PNRA Consortium [2009/A2.02]</t>
  </si>
  <si>
    <t>PNRA Consortium</t>
  </si>
  <si>
    <t>Research was carried out in the framework of the Project CABILA (Caratterizzazione Biogeochim-ica dei Laghi Subglaciali Antartici) of the PNRA-MIUR (Programma Nazionale diRicerche in Antartide-Ministry of Education, University and Research) and financed by the PNRA Consortium (project 2009/A2.02). ENEA (Agenzia Nazionale per le Nuove Tecnologie, L'Energia e lo Sviluppo Economico Sostenibile) provided the logistic support. We thank reviewers for insightful comments that improved the paper.</t>
  </si>
  <si>
    <t>FEB 22</t>
  </si>
  <si>
    <t>10.1016/j.tecto.2015.12.011</t>
  </si>
  <si>
    <t>DF5EN</t>
  </si>
  <si>
    <t>WOS:000371374700003</t>
  </si>
  <si>
    <t>Stips, A; Macias, D; Coughlan, C; Garcia-Gorriz, E; San Liang, X</t>
  </si>
  <si>
    <t>Stips, Adolf; Macias, Diego; Coughlan, Clare; Garcia-Gorriz, Elisa; San Liang, X.</t>
  </si>
  <si>
    <t>On the causal structure between CO2 and global temperature</t>
  </si>
  <si>
    <t>ATMOSPHERIC CO2; CLIMATE-CHANGE; ANTARCTIC TEMPERATURE; CHRONOLOGY AICC2012; GRANGER CAUSALITY; NATURAL CAUSES; UNCERTAINTY; INFORMATION; MAGNITUDE; ICE</t>
  </si>
  <si>
    <t>We use a newly developed technique that is based on the information flow concept to investigate the causal structure between the global radiative forcing and the annual global mean surface temperature anomalies (GMTA) since 1850. Our study unambiguously shows one-way causality between the total Greenhouse Gases and GMTA. Specifically, it is confirmed that the former, especially CO2, are the main causal drivers of the recent warming. A significant but smaller information flow comes from aerosol direct and indirect forcing, and on short time periods, volcanic forcings. In contrast the causality contribution from natural forcings (solar irradiance and volcanic forcing) to the long term trend is not significant. The spatial explicit analysis reveals that the anthropogenic forcing fingerprint is significantly regionally varying in both hemispheres. On paleoclimate time scales, however, the cause-effect direction is reversed: temperature changes cause subsequent CO2/CH4 changes.</t>
  </si>
  <si>
    <t>[Stips, Adolf; Macias, Diego; Coughlan, Clare; Garcia-Gorriz, Elisa] Inst Environm &amp; Sustainabil, Joint Res Ctr, European Commiss, Water Res Unit, Via E Fermi 2749, I-21027 Ispra, Italy; [San Liang, X.] Nanjing Inst Meteorol, Sch Marine Sci, 219 Ningliu Blvd, Nanjing 210044, Jiangsu, Peoples R China</t>
  </si>
  <si>
    <t>European Commission Joint Research Centre; EC JRC ISPRA Site; Nanjing University of Information Science &amp; Technology</t>
  </si>
  <si>
    <t>Stips, A (corresponding author), Inst Environm &amp; Sustainabil, Joint Res Ctr, European Commiss, Water Res Unit, Via E Fermi 2749, I-21027 Ispra, Italy.</t>
  </si>
  <si>
    <t>adolf.stips@jrc.ec.europa.eu</t>
  </si>
  <si>
    <t>Eayrs, Clare/T-7969-2019; Macias, Diego/G-1972-2010</t>
  </si>
  <si>
    <t>Eayrs, Clare/0000-0003-3129-7604; Macias, Diego/0000-0002-7772-255X</t>
  </si>
  <si>
    <t>Jiangsu Provincial Government through the Jiangsu Program for Innovation Research and Entrepreneurship Groups; Jiang Chair Professorship; National Science Foundation of China [41276032]; State Oceanic Administration through the Special Program on Global Change and Air-Sea Interaction [GASI-IPOVAI-06]</t>
  </si>
  <si>
    <t>Jiangsu Provincial Government through the Jiangsu Program for Innovation Research and Entrepreneurship Groups; Jiang Chair Professorship; National Science Foundation of China(National Natural Science Foundation of China (NSFC)); State Oceanic Administration through the Special Program on Global Change and Air-Sea Interaction</t>
  </si>
  <si>
    <t>The authors thank the Climatic Research Unit of the University of East Anglia for providing the surface temperature data used in the present work (HadCRUT4) and the Potsdam Institute for Climate Impact Research for the forcing data, as well as the EPICA Dome C team and NOAA for EPICA Dome C data provision. We acknowledge the World Climate Research Programme's Working Group on Coupled Modelling, which is responsible for CMIP5, and we thank the climate modelling groups for producing and making available their model outputs. S. L. was supported by Jiangsu Provincial Government through the 2015 Jiangsu Program for Innovation Research and Entrepreneurship Groups and Jiang Chair Professorship, by the National Science Foundation of China under Grant No. 41276032, and by the State Oceanic Administration through the Special Program on Global Change and Air-Sea Interaction (GASI-IPOVAI-06).</t>
  </si>
  <si>
    <t>10.1038/srep21691</t>
  </si>
  <si>
    <t>DE3EI</t>
  </si>
  <si>
    <t>WOS:000370509500001</t>
  </si>
  <si>
    <t>Huth, TJ; Place, SP</t>
  </si>
  <si>
    <t>Huth, Troy J.; Place, Sean P.</t>
  </si>
  <si>
    <t>Transcriptome wide analyses reveal a sustained cellular stress response in the gill tissue of Trematomus bernacchii after acclimation to multiple stressors</t>
  </si>
  <si>
    <t>Ocean acidification; Thermal stress; RNA-seq; Notothenioid; Gene expression</t>
  </si>
  <si>
    <t>ACID-BASE REGULATION; PROTEIN DISULFIDE-ISOMERASE; RNA-SEQ DATA; ANTARCTIC FISH; GENE-EXPRESSION; PAGOTHENIA-BORCHGREVINKI; NOTOTHENIOID FISH; CLIMATE-CHANGE; OCEAN ACIDIFICATION; CDNA MICROARRAY</t>
  </si>
  <si>
    <t>Background: As global climate change progresses, the Southern Ocean surrounding Antarctica is poised to undergo potentially rapid and substantial changes in temperature and pCO(2). To survive in this challenging environment, the highly cold adapted endemic fauna of these waters must demonstrate sufficient plasticity to accommodate these changing conditions or face inexorable decline. Previous studies of notothenioids have focused upon the short-term response to heat stress; and more recently the longer-term physiological response to the combined stress of increasing temperatures and pCO(2). This inquiry explores the transcriptomic response of Trematomus bernacchii to increased temperatures and pCO(2) at 7, 28 and 56 days, in an attempt to discern the innate plasticity of T. bernacchii available to cope with a changing Southern Ocean. Results: Differential gene expression analysis supported previous research in that T. bernacchii exhibits no inducible heat shock response to stress conditions. However, T. bernacchii did demonstrate a strong stress response to the multi-stressor condition in the form of metabolic shifts, DNA damage repair, immune system processes, and activation of apoptotic pathways combined with negative regulation of cell proliferation. This response declined in magnitude over time, but aspects of this response remained detectable throughout the acclimation period. Conclusions: When exposed to the multi-stressor condition, T. bernacchii demonstrates a cellular stress response that persists for a minimum of 7 days before returning to near basal levels of expression at longer acclimation times. However, subtle changes in expression persist in fish acclimated for 56 days that may significantly affect the fitness T. bernacchii over time.</t>
  </si>
  <si>
    <t>[Place, Sean P.] Sonoma State Univ, Dept Biol, Rohnert Pk, CA 94928 USA; [Huth, Troy J.] Univ S Carolina, Dept Biol Sci, Columbia, SC 29208 USA</t>
  </si>
  <si>
    <t>California State University System; Sonoma State University; University of South Carolina System; University of South Carolina Columbia</t>
  </si>
  <si>
    <t>Place, SP (corresponding author), Sonoma State Univ, Dept Biol, Rohnert Pk, CA 94928 USA.</t>
  </si>
  <si>
    <t>places@sonoma.edu</t>
  </si>
  <si>
    <t>National Science Foundation [ACI-1053575, OCI-1053575]; National Science Foundation (NSF) [PLR-1040495, PLR-1447291]; Directorate For Geosciences; Office of Polar Programs (OPP) [1447291] Funding Source: National Science Foundation; Div Of Biological Infrastructure; Direct For Biological Sciences [1458641] Funding Source: National Science Foundation</t>
  </si>
  <si>
    <t>National Science Foundation(National Science Foundation (NSF)); National Science Foundation (NSF)(National Science Foundation (NSF)); Directorate For Geosciences; Office of Polar Programs (OPP)(National Science Foundation (NSF)NSF - Directorate for Geosciences (GEO)); Div Of Biological Infrastructure; Direct For Biological Sciences(National Science Foundation (NSF)NSF - Directorate for Biological Sciences (BIO))</t>
  </si>
  <si>
    <t>There are many people who assisted us during the course of this project. In particular, we thank Dr. Jeff Dudycha, Dr. Mackenzie Zippay, Evan Hunter and Allison Sandwich Barden for their help collecting specimens and with seawater chemistry measurements. We would like to further thank Dr. Jeff Dudycha for his advisement throughout the analysis process and helpful comments during the writing of this manuscript. We would also like to thank the United States Antarctic Program, Lockheed Martin Antarctic Support Contract, and the countless number of USAP support personnel for their tireless logistical and field support while at McMurdo Station. This work used the Extreme Science and Engineering Discovery Environment (XSEDE), which is supported by National Science Foundation grant numbers ACI-1053575 and OCI-1053575. Specifically, we would like to thank the teams managing the Blacklight system at the Pittsburgh Supercomputing Center and the Stampede system at the Texas Advanced Computing Center for assisting our efforts in high performance computing. This research was supported by National Science Foundation (NSF) Grants PLR-1040495 and PLR-1447291 to SPP.</t>
  </si>
  <si>
    <t>FEB 20</t>
  </si>
  <si>
    <t>10.1186/s12864-016-2454-3</t>
  </si>
  <si>
    <t>DE2QU</t>
  </si>
  <si>
    <t>WOS:000370472600005</t>
  </si>
  <si>
    <t>Carrasco, M; Villarreal, P; Barahona, S; Alcaíno, J; Cifuentes, V; Baeza, M</t>
  </si>
  <si>
    <t>Carrasco, Mario; Villarreal, Pablo; Barahona, Salvador; Alcaino, Jennifer; Cifuentes, Victor; Baeza, Marcelo</t>
  </si>
  <si>
    <t>Screening and characterization of amylase and cellulase activities in psychrotolerant yeasts</t>
  </si>
  <si>
    <t>BMC MICROBIOLOGY</t>
  </si>
  <si>
    <t>Amylase; Cellulase; Cold-active enzymes; Psychrotolerant yeasts</t>
  </si>
  <si>
    <t>EXTRACELLULAR ENZYMATIC-ACTIVITIES; MICROBIAL CELLULASES; CRYOCONITE HOLES; COLD ADAPTATION; ALPHA-AMYLASE; STARCH; DIVERSITY; IDENTIFICATION; PROTEOME; XYLANASE</t>
  </si>
  <si>
    <t>Background: Amylases and cellulases have great potential for application in industries such as food, detergent, laundry, textile, baking and biofuels. A common requirement in these fields is to reduce the temperatures of the processes, leading to a continuous search for microorganisms that secrete cold-active amylases and cellulases. Psychrotolerant yeasts are good candidates because they inhabit cold-environments. In this work, we analyzed the ability of yeasts isolated from the Antarctic region to grow on starch or carboxymethylcellulose, and their potential extracellular amylases and cellulases. Result: All tested yeasts were able to grow with soluble starch or carboxymethylcellulose as the sole carbon source; however, not all of them produced ethanol by fermentation of these carbon sources. For the majority of the yeast species, the extracellular amylase or cellulase activity was higher when cultured in medium supplemented with glucose rather than with soluble starch or carboxymethylcellulose. Additionally, higher amylase activities were observed when tested at pH 5.4 and 6.2, and at 30-37 degrees C, except for Rhodotorula glacialis that showed elevated activity at 10-22 degrees C. In general, cellulase activity was high until pH 6.2 and between 22-37 degrees C, while the sample from Mrakia blollopis showed high activity at 4-22 degrees C. Peptide mass fingerprinting analysis of a potential amylase from Tetracladium sp. of about 70 kDa, showed several peptides with positive matches with glucoamylases from other fungi. Conclusions: Almost all yeast species showed extracellular amylase or cellulase activity, and an inducing effect by the respective substrate was observed in a minor number of yeasts. These enzymatic activities were higher at 30 degrees C in most yeast, with highest amylase and cellulase activity in Tetracladium sp. and M. gelida, respectively. However, Rh. glacialis and M. blollopis displayed high amylase or cellulase activity, respectively, under 22 degrees C. In this sense, these yeasts are interesting candidates for industrial processes that require lower temperatures.</t>
  </si>
  <si>
    <t>[Carrasco, Mario; Villarreal, Pablo; Barahona, Salvador; Alcaino, Jennifer; Cifuentes, Victor; Baeza, Marcelo] Univ Chile, Fac Ciencias, Dept Ciencias Ecol, Palmeras 3425,Casilla 653, Santiago, Chile</t>
  </si>
  <si>
    <t>Baeza, M (corresponding author), Univ Chile, Fac Ciencias, Dept Ciencias Ecol, Palmeras 3425,Casilla 653, Santiago, Chile.</t>
  </si>
  <si>
    <t>mbaeza@u.uchile.cl</t>
  </si>
  <si>
    <t>Alcaino, Jennifer/H-4576-2012; /C-6686-2008; Ashcroft, Darren/G-3244-2015</t>
  </si>
  <si>
    <t>Webb, Roger/0000-0001-8532-2647; Kapur, Nav/0000-0002-3100-3234; Ashcroft, Darren/0000-0002-2958-915X; Villarreal, Pablo/0000-0002-2254-0417; Baeza, Marcelo/0000-0001-8853-395X; Kontopantelis, Evangelos/0000-0001-6450-5815</t>
  </si>
  <si>
    <t>FONDECYT [1130333]</t>
  </si>
  <si>
    <t>FONDECYT(Comision Nacional de Investigacion Cientifica y Tecnologica (CONICYT)CONICYT FONDECYT)</t>
  </si>
  <si>
    <t>This study was financially supported through FONDECYT grant 1130333.</t>
  </si>
  <si>
    <t>1471-2180</t>
  </si>
  <si>
    <t>BMC MICROBIOL</t>
  </si>
  <si>
    <t>BMC Microbiol.</t>
  </si>
  <si>
    <t>FEB 19</t>
  </si>
  <si>
    <t>10.1186/s12866-016-0640-8</t>
  </si>
  <si>
    <t>DE2RC</t>
  </si>
  <si>
    <t>WOS:000370473500001</t>
  </si>
  <si>
    <t>Stokes, CR; Margold, M; Clark, CD; Tarasov, L</t>
  </si>
  <si>
    <t>Stokes, C. R.; Margold, M.; Clark, C. D.; Tarasov, L.</t>
  </si>
  <si>
    <t>Ice stream activity scaled to ice sheet volume during Laurentide Ice Sheet deglaciation</t>
  </si>
  <si>
    <t>SEA-LEVEL RISE; GLACIAL LINEATIONS; COLLAPSE; INSTABILITY; FLOW; REORGANIZATION; IDENTIFICATION; SURFACE; BED</t>
  </si>
  <si>
    <t>The contribution of the Greenland and West Antarctic ice sheets to sea level has increased in recent decades, largely owing to the thinning and retreat of outlet glaciers and ice streams(1-4). This dynamic loss is a serious concern, with some modelling studies suggesting that the collapse of a major ice sheet could be imminent(5,6) or potentially underway(7) in West Antarctica, but others predicting a more limited response(8). A major problem is that observations used to initialize and calibrate models typically span only a few decades, and, at the ice-sheet scale, it is unclear how the entire drainage network of ice streams evolves over longer timescales. This represents one of the largest sources of uncertainty when predicting the contributions of ice sheets to sea-level rise(8-10). A key question is whether ice streams might increase and sustain rates of mass loss over centuries or millennia, beyond those expected for a given ocean-climate forcing(5-10). Here we reconstruct the activity of 117 ice streams that operated at various times during deglaciation of the Laurentide Ice Sheet (from about 22,000 to 7,000 years ago) and show that as they activated and deactivated in different locations, their overall number decreased, they occupied a progressively smaller percentage of the ice sheet perimeter and their total discharge decreased. The underlying geology and topography clearly influenced ice stream activity, but-at the ice-sheet scale-their drainage network adjusted and was linked to changes in ice sheet volume. It is unclear whether these findings can be directly translated to modern ice sheets. However, contrary to the view that sees ice streams as unstable entities that can accelerate ice-sheet deglaciation, we conclude that ice streams exerted progressively less influence on ice sheet mass balance during the retreat of the Laurentide Ice Sheet.</t>
  </si>
  <si>
    <t>[Stokes, C. R.; Margold, M.] Univ Durham, Dept Geog, Durham, England; [Clark, C. D.] Univ Sheffield, Dept Geog, Sheffield S10 2TN, S Yorkshire, England; [Tarasov, L.] Mem Univ Newfoundland, Dept Phys &amp; Phys Oceanog, St John, NF, Canada; [Margold, M.] Stockholm Univ, Dept Phys Geog, S-10691 Stockholm, Sweden</t>
  </si>
  <si>
    <t>Durham University; University of Sheffield; Memorial University Newfoundland; Stockholm University</t>
  </si>
  <si>
    <t>Stokes, CR (corresponding author), Univ Durham, Dept Geog, Durham, England.</t>
  </si>
  <si>
    <t>c.r.stokes@durham.ac.uk</t>
  </si>
  <si>
    <t>Clark, Chris D/C-3830-2009; Stokes, Chris/A-1957-2011; Margold, Martin/V-4634-2018</t>
  </si>
  <si>
    <t>Stokes, Chris/0000-0003-3355-1573; Margold, Martin/0000-0001-5834-850X</t>
  </si>
  <si>
    <t>NERC [NE/J007455/1, NE/J00782X/1] Funding Source: UKRI; Natural Environment Research Council [NE/J007455/1, NE/J00782X/1] Funding Source: researchfish</t>
  </si>
  <si>
    <t>FEB 18</t>
  </si>
  <si>
    <t>10.1038/nature16947</t>
  </si>
  <si>
    <t>DE0PP</t>
  </si>
  <si>
    <t>WOS:000370327100034</t>
  </si>
  <si>
    <t>Akmaev, RA; Forbes, JM; Lübken, FJ; Murphy, DJ; Höffner, J</t>
  </si>
  <si>
    <t>Akmaev, R. A.; Forbes, J. M.; Luebken, F. -J.; Murphy, D. J.; Hoeffner, J.</t>
  </si>
  <si>
    <t>Tides in the mesopause region over Antarctica: Comparison of whole atmosphere model simulations with ground-based observations</t>
  </si>
  <si>
    <t>nonmigrating tides; mesopause; migrating tides; Antarctica</t>
  </si>
  <si>
    <t>NONMIGRATING SEMIDIURNAL TIDES; GENERAL-CIRCULATION MODEL; SEMI-DIURNAL TIDE; GRAVITY-WAVE DRAG; SOUTH-POLE; OPTIMAL INTERPOLATION; 12-HOUR OSCILLATION; METEOR RADAR; THERMOSPHERE; STRATOSPHERE</t>
  </si>
  <si>
    <t>Almost a quarter century ago first optical and radar observations from the South Pole revealed rich dynamics unexpected from classical tidal theory. A strong semidiurnal wind oscillation was detected near the mesopause implying substantial deviations from the classical view that the semidiurnal variation is dominated by the migrating tide. Subsequent systematic observations exhibited large seasonal variations of both the diurnal and semidiurnal tide with dramatic reduction in amplitude from summer to winter. First numerical simulations with a realistic general circulation model extending into the lower thermosphere indicated the presence of nonmigrating tides with substantial amplitudes in the polar regions. However, direct model-data comparisons have been limited to idealized linear models. Here whole atmosphere model (WAM) simulations for January and July are compared with available wind climatologies based on multiyear radar observations at different locations in Antarctica as well as with first summertime lidar measurements of temperature. The diurnal tide simulation agrees well with most of the independent radar and satellite wind observations in both seasons. The strong semidiurnal tide comprised of migrating and nonmigrating components is well reproduced in summer, while in winter the model tends to overestimate the amplitudes over the continental edge. Besides model validation, a self-consistent numerical solution also enables cross validation of observations made with different instruments at different locales.</t>
  </si>
  <si>
    <t>[Akmaev, R. A.] NOAA, Space Weather Predict Ctr, Boulder, CO USA; [Forbes, J. M.] Univ Colorado, Dept Aerosp Engn Sci, Boulder, CO 80309 USA; [Luebken, F. -J.; Hoeffner, J.] Leibniz Inst Atmospher Phys, Kuhlungsborn, Germany; [Murphy, D. J.] Australian Antarctic Div, Kingston, Tas, Australia</t>
  </si>
  <si>
    <t>National Oceanic Atmospheric Admin (NOAA) - USA; University of Colorado System; University of Colorado Boulder; Leibniz Institut fur Atmospharenphysik e.V. an der Universitat Rostock (IAP); Australian Antarctic Division</t>
  </si>
  <si>
    <t>Akmaev, RA (corresponding author), NOAA, Space Weather Predict Ctr, Boulder, CO USA.</t>
  </si>
  <si>
    <t>Rashid.Akmaev@noaa.gov</t>
  </si>
  <si>
    <t>Forbes, Jeffrey M/B-7234-2016</t>
  </si>
  <si>
    <t>Forbes, Jeffrey M/0000-0001-6937-0796</t>
  </si>
  <si>
    <t>NASA [NNX12AJ58G]; NSF [OPP-0839084]; Australian Antarctic Program [674]; NASA [43401, NNX12AJ58G] Funding Source: Federal RePORTER</t>
  </si>
  <si>
    <t>NASA(National Aeronautics &amp; Space Administration (NASA)); NSF(National Science Foundation (NSF)); Australian Antarctic Program; NASA(National Aeronautics &amp; Space Administration (NASA))</t>
  </si>
  <si>
    <t>J.M.F. acknowledges support under NASA award NNX12AJ58G as part of the Heliophysics Guest Investigator Program. The MF radar at Rothera is a joint project between the British Antarctic Survey (BAS) and GATS Inc. operated by BAS. Support through NSF grant OPP-0839084 is acknowledged along with the assistance of David Fritts. The Scott Base MF radar is operated by Adrian McDonald and colleagues at the University of Canterbury through Antarctica New Zealand. Syowa MF radar operation has been carried out by Masaki Tsutsumi, National Institute of Polar Research under the Japanese Antarctic Research Expeditions (JAREs). The Davis and Mawson MF radars are supported through the Australian Antarctic Program through grant 674, and the assistance of Robert Vincent is acknowledged. The IDI radar at Halley was owned and operated by BAS and the assistance of Andrew Kavanagh and his colleagues is acknowledged. Computational resources were provided by the NOAA R&amp;D high performance computing system. The tidal analysis results presented here are stored on this system and are available upon request (Rashid.Akmaev@noaa.gov).</t>
  </si>
  <si>
    <t>FEB 16</t>
  </si>
  <si>
    <t>10.1002/2015JD023673</t>
  </si>
  <si>
    <t>DF6QW</t>
  </si>
  <si>
    <t>WOS:000371481700008</t>
  </si>
  <si>
    <t>Peterson, PK; Simpson, WR; Nghiem, SV</t>
  </si>
  <si>
    <t>Peterson, Peter K.; Simpson, William R.; Nghiem, Son V.</t>
  </si>
  <si>
    <t>Variability of bromine monoxide at Barrow, Alaska, over four halogen activation (March-May) seasons and at two on-ice locations</t>
  </si>
  <si>
    <t>reactive halogens; sea ice; Arctic; atmospheric chemistry; bromine; air-ice exchange</t>
  </si>
  <si>
    <t>ARCTIC BOUNDARY-LAYER; ANTARCTIC SEA-ICE; FROST FLOWERS; ATMOSPHERIC MERCURY; TROPOSPHERIC BRO; SNOW PACK; OZONE; CHEMISTRY; SPRINGTIME; DOAS</t>
  </si>
  <si>
    <t>Reactive halogens profoundly influence springtime Arctic atmospheric chemistry, but their relationship to sea ice and environmental conditions is not well understood. Multiple axis differential optical absorption spectroscopy measured bromine monoxide (BrO) at Barrow, Alaska, and at two Arctic Ocean buoys. For each season of Barrow measurements, we examined the air mass histories using back trajectory modeling and ice coverage maps. We find a weak positive linear correlation (R = 0.38) between half-hourly BrO lower tropospheric vertical column densities (LT-VCD) and time in first year sea ice (FYI) areas. These data show evidence of a nonlinear increase of LT-VCD BrO with low-average column in the absence of ice contact, with the column increasing and saturating at ice contact longer than approximate to 1.5days. We find that trajectories arriving at Barrow are dominated by FYI area influence with little multiyear ice (MYI) area contact; therefore, this study cannot make any conclusions regarding MYI area influences on reactive halogen production. Contact with calculated potential frost flower influence is not correlated with BrO column (R = 0.04). At Barrow, annual averages of BrO column over the halogen activation season and time in FYI areas are highly correlated (R = 0.93, significant at 90% confidence), which is interpreted as an effect of interannual transport variability. At on-ice locations, we observe a wide range of BrO LT-VCDs, suggesting that while an air mass spending time in sea ice areas is required to observe significant BrO, sea ice contact alone does not imply high BrO, and other environmental controls are important.</t>
  </si>
  <si>
    <t>[Peterson, Peter K.; Simpson, William R.] Univ Alaska Fairbanks, Inst Geophys, Fairbanks, AK 99775 USA; [Peterson, Peter K.; Simpson, William R.] Univ Alaska Fairbanks, Dept Chem &amp; Biochem, Fairbanks, AK USA; [Peterson, Peter K.] Univ Michigan, Dept Chem, Ann Arbor, MI 48109 USA; [Nghiem, Son V.] CALTECH, Jet Prop Lab, Pasadena, CA USA</t>
  </si>
  <si>
    <t>University of Alaska System; University of Alaska Fairbanks; University of Alaska System; University of Alaska Fairbanks; University of Michigan System; University of Michigan; California Institute of Technology; National Aeronautics &amp; Space Administration (NASA); NASA Jet Propulsion Laboratory (JPL)</t>
  </si>
  <si>
    <t>Simpson, WR (corresponding author), Univ Alaska Fairbanks, Inst Geophys, Fairbanks, AK 99775 USA.;Simpson, WR (corresponding author), Univ Alaska Fairbanks, Dept Chem &amp; Biochem, Fairbanks, AK USA.</t>
  </si>
  <si>
    <t>wrsimpson@alaska.edu</t>
  </si>
  <si>
    <t>Peterson, Peter/J-4224-2019; Simpson, William/I-2859-2014</t>
  </si>
  <si>
    <t>Peterson, Peter/0000-0002-9337-6677; Simpson, William/0000-0002-8596-7290</t>
  </si>
  <si>
    <t>Department of Chemistry and Biochemistry; National Aeronautics and Space Administration (NASA); National Science Foundation [ARC-1023118]; NASA CSP; Directorate For Geosciences; Office of Polar Programs (OPP) [1023118] Funding Source: National Science Foundation</t>
  </si>
  <si>
    <t>Department of Chemistry and Biochemistry; National Aeronautics and Space Administration (NASA)(National Aeronautics &amp; Space Administration (NASA)); National Science Foundation(National Science Foundation (NSF)); NASA CSP; Directorate For Geosciences; Office of Polar Programs (OPP)(National Science Foundation (NSF)NSF - Directorate for Geosciences (GEO))</t>
  </si>
  <si>
    <t>The research at the University of Alaska was supported by the Department of Chemistry and Biochemistry, the National Aeronautics and Space Administration (NASA) Cryospheric Sciences Program (CSP), as well as the National Science Foundation under grant ARC-1023118. The research at the Jet Propulsion Laboratory, California Institute of Technology, was supported by the NASA CSP. The authors gratefully acknowledge the NOAA Air Resources Laboratory (ARL) for the provision of the HYSPLIT transport and dispersion model used in this publication, as well as Alexei Rozanov (IUP Bremen) for providing the SCIATRAN radiative transfer code. The deployment of the OB2 was carried out with the assistance of Carlton Rauschenberg (Bigelow), Kris Newhall (WHOI), the 2010 JOIS science team, and the crew of the CCGS Louis St. Laurent. OB6 was deployed by Steve Walsh (UAF) and Chris Williams (CRREL). We thank Gregory Neumann of the Jet Propulsion Laboratory for extensive Oceansat-2 satellite data processing to produce Arctic sea ice maps. The authors would also like to acknowledge helpful discussions with Wes Halfacre (Purdue) that helped improve the manuscript. Data from drifting O-Buoys are available through the ACADIS data gateway (http://www.aoncadis.org/), and further analysis of these and Barrow data are available via email to wrsimpson@alaska.edu. We thank the three anonymous reviewers for their comments that improved the manuscript.</t>
  </si>
  <si>
    <t>10.1002/2015JD024094</t>
  </si>
  <si>
    <t>WOS:000371481700021</t>
  </si>
  <si>
    <t>Enami, S; Sakamoto, Y; Hara, K; Osada, K; Hoffmann, MR; Colussi, AJ</t>
  </si>
  <si>
    <t>Enami, Shinichi; Sakamoto, Yosuke; Hara, Keiichiro; Osada, Kazuo; Hoffmann, Michael R.; Colussi, Agustin J.</t>
  </si>
  <si>
    <t>Sizing Heterogeneous Chemistry in the Conversion of Gaseous Dimethyl Sulfide to Atmospheric Particles</t>
  </si>
  <si>
    <t>ENVIRONMENTAL SCIENCE &amp; TECHNOLOGY</t>
  </si>
  <si>
    <t>SEA-SALT SULFATE; MARINE BOUNDARY-LAYER; AIR-WATER-INTERFACE; GAS-PHASE REACTIONS; OH RADICALS; DIMETHYLSULFOXIDE DMSO; OCEANIC PHYTOPLANKTON; METHANESULFONIC-ACID; OXIDATION-PRODUCTS; PHOTOCHEMICAL DATA</t>
  </si>
  <si>
    <t>The oxidation of biogenic dimethyl sulfide (DMS) emissions is a global source of cloud condensation nuclei. The amounts of the nucleating H2SO4(g) species produced in such process, however, remain uncertain. Hydrophobic DMS is mostly oxidized in the gas phase into H2SO4(g) + DMSO(g) (dimethyl sulfoxide), whereas water-soluble DMSO is oxidized into H2SO4(g) in the gas phase and into SO42- + MeSO3- (methanesulfonate) on water surfaces. R = MeSO3-/(non-sea-salt SO42-) ratios would therefore gauge both the strength of DMS sources and the extent of DMSO heterogeneous oxidation if R-het = MeSO3-/SO42- for DMSO(aq) + center dot OH(g) were known. Here, we report that R-het = 2.7, a value obtained from online electrospray mass spectra of DMSO(aq) + center dot OH(g) reaction products that quantifies the MeSO3- produced in DMSO heterogeneous oxidation on aqueous aerosols for the first time. On this basis, the inverse R dependence on particle radius in size-segregated aerosol collected over Syowa station and Southern oceans is shown to be consistent with the competition between DMSO gas-phase oxidation and its mass accommodation followed by oxidation on aqueous droplets. Geographical R variations are thus associated with variable contributions of the heterogeneous pathway to DMSO atmospheric oxidation, which increase with the specific surface area of local aerosols.</t>
  </si>
  <si>
    <t>[Enami, Shinichi] Kyoto Univ, Hakubi Ctr Adv Res, Kyoto 6068302, Japan; [Enami, Shinichi] Kyoto Univ, Res Inst Sustainable Humanosphere, Kyoto 6110011, Japan; [Enami, Shinichi] Japan Sci &amp; Technol Agcy, PRESTO, Kawaguchi, Saitama 3320012, Japan; [Sakamoto, Yosuke] Hokkaido Univ, Fac Environm Earth Sci, Sapporo, Hokkaido 0600610, Japan; [Hara, Keiichiro] Fukuoka Univ, Dept Earth Sci Syst, Fukuoka 8140180, Japan; [Osada, Kazuo] Nagoya Univ, Grad Sch Environm Studies, Nagoya, Aichi 4648601, Japan; [Hoffmann, Michael R.; Colussi, Agustin J.] CALTECH, Linde Ctr Global Environm Sci, Pasadena, CA 91125 USA</t>
  </si>
  <si>
    <t>Kyoto University; Kyoto University; Japan Science &amp; Technology Agency (JST); Hokkaido University; Fukuoka University; Nagoya University; California Institute of Technology</t>
  </si>
  <si>
    <t>Enami, S (corresponding author), Kyoto Univ, Hakubi Ctr Adv Res, Kyoto 6068302, Japan.;Colussi, AJ (corresponding author), CALTECH, Linde Ctr Global Environm Sci, Pasadena, CA 91125 USA.</t>
  </si>
  <si>
    <t>enami.shinichi.3r@kyoto-u.ac.jp; ajcoluss@caltech.edu</t>
  </si>
  <si>
    <t>Colussi, Agustin J/C-6520-2008; Enami, Shinichi/AAM-5837-2021; Colussi, Agustin J./GXA-0446-2022; Osada, Kazuo/I-6395-2014; Hara, Keiichiro/N-8264-2018</t>
  </si>
  <si>
    <t>Osada, Kazuo/0000-0003-3100-5835; Hara, Keiichiro/0000-0001-7440-7776; Sakamoto, Yosuke/0000-0002-9863-4241</t>
  </si>
  <si>
    <t>Iwatani Naoji Foundation's Research Grant; Kurita Water and Environment Foundation; Japan Science and Technology Agency (JST) PRESTO program; JSPS KAKENHI [15H05328]; National Science Foundation (U.S.A.) [AC-1238977]; Observation Project of Global Atmospheric Change in the Antarctic; Ministry of Education, Culture, Sports, Science, and Technology of Japan [16253001, 15310012, 18067005]; Grants-in-Aid for Scientific Research [16253001, 15310012, 15H05328, 15K12188, 18067005] Funding Source: KAKEN; Div Atmospheric &amp; Geospace Sciences; Directorate For Geosciences [1238977] Funding Source: National Science Foundation</t>
  </si>
  <si>
    <t>Iwatani Naoji Foundation's Research Grant; Kurita Water and Environment Foundation(Kurita Water and Environment Foundation); Japan Science and Technology Agency (JST) PRESTO program(Japan Science &amp; Technology Agency (JST)); JSPS KAKENHI(Ministry of Education, Culture, Sports, Science and Technology, Japan (MEXT)Japan Society for the Promotion of ScienceGrants-in-Aid for Scientific Research (KAKENHI)); National Science Foundation (U.S.A.)(National Science Foundation (NSF)); Observation Project of Global Atmospheric Change in the Antarctic; Ministry of Education, Culture, Sports, Science, and Technology of Japan(Ministry of Education, Culture, Sports, Science and Technology, Japan (MEXT)); Grants-in-Aid for Scientific Research(Ministry of Education, Culture, Sports, Science and Technology, Japan (MEXT)Japan Society for the Promotion of ScienceGrants-in-Aid for Scientific Research (KAKENHI)); Div Atmospheric &amp; Geospace Sciences; Directorate For Geosciences(National Science Foundation (NSF)NSF - Directorate for Geosciences (GEO))</t>
  </si>
  <si>
    <t>S.E. is grateful to the Iwatani Naoji Foundation's Research Grant, the Kurita Water and Environment Foundation, the Japan Science and Technology Agency (JST) PRESTO program, and JSPS KAKENHI grant number 15H05328. M.R.H. and A.J.C. acknowledge support from the National Science Foundation (U.S.A.) Grant AC-1238977. Aerosol measurements at Syowa Station, Antarctica were supported by Observation Project of Global Atmospheric Change in the Antarctic (Principal Investigator: T. Yamanouchi, NIPR), and Grant-in-Aid (16253001, Principal Investigator: T. Yamanouchi, and 15310012, Principle Investigator: K. Osada) from the Ministry of Education, Culture, Sports, Science, and Technology of Japan. Aerosol measurements on RV Umitaka-maru were supported by a Grant-in-Aid for Scientific Research in Priority Areas, grant number 18067005 (W-PASS), provided by the Ministry of Education, Culture, Sports, Science, and Technology of Japan.</t>
  </si>
  <si>
    <t>0013-936X</t>
  </si>
  <si>
    <t>1520-5851</t>
  </si>
  <si>
    <t>ENVIRON SCI TECHNOL</t>
  </si>
  <si>
    <t>Environ. Sci. Technol.</t>
  </si>
  <si>
    <t>10.1021/acs.est.5b05337</t>
  </si>
  <si>
    <t>Engineering, Environmental; Environmental Sciences</t>
  </si>
  <si>
    <t>Engineering; Environmental Sciences &amp; Ecology</t>
  </si>
  <si>
    <t>DE2JS</t>
  </si>
  <si>
    <t>WOS:000370454200024</t>
  </si>
  <si>
    <t>Pearce, DA; Alekhina, IA; Terauds, A; Wilmotte, A; Quesada, A; Edwards, A; Dommergue, A; Sattler, B; Adams, BJ; Magalhaes, C; Chu, WL; Lau, MCY; Cary, C; Smith, DJ; Wall, DH; Eguren, G; Matcher, G; Bradley, JA; de Vera, JP; Elster, J; Hughes, KA; Cuthbertson, L; Benning, LG; Gunde-Cimerman, N; Convey, P; Hong, SG; Pointing, SB; Pellizari, VH; Vincent, WF</t>
  </si>
  <si>
    <t>Pearce, David A.; Alekhina, Irina A.; Terauds, Aleks; Wilmotte, Annick; Quesada, Antonio; Edwards, Arwyn; Dommergue, Aurelien; Sattler, Birgit; Adams, Byron J.; Magalhaes, Catarina; Chu, Wan-Loy; Lau, Maggie C. Y.; Cary, Craig; Smith, David J.; Wall, Diana H.; Eguren, Gabriela; Matcher, Gwynneth; Bradley, James A.; de Vera, Jean-Pierre; Elster, Josef; Hughes, Kevin A.; Cuthbertson, Lewis; Benning, Liane G.; Gunde-Cimerman, Nina; Convey, Peter; Hong, Soon Gyu; Pointing, Steve B.; Pellizari, Vivian H.; Vincent, Warwick F.</t>
  </si>
  <si>
    <t>Aerobiology Over Antarctica - A New Initiative for Atmospheric Ecology</t>
  </si>
  <si>
    <t>aerobiology; Antarctica; metadata; biodiversity; biogeography</t>
  </si>
  <si>
    <t>AERIAL DISPERSAL; MICROORGANISMS; BIOGEOGRAPHY; BIODIVERSITY; TRANSPORT; BACTERIA</t>
  </si>
  <si>
    <t>The role of aerial dispersal in shaping patterns of biodiversity remains poorly understood, mainly due to a lack of coordinated efforts in gathering data at appropriate temporal and spatial scales. It has been long known that the rate of dispersal to an ecosystem can significantly influence ecosystem dynamics, and that aerial transport has been identified as an important source of biological input to remote locations. With the considerable effort devoted in recent decades to understanding atmospheric circulation in the south polar region, a unique opportunity has emerged to investigate the atmospheric ecology of Antarctica, from regional to continental scales. This concept note identifies key questions in Antarctic microbial biogeography and the need for standardized sampling and analysis protocols to address such questions. A consortium of polar aerobiologists is established to bring together researchers with a common interest in the airborne dispersion of microbes and other propagules in the Antarctic, with opportunities for comparative studies in the Arctic.</t>
  </si>
  <si>
    <t>[Pearce, David A.] Northumbria Univ, Fac Hlth &amp; Life Sci, Newcastle Upon Tyne NE1 8ST, Tyne &amp; Wear, England; [Pearce, David A.; Hughes, Kevin A.; Convey, Peter] British Antarctic Survey, Cambridge CB3 0ET, England; [Alekhina, Irina A.] Arctic &amp; Antarctic Res Inst, St Petersburg 199226, Russia; [Terauds, Aleks] Australian Antarctic Div, Kingston, Tas, Australia; [Wilmotte, Annick] Univ Liege, Liege, Belgium; [Quesada, Antonio] Univ Autonoma Madrid, Madrid, Spain; [Edwards, Arwyn] Aberystwyth Univ, Aberystwyth SY23 3FG, Dyfed, Wales; [Dommergue, Aurelien] Univ Grenoble Alpes, Grenoble, France; [Sattler, Birgit] Univ Innsbruck, A-6020 Innsbruck, Austria; [Adams, Byron J.] Brigham Young Univ, Provo, UT 84602 USA; [Magalhaes, Catarina] Univ Porto, Interdisciplinary Ctr Marine &amp; Environm Res, Rua Campo Alegre 823, P-4100 Oporto, Portugal; [Chu, Wan-Loy] Int Med Univ, Kuala Lumpur 57000, Malaysia; [Lau, Maggie C. Y.] Princeton Univ, Dept Geosci, Princeton, NJ 08544 USA; [Cary, Craig] Univ Waikato, Hamilton, New Zealand; [Smith, David J.] NASA, Ames Res Ctr, Moffett Field, CA 94035 USA; [Wall, Diana H.] Colorado State Univ, Ft Collins, CO 80523 USA; [Eguren, Gabriela] Univ Republica, Montevideo, Uruguay; [Matcher, Gwynneth] Rhodes Univ, ZA-6140 Grahamstown, South Africa; [Bradley, James A.] Univ Bristol, Bristol, Avon, England; [de Vera, Jean-Pierre] German Aerosp Ctr, Cologne, Germany; [Elster, Josef] Univ South Bohemia, Ceske Budejovice, Czech Republic; [Elster, Josef] Acad Sci Czech Republ, Inst Bot, Trebon, Czech Republic; [Cuthbertson, Lewis] Northumbria Univ, Newcastle Upon Tyne NE1 8ST, Tyne &amp; Wear, England; [Benning, Liane G.] German Res Ctr Geosci, Helmholtz Ctr Potsdam GFZ, Potsdam, Germany; [Gunde-Cimerman, Nina] Univ Ljubljana, Ljubljana, Slovenia; [Hong, Soon Gyu] Korea Polar Res Inst, Inchon, South Korea; [Pointing, Steve B.] Auckland Univ Technol, Auckland, New Zealand; [Pellizari, Vivian H.] Univ Sao Paulo, Sao Paulo, Brazil; [Vincent, Warwick F.] Univ Laval, Quebec City, PQ, Canada</t>
  </si>
  <si>
    <t>Northumbria University; UK Research &amp; Innovation (UKRI); Natural Environment Research Council (NERC); NERC British Antarctic Survey; Arctic &amp; Antarctic Research Institute; Australian Antarctic Division; University of Liege; Autonomous University of Madrid; Aberystwyth University; Communaute Universite Grenoble Alpes; Universite Grenoble Alpes (UGA); University of Innsbruck; Brigham Young University; Universidade do Porto; International Medical University Malaysia; Princeton University; University of Waikato; National Aeronautics &amp; Space Administration (NASA); NASA Ames Research Center; Colorado State University; Universidad de la Republica, Uruguay; Rhodes University; University of Bristol; Helmholtz Association; German Aerospace Centre (DLR); University of South Bohemia Ceske Budejovice; Czech Academy of Sciences; Institute of Botany of the Czech Academy of Sciences; Northumbria University; Helmholtz Association; Helmholtz-Center Potsdam GFZ German Research Center for Geosciences; University of Ljubljana; Korea Institute of Ocean Science &amp; Technology (KIOST); Korea Polar Research Institute (KOPRI); Auckland University of Technology; Universidade de Sao Paulo; Laval University</t>
  </si>
  <si>
    <t>Pearce, DA (corresponding author), Northumbria Univ, Fac Hlth &amp; Life Sci, Newcastle Upon Tyne NE1 8ST, Tyne &amp; Wear, England.</t>
  </si>
  <si>
    <t>david.pearce@northumbria.ac.uk</t>
  </si>
  <si>
    <t>Hughes, Kevin/JVZ-0793-2024; Convey, Peter/AAV-5728-2020; Elster, Josef/B-1031-2008; Vincent, Warwick/AAH-6152-2019; dommergue, aurelien/HLP-6539-2023; Sattler, Birgit/C-4070-2018; Wilmotte, Annick/H-1686-2011; Dommergue, Aurelien/A-2829-2009; Wall, Diana H/F-5491-2011; Chu, Wan-Loy/A-6896-2011; Pellizari, Vivian/J-9153-2012; Adams, Byron/C-3808-2009; Alekhina, Irina/L-2163-2016; Benning, Liane G./E-7071-2011; Quesada, Antonio/L-2430-2013; Magalhaes, Catarina/A-6836-2016</t>
  </si>
  <si>
    <t>Convey, Peter/0000-0001-8497-9903; Vincent, Warwick/0000-0001-9055-1938; dommergue, aurelien/0000-0002-8185-9604; Dommergue, Aurelien/0000-0002-8185-9604; Chu, Wan-Loy/0000-0002-1676-4131; Pellizari, Vivian/0000-0003-2757-6352; Adams, Byron/0000-0002-7815-3352; Alekhina, Irina/0000-0001-9820-8675; Bradley, James Andrew/0000-0003-3640-208X; Lau Vetter, Maggie C.Y./0000-0003-2812-9749; Matcher, Gwynneth/0000-0001-6206-696X; Cary, Stephen/0000-0002-2876-2387; Pearce, David/0000-0001-5292-4596; Wilmotte, Annick/0000-0003-3546-3489; Benning, Liane G./0000-0001-9972-5578; Gunde-Cimerman, Nina/0000-0002-9464-3263; Elster, Josef/0000-0002-4535-5636; Quesada, Antonio/0000-0002-8913-5993; Magalhaes, Catarina/0000-0001-9576-2398</t>
  </si>
  <si>
    <t>Natural Environment Research Council [bas0100036, bas010011] Funding Source: researchfish; Directorate For Geosciences; Office of Polar Programs (OPP) [1115245] Funding Source: National Science Foundation; NERC [bas010011, bas0100036] Funding Source: UKRI</t>
  </si>
  <si>
    <t>Natural Environment Research Council(UK Research &amp; Innovation (UKRI)Natural Environment Research Council (NERC)); Directorate For Geosciences; Office of Polar Programs (OPP)(National Science Foundation (NSF)NSF - Directorate for Geosciences (GEO)); NERC(UK Research &amp; Innovation (UKRI)Natural Environment Research Council (NERC))</t>
  </si>
  <si>
    <t>10.3389/fmicb.2016.00016</t>
  </si>
  <si>
    <t>DD7QJ</t>
  </si>
  <si>
    <t>WOS:000370118900001</t>
  </si>
  <si>
    <t>Viehl, TP; Plane, JMC; Feng, W; Höffner, J</t>
  </si>
  <si>
    <t>Viehl, T. P.; Plane, J. M. C.; Feng, W.; Hoeffner, J.</t>
  </si>
  <si>
    <t>The photolysis of FeOH and its effect on the bottomside of the mesospheric Fe layer</t>
  </si>
  <si>
    <t>mesospheric Fe layer; FeOH photolysis; mesospheric metals; WACCM; lidar</t>
  </si>
  <si>
    <t>IRON-OXIDES; COSMIC DUST; MESOPAUSE; CHEMISTRY; TEMPERATURE; HYDROXIDES; TRANSITION; MODEL</t>
  </si>
  <si>
    <t>Metal layers in the upper mesosphere and lower thermosphere are created through meteoric ablation. They are important for understanding the temperature structure, dynamics, and chemistry of this atmospheric region. Recent lidar observations have shown a regular downward extension of the Fe layer bottomside which correlates with solar radiation. In this study we combine lidar observations, quantum chemical calculations, and model simulations to show that this bottomside extension is primarily caused by photolysis of FeOH. We determine the photolysis rate to be s(-1). We also show that the reaction is slower at mesospheric temperatures than previous estimates. With these updated rate coefficients, we are able to significantly improve the modeling of the Fe layer bottomside. The calculations further show the nearly complete depletion of FeOH during sunlit periods. This may have implications for cloud nuclei in the middle atmosphere.</t>
  </si>
  <si>
    <t>[Viehl, T. P.; Hoeffner, J.] Univ Rostock, Leibniz Inst Atmospher Phys, Kuhlungsborn, Germany; [Plane, J. M. C.; Feng, W.] Univ Leeds, Sch Chem, Leeds LS2 9JT, W Yorkshire, England; [Feng, W.] Univ Leeds, Sch Earth &amp; Environm, Natl Ctr Atmospher Sci, Leeds, W Yorkshire, England</t>
  </si>
  <si>
    <t>Leibniz Institut fur Atmospharenphysik e.V. an der Universitat Rostock (IAP); University of Rostock; University of Leeds; University of Leeds; UK Research &amp; Innovation (UKRI); Natural Environment Research Council (NERC); NERC National Centre for Atmospheric Science</t>
  </si>
  <si>
    <t>Viehl, TP (corresponding author), Univ Rostock, Leibniz Inst Atmospher Phys, Kuhlungsborn, Germany.</t>
  </si>
  <si>
    <t>FENG, WUHU/B-8327-2008; Plane, John/C-7444-2015</t>
  </si>
  <si>
    <t>FENG, WUHU/0000-0002-9907-9120; Viehl, Timo/0000-0002-7948-5666; Plane, John/0000-0003-3648-6893</t>
  </si>
  <si>
    <t>European Research Council [291332-CODITA]; Australian Antarctic Division under Australian Antarctic science [2325]; Natural Environment Research Council [ncas10006] Funding Source: researchfish; NERC [ncas10006] Funding Source: UKRI</t>
  </si>
  <si>
    <t>European Research Council(European Research Council (ERC)); Australian Antarctic Division under Australian Antarctic science; Natural Environment Research Council(UK Research &amp; Innovation (UKRI)Natural Environment Research Council (NERC)); NERC(UK Research &amp; Innovation (UKRI)Natural Environment Research Council (NERC))</t>
  </si>
  <si>
    <t>The theoretical and modeling work was funded by the European Research Council (grant 291332-CODITA). The measurements at Davis were supported by the Australian Antarctic Division under Australian Antarctic science project 2325 led by R.J. Morris. T.P. Viehl and J. Hoffner would like to thank their fellow expeditioners of the 64th, 65th, and 66th ANARE at Davis and the AAD staff for their dedicated support throughout the project as well as R.J. Morris and B. Kaifler for assisting with the measurements in Antarctica. We thank R. Worl and the staff of the Andoya Space Center in Andenes, Norway, for their ongoing support with the measurements in the Arctic.</t>
  </si>
  <si>
    <t>10.1002/2015GL067241</t>
  </si>
  <si>
    <t>DG4QI</t>
  </si>
  <si>
    <t>WOS:000372056600053</t>
  </si>
  <si>
    <t>Wood, JR; Wilmshurst, JM; Turney, CSM; Fogwill, CJ</t>
  </si>
  <si>
    <t>Wood, Jamie R.; Wilmshurst, Janet M.; Turney, Chris S. M.; Fogwill, Christopher J.</t>
  </si>
  <si>
    <t>Palaeoecological signatures of vegetation change induced by herbivory regime shifts on subantarctic Enderby Island</t>
  </si>
  <si>
    <t>Dung-fungi; Herbivores; Holocene; Palynology; Palaeoecology; Proxies; Subantarctic</t>
  </si>
  <si>
    <t>NEW-ZEALAND; AUCKLAND ISLANDS; PLEISTOCENE; POLLEN; EXTINCTIONS; SEDIMENTS; DYNAMICS; SPORES; PROXY; LAKE</t>
  </si>
  <si>
    <t>The stratigraphic relationships of palaeoecological proxies and use of changepoint analyses to determine the cause and effect relationships between past events has allowed a better understanding of the relative contributions of humans and environmental drivers to Late Quaternary extinctions and of their effects on terrestrial ecosystems. Few studies, however, have validated these approaches at localities where past interactions between vegetation communities and large herbivores are well-documented. Here, we use a peat core from subantarctic Enderby Island to present the first study tracing the spores of dung fungi alongside pollen at a site where the history of mammalian herbivore introductions (and subsequent eradication), and their effects on the vegetation, are precisely known. We find a strong connection between spore influx rates of the dung-fungus Sporormiella and PCA axis 1 of the pollen assemblages, suggesting that past vegetation change caused by herbivore introductions and eradications at the core site can be readily deduced from the palaeoecological record. The response of the vegetation community to the removal of herbivores was so rapid, however, that a difference in timing between changepoints relating to specific pollen taxa, the overall pollen community, and the decline of Sporormiella spores, could not be resolved in our record, despite a sampling resolution of &lt;5 years. We suggest that further case-studies, spanning different vegetation and herbivore communities, are required to provide increased confidence in inferences drawn about cause-and-effect relationships using proxy changepoint offsets in palaeoecological records. (C) 2016 Elsevier Ltd. All rights reserved.</t>
  </si>
  <si>
    <t>[Wood, Jamie R.; Wilmshurst, Janet M.] Landcare Res, Long Term Ecol Lab, POB 69040, Lincoln 7640, New Zealand; [Wilmshurst, Janet M.] Univ Auckland, Sch Environm, Private Bag 92019, Auckland 1142, New Zealand; [Turney, Chris S. M.; Fogwill, Christopher J.] Univ New S Wales, Sch Biol Earth &amp; Environm Sci, Climate Change Res Ctr, Sydney, NSW 2052, Australia</t>
  </si>
  <si>
    <t>Landcare Research - New Zealand; University of Auckland; University of New South Wales Sydney</t>
  </si>
  <si>
    <t>Wood, JR (corresponding author), Landcare Res, Long Term Ecol Lab, POB 69040, Lincoln 7640, New Zealand.</t>
  </si>
  <si>
    <t>woodj@landcareresearch.co.nz; wilmshurstj@landcareresearch.co.nz; c.turney@unsw.edu.au; c.fogwill@unsw.edu.au</t>
  </si>
  <si>
    <t>Wood, Jamie/AAU-5530-2021; Fogwill, Christopher/HPF-1150-2023; Wilmshurst, Janet/O-8611-2019; Fogwill, Chris/AAW-3502-2021; Wood, Jamie/A-9393-2008; Turney, Chris/P-8701-2018</t>
  </si>
  <si>
    <t>Wilmshurst, Janet/0000-0002-4474-8569; Fogwill, Chris/0000-0002-6471-1106; Wood, Jamie/0000-0001-8008-6083; Turney, Chris/0000-0001-6733-0993</t>
  </si>
  <si>
    <t>Department of Conservation [37687-FAU]; Core Funding for Crown Research Institutes; New Zealand Ministry of Business, Innovation and Employment's Science and Innovation Group</t>
  </si>
  <si>
    <t>Department of Conservation; Core Funding for Crown Research Institutes; New Zealand Ministry of Business, Innovation and Employment's Science and Innovation Group(New Zealand Ministry of Business, Innovation and Employment (MBIE))</t>
  </si>
  <si>
    <t>We thank the Department of Conservation for their support (DOC research permit National Authorisation # 37687-FAU) and the Australasian Antarctic Expedition 2013-2014 (www.spiritofmawson.com). We also thank B. Beaven, J. McDiarmid and V. Meduna for assistance in the field; K. Boot for laboratory sampling and macroscopic charcoal counts; and N. Bolstridge for preparing pollen slides. Our study was supported by Core Funding for Crown Research Institutes, from the New Zealand Ministry of Business, Innovation and Employment's Science and Innovation Group.</t>
  </si>
  <si>
    <t>FEB 15</t>
  </si>
  <si>
    <t>10.1016/j.quascirev.2015.12.018</t>
  </si>
  <si>
    <t>DF9BI</t>
  </si>
  <si>
    <t>WOS:000371654900004</t>
  </si>
  <si>
    <t>de Wet, GA; Castañeda, IS; DeConto, RM; Brigham-Grette, J</t>
  </si>
  <si>
    <t>de Wet, Gregory A.; Castaneda, Isla S.; DeConto, Robert M.; Brigham-Grette, Julie</t>
  </si>
  <si>
    <t>A high-resolution mid-Pleistocene temperature record from Arctic Lake El'gygytgyn: a 50 kyr super interglacial from MIS 33 to MIS 31?</t>
  </si>
  <si>
    <t>paleoclimatology; Arctic; marine isotope stage 31; super interglacial; branched GDGT</t>
  </si>
  <si>
    <t>ANTARCTIC ICE-SHEET; DIALKYL GLYCEROL TETRAETHERS; ENVIRONMENTAL CONTROLS; PACIFIC; VARIABILITY; SEDIMENTS; LIPIDS; PALEOTHERMOMETRY; CALIBRATION; ATLANTIC</t>
  </si>
  <si>
    <t>Previous periods of extreme warmth in Earth's history are of great interest in light of current and predicted anthropogenic warming. Numerous so called super interglacial intervals, with summer temperatures significantly warmer than today, have been identified in the 3.6 million year (Ma) sediment record from Lake El'gygytgyn, northeast Russia. To date, however, a high-resolution paleotemperature reconstruction from any of these super interglacials is lacking. Here we present a paleotemperature reconstruction based on branched glycerol dialkyl glycerol tetraethers (brGDGTs) from Marine Isotope Stages (MIS) 35 to MIS 29, including super interglacial MIS 31. To investigate this period in detail, samples were analyzed with an unprecedented average sample resolution of 500 yrs from MIS 33 to MIS 30. Our results suggest the entire period currently defined as MIS 33-31 (similar to 1114-1062 kyr BP) was characterized by generally warm and highly variable conditions at the lake, at times out of phase with Northern Hemisphere summer insolation, and that cold glacial conditions during MIS 32 lasted only a few thousand years. Close similarities are seen with coeval records from high southern latitudes, supporting the suggestion that the interval from MIS 33 to MIS 31 was an exceptionally long interglacial (Teitler et al., 2015). Based on brGDGT temperatures from Lake El'gygytgyn (this study and unpublished results), warming in the western Arctic during MIS 31 was matched only by MIS 11 during the Pleistocene. (C) 2016 Elsevier B.V. All rights reserved.</t>
  </si>
  <si>
    <t>[de Wet, Gregory A.; Castaneda, Isla S.; DeConto, Robert M.; Brigham-Grette, Julie] Univ Massachusetts, Dept Geosci, Amherst, MA 01003 USA</t>
  </si>
  <si>
    <t>University of Massachusetts System; University of Massachusetts Amherst</t>
  </si>
  <si>
    <t>de Wet, GA (corresponding author), Univ Massachusetts, Dept Geosci, Amherst, MA 01003 USA.</t>
  </si>
  <si>
    <t>gdewet@geo.umass.edu</t>
  </si>
  <si>
    <t>Castaneda, Isla/0000-0002-2524-9326</t>
  </si>
  <si>
    <t>International Continental Scientific Drilling Program (ICDP); US National Science Foundation (NSF); German Federal Ministry of Education and Research (BMBF); Alfred Wegener Institute (AWI); GeoForschungsZentrum Potsdam (GFZ); Russian Academy of Sciences Far East Branch (RAS FEB); Russian Foundation for Basic Research (RFBR); Austrian Federal Ministry of Science and Research (BMWF); NSF [1204087]; Directorate For Geosciences; Division Of Earth Sciences [1204087] Funding Source: National Science Foundation</t>
  </si>
  <si>
    <t>International Continental Scientific Drilling Program (ICDP); US National Science Foundation (NSF)(National Science Foundation (NSF)); German Federal Ministry of Education and Research (BMBF)(Federal Ministry of Education &amp; Research (BMBF)); Alfred Wegener Institute (AWI); GeoForschungsZentrum Potsdam (GFZ); Russian Academy of Sciences Far East Branch (RAS FEB); Russian Foundation for Basic Research (RFBR)(Russian Foundation for Basic Research (RFBR)); Austrian Federal Ministry of Science and Research (BMWF); NSF(National Science Foundation (NSF)); Directorate For Geosciences; Division Of Earth Sciences(National Science Foundation (NSF)NSF - Directorate for Geosciences (GEO))</t>
  </si>
  <si>
    <t>We thank Jeff Salacup, Ben Keisling, and Helen Habicht for meaningful discussions and Jeff for his assistance in the laboratory. Juliane Bischoff is acknowledged for sharing insights on unpublished data. We thank two anonymous reviewers whose meaningful comments and suggestions improved the manuscript. Data associated with this study will be made available on the NOAA National Centers for Environmental Information website. Drilling operations at Lake El'gygytgyn were funded by the International Continental Scientific Drilling Program (ICDP), the US National Science Foundation (NSF), the German Federal Ministry of Education and Research (BMBF), Alfred Wegener Institute (AWI) and GeoForschungsZentrum Potsdam (GFZ), the Russian Academy of Sciences Far East Branch (RAS FEB), the Russian Foundation for Basic Research (RFBR), and the Austrian Federal Ministry of Science and Research (BMWF). Primary funding for this research was provided by NSF grant # 1204087.</t>
  </si>
  <si>
    <t>10.1016/j.epsl.2015.12.021</t>
  </si>
  <si>
    <t>DD1KO</t>
  </si>
  <si>
    <t>WOS:000369680800006</t>
  </si>
  <si>
    <t>Vullo, D; De Luca, V; Del Prete, S; Carginale, V; Scozzafava, A; Osman, SM; AlOthman, Z; Capasso, C; Supuran, CT</t>
  </si>
  <si>
    <t>Vullo, Daniela; De Luca, Viviana; Del Prete, Sonia; Carginale, Vincenzo; Scozzafava, Andrea; Osman, Sameh M.; AlOthman, Zeid; Capasso, Clemente; Supuran, Claudiu T.</t>
  </si>
  <si>
    <t>Sulfonamide inhibition studies of the γ-carbonic anhydrase from the Antarctic bacterium Colwellia psychrerythraea</t>
  </si>
  <si>
    <t>BIOORGANIC &amp; MEDICINAL CHEMISTRY LETTERS</t>
  </si>
  <si>
    <t>Carbonic anhydrase; Metalloenzymes; Inhibitors; Sulfonamide; Psychrophiles; Hydratase activity; Antarctic carbonic anhydrase; Cold adaptation; Cold enzymes</t>
  </si>
  <si>
    <t>PLASMODIUM-FALCIPARUM; SELECTIVE INHIBITORS; ANION INHIBITION; FISH; METALLOTHIONEIN; CLONING; ALPHA; PROTONOGRAPHY; EXTREMOPHILES; STABILITY</t>
  </si>
  <si>
    <t>The Antarctic bacterium Colwellia psychrerythraea encodes for a gamma-class carbonic anhydrase (CA, EC 4.2.1.1), which was cloned, purified and characterized. The enzyme (CpsCA gamma) has a moderate catalytic activity for the physiologic reaction of CO2 hydration to bicarbonate and protons, with a k(cat) 6.0 x 10(5) s(-1) and a k(cat)/K-m of 4.7 x 10(6) M-1 s(-1). A series of sulfonamides and a sulfamate were investigated as inhibitors of the new enzyme. The best inhibitor was metanilamide (K-I of 83.5 nM) followed by indisulam, valdecoxib, celecoxib, sulthiame and hydrochlorothiazide (K(I)s ranging between 343 and 491 nM). Acetazolamide, methazolamide as well as other aromatic/heterocyclic derivatives showed inhibition constants between 502 and 7660 nM. The present study may shed some more light regarding the role that gamma-CAs play in the life cycle of psychrophilic bacteria as the Antarctic one investigated here, by allowing the identification of inhibitors which may be useful as pharmacologic tools. (C) 2016 Elsevier Ltd. All rights reserved.</t>
  </si>
  <si>
    <t>[Vullo, Daniela; Del Prete, Sonia; Scozzafava, Andrea; Supuran, Claudiu T.] Univ Florence, Dipartimento Chim, Lab Chim Bioinorgan, Polo Sci, Via Lastruccia 3, I-50019 Florence, Italy; [De Luca, Viviana; Del Prete, Sonia; Carginale, Vincenzo; Capasso, Clemente] CNR, Ist Biosci &amp; Biorisorse, Via Pietro Castellino 81, I-80125 Naples, Italy; [Osman, Sameh M.; AlOthman, Zeid] King Saud Univ, Coll Sci, Dept Chem, POB 2455, Riyadh 11451, Saudi Arabia; [Osman, Sameh M.; AlOthman, Zeid] King Saud Univ, Coll Sci, Dept Chem, Adv Mat Res Chair, Riyadh 11451, Saudi Arabia; [Supuran, Claudiu T.] Univ Florence, Dipartimento Neurofarba, Sez Sci Farmaceut &amp; Nutraceut, Via U Schiff 6, I-50019 Florence, Italy</t>
  </si>
  <si>
    <t>University of Florence; Consiglio Nazionale delle Ricerche (CNR); Istituto di Bioscienze e Biorisorse (IBBR-CNR); King Saud University; King Saud University; University of Florence</t>
  </si>
  <si>
    <t>Supuran, CT (corresponding author), Univ Florence, Dipartimento Chim, Lab Chim Bioinorgan, Polo Sci, Via Lastruccia 3, I-50019 Florence, Italy.;Capasso, C (corresponding author), CNR, Ist Biosci &amp; Biorisorse, Via Pietro Castellino 81, I-80125 Naples, Italy.;Supuran, CT (corresponding author), Univ Florence, Dipartimento Neurofarba, Sez Sci Farmaceut &amp; Nutraceut, Via U Schiff 6, I-50019 Florence, Italy.</t>
  </si>
  <si>
    <t>clemente.capasso@ibbr.cnr.it; claudiu.supura-n@unifi.it</t>
  </si>
  <si>
    <t>De Luca, Viviana/Q-2911-2016; ALOthman, Zeid A./E-7333-2014; Osman, Sameh/O-1800-2013; Carginale, Vincenzo/N-2531-2014; CAPASSO, CLEMENTE/P-3522-2016</t>
  </si>
  <si>
    <t>ALOthman, Zeid A./0000-0001-9970-2480; Osman, Sameh/0000-0003-1564-7301; DE LUCA, Viviana/0000-0003-3406-833X; VULLO, Daniela/0000-0002-1352-1900; Carginale, Vincenzo/0000-0002-1842-494X; Supuran, Claudiu/0000-0003-4262-0323; CAPASSO, CLEMENTE/0000-0003-3314-2411</t>
  </si>
  <si>
    <t>Italian National Antarctic Research Project [PNRA2013/AZ1.02]; King Saud University, Saudi Arabia</t>
  </si>
  <si>
    <t>Italian National Antarctic Research Project; King Saud University, Saudi Arabia(King Saud University)</t>
  </si>
  <si>
    <t>This work was financed by the Italian National Antarctic Research Project PNRA2013/AZ1.02 and by the vice deanship of research chairs, King Saud University, Saudi Arabia.</t>
  </si>
  <si>
    <t>0960-894X</t>
  </si>
  <si>
    <t>1464-3405</t>
  </si>
  <si>
    <t>BIOORG MED CHEM LETT</t>
  </si>
  <si>
    <t>Bioorg. Med. Chem. Lett.</t>
  </si>
  <si>
    <t>10.1016/j.bmcl.2016.01.023</t>
  </si>
  <si>
    <t>Chemistry, Medicinal; Chemistry, Organic</t>
  </si>
  <si>
    <t>Pharmacology &amp; Pharmacy; Chemistry</t>
  </si>
  <si>
    <t>DC7CZ</t>
  </si>
  <si>
    <t>WOS:000369377700031</t>
  </si>
  <si>
    <t>Tyra, M; Brearley, A; Guan, YB</t>
  </si>
  <si>
    <t>Tyra, Mark; Brearley, Adrian; Guan, Yunbin</t>
  </si>
  <si>
    <t>Episodic carbonate precipitation in the CM chondrite ALH 84049: An ion microprobe analysis of O and C isotopes</t>
  </si>
  <si>
    <t>OXYGEN-ISOTOPE; AQUEOUS ALTERATION; ORGANIC-MATTER; PARENT BODIES; HYDROUS ASTEROIDS; MODAL MINERALOGY; EVOLUTION; FRACTIONATION; DOLOMITE; ORIGIN</t>
  </si>
  <si>
    <t>We have determined the O and C isotope compositions of dolomite grains and the C isotope compositions of calcite grains in the highly altered CM1 chondrite, ALH 84049, using Secondary Ion Mass Spectrometry (SIMS). Chemically-zoned dolomite constitutes 0.8 volume percent (vol%) of the sample and calcite 0.9 vol%. Thirteen separate dolomite grains have delta C-13 values that range from 37 to 60 (+2) %, delta O-18 values from 25 to 32 (+3) %, and delta O-17 values from 10 to 16 (+3) % (VSMOW). Intragrain delta C-13 values in dolomite vary up to 10%. The delta C-13 values of three calcite grains are distinct from those of dolomite and range from 10 to 13 (+/- 2) % (PDB). Calcite and dolomite appear to record different precipitation episodes. Carbon isotope values of both dolomite and calcite in this single sample encompass much of the reported range for CM chondrites; our results imply that bulk carbonate C and O isotope analyses may oversimplify the history of carbonate precipitation. Multiple generations of carbonates with variable isotope compositions exist in ALH 84049 and, perhaps, in many CM chondrites. This work shows that one should exercise caution when using a clumped isotope approach to determine the original temperature and the isotopic compositions of water for CM chondrite carbonates. Less altered CM meteorites with more-homogeneous C isotope compositions, however, may be suitable for bulk-carbonate analyses, but detailed carbonate petrologic and isotopic characterization of individual samples is advised. Published by Elsevier Ltd.</t>
  </si>
  <si>
    <t>[Tyra, Mark; Brearley, Adrian] Univ New Mexico, Dept Earth &amp; Planetary Sci, Albuquerque, NM 87131 USA; [Guan, Yunbin] CALTECH, Div Geol &amp; Planetary Sci, Pasadena, CA 91125 USA; [Tyra, Mark] NIST, 100 Bur Dr,MS 8462, Gaithersburg, MD 20899 USA</t>
  </si>
  <si>
    <t>University of New Mexico; California Institute of Technology; National Institute of Standards &amp; Technology (NIST) - USA</t>
  </si>
  <si>
    <t>Tyra, M (corresponding author), Univ New Mexico, Dept Earth &amp; Planetary Sci, Albuquerque, NM 87131 USA.;Tyra, M (corresponding author), NIST, 100 Bur Dr,MS 8462, Gaithersburg, MD 20899 USA.</t>
  </si>
  <si>
    <t>matyra@unm.edu</t>
  </si>
  <si>
    <t>Brearley, Adrian/0000-0002-7364-8815; Tyra, Mark/0000-0002-7148-8643</t>
  </si>
  <si>
    <t>NASA [NNG06GG37G, NNX11AK51G]; NSF; N.M. Space Grant; Meteoritical Society; NASA [NNX11AK51G, 143207] Funding Source: Federal RePORTER</t>
  </si>
  <si>
    <t>NASA(National Aeronautics &amp; Space Administration (NASA)); NSF(National Science Foundation (NSF)); N.M. Space Grant; Meteoritical Society; NASA(National Aeronautics &amp; Space Administration (NASA))</t>
  </si>
  <si>
    <t>This work was supported by NASA Grant NNG06GG37G and NNX11AK51G to A.J. Brearley (PI), the N.M. Space Grant (M.A. Tyra), and a 2010 Meteoritical Society student travel award (M.A. Tyra). I am grateful for discussions with Scott Jasechko, Maarten de Moor, and Rena Ford. Electron microscopy and electron microprobe analyses were carried out in the Electron Microbeam Analysis Facility, Department of Earth and Planetary Sciences, University of New Mexico, a facility supported by the State of New Mexico. We are particularly grateful to Mike Spilde for his assistance with the SEM and electron microprobe.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Finally, we acknowledge the hard work of Conel Alexander, Monica Grady, Chris Herd (AE) and an anonymous reviewer whose work extensively improved the manuscript.</t>
  </si>
  <si>
    <t>10.1016/j.gca.2015.10.034</t>
  </si>
  <si>
    <t>DC2TR</t>
  </si>
  <si>
    <t>WOS:000369070000013</t>
  </si>
  <si>
    <t>De Luca, V; Vullo, D; Del Prete, S; Carginale, V; Osman, SM; AlOthman, Z; Supuran, CT; Capasso, C</t>
  </si>
  <si>
    <t>De Luca, Viviana; Vullo, Daniela; Del Prete, Sonia; Carginale, Vincenzo; Osman, Sameh M.; AlOthman, Zeid; Supuran, Claudiu T.; Capasso, Clemente</t>
  </si>
  <si>
    <t>Cloning, characterization and anion inhibition studies of a γ-carbonic anhydrase from the Antarctic bacterium Colwellia psychrerythraea</t>
  </si>
  <si>
    <t>BIOORGANIC &amp; MEDICINAL CHEMISTRY</t>
  </si>
  <si>
    <t>Carbonic anhydrase; Metalloenzymes; Inhibitors; Anions; Psychrophiles; Hydratase activity; Antarctic carbonic anhydrase; Cold adaptation; Cold-enzymes</t>
  </si>
  <si>
    <t>SULFURIHYDROGENIBIUM-YELLOWSTONENSE YO3AOP1; PATHOGEN LEGIONELLA-PNEUMOPHILA; CYANOBACTERIUM NOSTOC-COMMUNE; PORPHYROMONAS-GINGIVALIS; SULFONAMIDE INHIBITION; PLASMODIUM-FALCIPARUM; ISOZYME-II; AROMATIC/HETEROCYCLIC SULFONAMIDES; PSEUDOALTEROMONAS-HALOPLANKTIS; BIOCHEMICAL-CHARACTERIZATION</t>
  </si>
  <si>
    <t>We have cloned, purified and characterized the gamma-carbonic anhydrase (CA, EC 4.2.1.1) present in the genome of the Antarctic bacterium Colwellia psychrerythraea, which is an obligate psychrophile. The enzyme shows a significant catalytic activity for the physiologic reaction of CO2 hydration to bicarbonate and protons, with the following kinetic parameters: k(cat) of 6.0 x 10(5) s(-1) and a k(cat)/K-m of 4.7 x 10(6) M-1 x s(-1). This activitywas inhibited by the sulfonamide CA inhibitor (CAI) acetazolamide, with a K-I of 502 nM. A range of anions was also investigated for their inhibitory action against the new enzyme CpsCA. Perchlorate, tetrafluoroborate, fluoride and bromide were not inhibitory, whereas cyanate, thiocyanate, cyanide, hydrogensulfide, carbonate and bicarbonate showed K(I)s in the range of 1.4-4.4 mM. Diethyldithiocarbamate was a better inhibitor (K-I of 0.58 mM) whereas sulfamide, sulfamate, phenylboronic acid and phenylarsonic acid were the most effective inhibitors detected, with K(I)s ranging between 8 and 38 mu M. The present study may shed some more light regarding the role that gamma-CAs play in the life cycle of psychrophilic bacteria as the Antarctic one investigated here. (c) 2016 Elsevier Ltd. All rights reserved.</t>
  </si>
  <si>
    <t>[De Luca, Viviana; Del Prete, Sonia; Carginale, Vincenzo; Capasso, Clemente] CNR, Ist Biosci &amp; Biorisorse, Via Pietro Castellino 81, I-80125 Naples, Italy; [Vullo, Daniela; Del Prete, Sonia; Supuran, Claudiu T.] Univ Florence, Dipartimento Chim, Lab Chim Bioinorgan, Polo Sci, Via Lastruccia 3, I-50019 Florence, Italy; [Osman, Sameh M.; AlOthman, Zeid; Supuran, Claudiu T.] King Saud Univ, Coll Sci, Dept Chem, POB 2455, Riyadh 11451, Saudi Arabia; [Osman, Sameh M.; AlOthman, Zeid] King Saud Univ, Coll Sci, Dept Chem, Adv Mat Res Chair, Riyadh 11451, Saudi Arabia; [Supuran, Claudiu T.] Univ Florence, Dipartimento Neurofarba, Sez Sci Farmaceut, Polo Sci, Via U Schiff 6, I-50019 Florence, Italy</t>
  </si>
  <si>
    <t>Consiglio Nazionale delle Ricerche (CNR); Istituto di Bioscienze e Biorisorse (IBBR-CNR); University of Florence; King Saud University; King Saud University; University of Florence</t>
  </si>
  <si>
    <t>Capasso, C (corresponding author), CNR, Ist Biosci &amp; Biorisorse, Via Pietro Castellino 81, I-80125 Naples, Italy.;Supuran, CT (corresponding author), Univ Florence, Dipartimento Chim, Lab Chim Bioinorgan, Polo Sci, Via Lastruccia 3, I-50019 Florence, Italy.;Supuran, CT (corresponding author), King Saud Univ, Coll Sci, Dept Chem, POB 2455, Riyadh 11451, Saudi Arabia.;Supuran, CT (corresponding author), Univ Florence, Dipartimento Neurofarba, Sez Sci Farmaceut, Polo Sci, Via U Schiff 6, I-50019 Florence, Italy.</t>
  </si>
  <si>
    <t>claudiu.supuran@unifi.it; clemente.capasso@ibbr.cnr.it</t>
  </si>
  <si>
    <t>ALOthman, Zeid A./E-7333-2014; De Luca, Viviana/Q-2911-2016; Osman, Sameh/O-1800-2013; CAPASSO, CLEMENTE/P-3522-2016; Carginale, Vincenzo/N-2531-2014</t>
  </si>
  <si>
    <t>ALOthman, Zeid A./0000-0001-9970-2480; Osman, Sameh/0000-0003-1564-7301; Supuran, Claudiu/0000-0003-4262-0323; CAPASSO, CLEMENTE/0000-0003-3314-2411; VULLO, Daniela/0000-0002-1352-1900; DE LUCA, Viviana/0000-0003-3406-833X; Carginale, Vincenzo/0000-0002-1842-494X</t>
  </si>
  <si>
    <t>Italian National Antarctic Research Project PNRA [2013/AZ1.02]; vice deanship of research chairs of King Saud University, Riyadh, Saudi Arabia; Distinguished Scientist Fellowship Program (DSFP) of King Saud University, Riyadh, Saudi Arabia</t>
  </si>
  <si>
    <t>Italian National Antarctic Research Project PNRA; vice deanship of research chairs of King Saud University, Riyadh, Saudi Arabia; Distinguished Scientist Fellowship Program (DSFP) of King Saud University, Riyadh, Saudi Arabia</t>
  </si>
  <si>
    <t>This article was financed by the Italian National Antarctic Research Project PNRA 2013/AZ1.02, by the vice deanship of research chairs, and a Distinguished Scientist Fellowship Program (DSFP) of King Saud University, Riyadh, Saudi Arabia.</t>
  </si>
  <si>
    <t>0968-0896</t>
  </si>
  <si>
    <t>1464-3391</t>
  </si>
  <si>
    <t>BIOORGAN MED CHEM</t>
  </si>
  <si>
    <t>Bioorg. Med. Chem.</t>
  </si>
  <si>
    <t>10.1016/j.bmc.2016.01.005</t>
  </si>
  <si>
    <t>Biochemistry &amp; Molecular Biology; Chemistry, Medicinal; Chemistry, Organic</t>
  </si>
  <si>
    <t>Biochemistry &amp; Molecular Biology; Pharmacology &amp; Pharmacy; Chemistry</t>
  </si>
  <si>
    <t>DC0HT</t>
  </si>
  <si>
    <t>WOS:000368898500034</t>
  </si>
  <si>
    <t>Xavier, JC; Ferreira, S; Tavares, S; Santos, N; Mieiro, CL; Trathan, PN; Lourenço, S; Martinho, F; Steinke, D; Seco, J; Pereira, E; Pardal, M; Cherel, Y</t>
  </si>
  <si>
    <t>Xavier, Jose Carlos; Ferreira, Sonia; Tavares, Silvia; Santos, Nuno; Mieiro, Claudia Leopoldina; Trathan, Phil N.; Lourenco, Silvia; Martinho, Filipe; Steinke, Dirk; Seco, Jose; Pereira, Eduarda; Pardal, Miguel; Cherel, Yves</t>
  </si>
  <si>
    <t>The significance of cephalopod beaks in marine ecology studies: Can we use beaks for DNA analyses and mercury contamination assessment?</t>
  </si>
  <si>
    <t>Squid beaks; Toxicology; DNA; Mercury levels</t>
  </si>
  <si>
    <t>TOOTHFISH DISSOSTICHUS-ELEGINOIDES; SOUTHERN-OCEAN; OCTOPUS-VULGARIS; STABLE-ISOTOPES; TROPHIC ECOLOGY; DIGESTIVE GLAND; INCLUDING GIANT; SQUID; PREY; DIET</t>
  </si>
  <si>
    <t>Cephalopod beaks found in the diet of predators have been major source of scientific information. In this study, we evaluated the usefulness of DNA and contaminants analysis (total mercury - T-Hg) in cephalopod beaks in order to assess their applicability as tools in marine ecology studies. We concluded that, when applying DNA techniques to cephalopod beaks from Antarctic squid species, when using flesh attached to those beaks, it was possible to obtain DNA and to successfully identify cephalopod species; DNA was not found on the beaks themselves. This study also showed that it is possible to obtain information on T-Hg concentrations in beaks: the T-Hg concentrations found in the beaks were 6 to 46 times lower than in the flesh of the same cephalopod species. More research on the relationships of mercury concentrations in cephalopod beaks (and other tissues), intra- and inter-specifically, are needed in the future. (C) 2015 Elsevier Ltd. All rights reserved.</t>
  </si>
  <si>
    <t>[Xavier, Jose Carlos; Lourenco, Silvia] Univ Coimbra, Dept Ciencias Vida, MARE Marine &amp; Environm Sci Ctr, P-3001401 Coimbra, Portugal; [Xavier, Jose Carlos; Trathan, Phil N.] British Antarctic Survey, NERC, Madingley Rd, Cambridge CB3 0ET, England; [Ferreira, Sonia; Santos, Nuno] Inst Educ &amp; Citizenship, Dept Hlth &amp; Educ, P-3770033 Mamarrosa, Portugal; [Tavares, Silvia; Mieiro, Claudia Leopoldina; Martinho, Filipe; Pardal, Miguel] Univ Coimbra, Dept Life Sci, CFE, P-3000456 Coimbra, Portugal; [Steinke, Dirk] Univ Guelph, Biodivers Inst Ontario, 50 Stone Rd East, Guelph, ON N1G 2W1, Canada; [Mieiro, Claudia Leopoldina; Seco, Jose; Pereira, Eduarda] Univ Aveiro, CESAM, P-3810193 Aveiro, Portugal; [Mieiro, Claudia Leopoldina; Seco, Jose; Pereira, Eduarda] Univ Aveiro, Dept Chem, P-3810193 Aveiro, Portugal; [Seco, Jose] Univ St Andrews, Sch Biol, St Andrews KY16 9AJ, Fife, Scotland; [Cherel, Yves] Univ La Rochelle, CNRS, UMR 7372, Ctr Etud Biol Chize, F-79360 Villiers En Bois, France</t>
  </si>
  <si>
    <t>Universidade de Coimbra; UK Research &amp; Innovation (UKRI); Natural Environment Research Council (NERC); NERC British Antarctic Survey; Universidade de Coimbra; Universidade de Aveiro; Universidade de Aveiro; University of St Andrews; La Rochelle Universite; Centre National de la Recherche Scientifique (CNRS); CNRS - Institute of Ecology &amp; Environment (INEE)</t>
  </si>
  <si>
    <t>Xavier, JC (corresponding author), Univ Coimbra, Dept Ciencias Vida, MARE Marine &amp; Environm Sci Ctr, P-3001401 Coimbra, Portugal.</t>
  </si>
  <si>
    <t>Seco, José/AAS-4612-2020; Pereira, Eduarda C/A-5907-2012; Martinho, Filipe/H-3761-2012; Tavares, Sílvia/M-5198-2013; Lourenço, sílvia/C-7744-2019; Xavier, José/KFB-6739-2024; Mieiro, Claudia/G-2852-2013; Pardal, Miguel Angelo/C-3984-2009; Ferreira, Sonia/C-8764-2009</t>
  </si>
  <si>
    <t>Seco, José/0000-0002-7957-6488; Martinho, Filipe/0000-0001-8358-8329; Lourenço, sílvia/0000-0003-4426-0894; Mieiro, Claudia/0000-0002-5539-2406; Pardal, Miguel Angelo/0000-0001-6048-7007; Pereira, Eduarda/0000-0002-6046-5243; Ferreira, Sonia/0000-0001-6475-5742; Steinke, Dirk/0000-0002-8992-575X; /0000-0002-9621-6660</t>
  </si>
  <si>
    <t>Portuguese Foundation for the Science and Technology (FCT) [IF/00616/2013, IF/01410/2012, SFRH/BPD/81509/2011, SFRH/BPD/79445/2011, SFRH/BD/48908/2008]; government of Canada through Genome Canada; Ontario Genomics Institute; NERC [bas0100035] Funding Source: UKRI; Natural Environment Research Council [bas0100035] Funding Source: researchfish; Fundação para a Ciência e a Tecnologia [SFRH/BD/48908/2008, SFRH/BPD/79445/2011, SFRH/BPD/81509/2011] Funding Source: FCT</t>
  </si>
  <si>
    <t>Portuguese Foundation for the Science and Technology (FCT)(Fundacao para a Ciencia e a Tecnologia (FCT)); government of Canada through Genome Canada(Genome Canada); Ontario Genomics Institute; NERC(UK Research &amp; Innovation (UKRI)Natural Environment Research Council (NERC)); Natural Environment Research Council(UK Research &amp; Innovation (UKRI)Natural Environment Research Council (NERC)); Fundação para a Ciência e a Tecnologia(Fundacao para a Ciencia e a Tecnologia (FCT))</t>
  </si>
  <si>
    <t>This paper is in memory of Professor Malcolm Clarke (1930-2013), a pioneer in using cephalopod beaks to learn more about marine trophic interactions between cephalopods and many of its predators. We acknowledge the research programs SCAR-AnT-ERA, ICED, CEPH-BAS monitoring program and the Portuguese Foundation for the Science and Technology (FCT; through the Investigador FCT programme (Jose Xavier, IF/00616/2013, and Filipe Martinho, IF/01410/2012), Program COMPETE, a Post-doc grant to Sonia Ferreira (SFRH/BPD/81509/2011) and to Claudia Mieiro (SFRH/BPD/79445/2011), and a PhD grant to Silvia Tavares (SFRH/BD/48908/2008)) and CESAM - University of Aveiro (UID/AMB/50017/2013). Funding from the government of Canada through Genome Canada (http://www.genomecanada.ca) and the Ontario Genomics Institute (http://www.ontariogenomics.ca/) to the International Barcode of Life Project enabled the Canadian Centre for DNA Barcoding (University of Guelph) to carry out the sequence analysis of our specimens.</t>
  </si>
  <si>
    <t>10.1016/j.marpolbul.2015.12.016</t>
  </si>
  <si>
    <t>DJ4RQ</t>
  </si>
  <si>
    <t>WOS:000374195800036</t>
  </si>
  <si>
    <t>Herrera, N; Roch, H; Salaberria, AM; Pino-Orellana, MA; Labidi, J; Fernandes, SCM; Radic, D; Leiva, A; Oksman, K</t>
  </si>
  <si>
    <t>Herrera, Natalia; Roch, Hendrik; Salaberria, Asier M.; Pino-Orellana, Maximilian A.; Labidi, Jalel; Fernandes, Susana C. M.; Radic, Deodato; Leiva, Angel; Oksman, Kristiina</t>
  </si>
  <si>
    <t>Functionalized blown films of plasticized polylactic acid/chitin nanocomposite: Preparation and characterization</t>
  </si>
  <si>
    <t>MATERIALS &amp; DESIGN</t>
  </si>
  <si>
    <t>Nanocomposite; Extrusion; Nanocrystals; Mechanical properties; Thermal properties; Film blowing</t>
  </si>
  <si>
    <t>MECHANICAL-PROPERTIES; ANTIFUNGAL ACTIVITY; CHITIN; CHITOSAN; CRYSTALLIZATION; NANOFIBERS; MORPHOLOGY</t>
  </si>
  <si>
    <t>Bionanocomposite films prepared with melt compounding and film blowing were evaluated for packaging applications. The nanocomposite masterbatch with 75 wt.% polylactic add (PLA), 5 wt.% chitin nanocrystals (ChNCs) and 20 wt.% glycerol triacetate plasticizer (GTA) was melt compounded and then diluted to 1 wt.% ChNCs with PLA and polybutylene adipate-co-terephthalate (PBAT) prior to film blowing. The morphological, mechanical, optical, thermal and barrier properties of the blown nanocomposite films were studied and compared with the reference material without ChNCs. The addition of 1 wt.% ChNCs increased the tear strength by 175% and the puncture strength by 300%. Additionally, the small amount of chitin nanocrystals affected the glass transition temperature (Tg), which increased 4 degrees C compared with the reference material and slightly enhanced the films degree of crystallinity. The chitin nanocomposite also had lower fungal activity and lower electrostatic attraction between the film surfaces; leading to easy opening of the plastic bags. The barrier and optical properties as well as the thermal degradation of the films were not significantly influenced by the addition of chitin nanocrystals. (C) 2015 The Authors. Published by Elsevier Ltd.</t>
  </si>
  <si>
    <t>[Herrera, Natalia; Oksman, Kristiina] Lulea Univ Technol, Composite Ctr Sweden, Div Mat Sci, S-97187 Lulea, Sweden; [Roch, Hendrik] Fraunhofer Inst Environm Safety &amp; Energy Technol, Dept Biobased Plast, Osterfelder Str 3, D-46047 Oberhausen, Germany; [Salaberria, Asier M.; Labidi, Jalel; Fernandes, Susana C. M.] Univ Basque Country, Dept Chem &amp; Environm Engn, Polytech Sch, Biorefinery Proc Res Grp, Plaza Europa 1, Donostia San Sebastian 20018, Spain; [Pino-Orellana, Maximilian A.; Radic, Deodato; Leiva, Angel] Pontificia Univ Catolica Chile, Fac Chem, Macromol Grp, Ave Libertador Bernardo O Higgins 340, Santiago, Region Metropol, Chile; [Oksman, Kristiina] Univ Oulu, Fibre &amp; Particle Engn, FIN-90014 Oulu, Finland</t>
  </si>
  <si>
    <t>Lulea University of Technology; Fraunhofer Gesellschaft; University of Basque Country; Pontificia Universidad Catolica de Chile; University of Oulu</t>
  </si>
  <si>
    <t>Oksman, K (corresponding author), Lulea Univ Technol, Composite Ctr Sweden, Div Mat Sci, S-97187 Lulea, Sweden.</t>
  </si>
  <si>
    <t>Kristiina.oksman@ltu.se</t>
  </si>
  <si>
    <t>Labidi, Jalel/A-5732-2010; Oksman, Kristiina/I-9135-2016; Fernandes, Susana/A-1207-2013</t>
  </si>
  <si>
    <t>Labidi, Jalel/0000-0002-8382-9492; Leiva-Campusano, Angel Rodrigo/0000-0003-3744-1945; Oksman, Kristiina/0000-0003-4762-2854; Fernandes, Susana/0000-0002-1295-5010; M. Salaberria, Asier/0000-0003-2213-7211</t>
  </si>
  <si>
    <t>European Commission [280786]</t>
  </si>
  <si>
    <t>European Commission(European Union (EU)European Commission Joint Research Centre)</t>
  </si>
  <si>
    <t>The authors gratefully acknowledge the financial support of the European Commission under Grant Agreement no. 280786, FP7NMP-2011-ECLIPSE. Mario Vanegas at Antarctic SeeFood S.A, Chile, is acknowledged for supplying the lobster waste for the preparation of chitin nanocrystals.</t>
  </si>
  <si>
    <t>0264-1275</t>
  </si>
  <si>
    <t>1873-4197</t>
  </si>
  <si>
    <t>MATER DESIGN</t>
  </si>
  <si>
    <t>Mater. Des.</t>
  </si>
  <si>
    <t>10.1016/j.matdes.2015.12.083</t>
  </si>
  <si>
    <t>Materials Science, Multidisciplinary</t>
  </si>
  <si>
    <t>DC4LH</t>
  </si>
  <si>
    <t>WOS:000369191900097</t>
  </si>
  <si>
    <t>Zangrando, R; Barbaro, E; Vecchiato, M; Kehrwald, NM; Barbante, C; Gambaro, A</t>
  </si>
  <si>
    <t>Zangrando, Roberta; Barbaro, Elena; Vecchiato, Marco; Kehrwald, Natalie M.; Barbante, Carlo; Gambaro, Andrea</t>
  </si>
  <si>
    <t>Levoglucosan and phenols in Antarctic marine, coastal and plateau aerosols</t>
  </si>
  <si>
    <t>Biomass burning; Levoglucosan; Phenolic compounds; Antarctica; Aerosols</t>
  </si>
  <si>
    <t>PARTICULATE ORGANIC-MATTER; LIGHT-ABSORBING AEROSOL; BLACK CARBON; SIZE DISTRIBUTION; EMISSION FACTORS; WOOD SMOKE; DOME-C; CHEMICAL-COMPOSITION; MOLECULAR MARKERS; SEASONAL CYCLE</t>
  </si>
  <si>
    <t>Due to its isolated location, Antarctica is a natural laboratory for studying atmospheric aerosols and pollution in remote areas. Here, we determined levoglucosan and phenolic compounds (PCs) at diverse Antarctic sites: on the plateau, a coastal station and during an oceanographic cruise. Levoglucosan and PCs reached the Antarctic plateau where they were observed in accumulation mode aerosols (with median levoglucosan concentrations of 6.4 pgm(-3) and 4.1 pgm(-3), and median PC concentrations of 15.0 pgm(-3) and 7.3 pgm(-3)). Aged aerosols arrived at the coastal site through katabatic circulation with the majority of the levoglucosan mass distributed on larger particulates (24.8 pgm(-3)), while PCs were present in fine particles (34.0 pgm(-3)). The low levoglucosan/PC ratios in Antarctic aerosols suggest that biomass burning aerosols only had regional, rather than local, sources. General acid/aldehyde ratios were lower at the coastal site than on the plateau. Levoglucosan and PCs determined during the oceanographic cruise were 37.6 pgm(-3) and 58.5 pgm(-3) respectively. Unlike levoglucosan, which can only be produced by biomass burning, PCs have both biomass burning and other sources. Our comparisons of these two types of compounds across a range of Antarctic marine, coastal, and plateau sites demonstrate that local marine sources dominate Antarctic PC concentrations. (C) 2015 Elsevier B.V. All rights reserved.</t>
  </si>
  <si>
    <t>[Zangrando, Roberta; Barbaro, Elena; Barbante, Carlo; Gambaro, Andrea] Inst Dynam Environm Proc CNR, Via Torino 155, I-30170 Venice, Mestre, Italy; [Barbaro, Elena; Vecchiato, Marco; Kehrwald, Natalie M.; Gambaro, Andrea] Univ Venice, Dept Environm Sci Informat &amp; Stat, Calle,Via Torino 155, I-30170 Venice, Mestre, Italy</t>
  </si>
  <si>
    <t>Consiglio Nazionale delle Ricerche (CNR); Istituto per la Dinamica dei Processi Ambientali (IDPA-CNR); Universita Ca Foscari Venezia</t>
  </si>
  <si>
    <t>Zangrando, R (corresponding author), Inst Dynam Environm Proc CNR, Via Torino 155, I-30170 Venice, Mestre, Italy.</t>
  </si>
  <si>
    <t>roberta.zangrando@idpa.cnr.it</t>
  </si>
  <si>
    <t>Barbante, Carlo/B-3195-2011; BARBARO, ELENA/AAK-3106-2021; Kehrwald, Natalie M/A-3848-2013; Barbaro, Elena/AAX-8809-2020</t>
  </si>
  <si>
    <t>Kehrwald, Natalie M/0000-0002-9160-2239; Barbaro, Elena/0000-0003-2639-7475; Barbante, Carlo/0000-0003-4177-2288; Vecchiato, Marco/0000-0002-5112-8472</t>
  </si>
  <si>
    <t>Italian Programma Nazionale di Ricerche in Antartide (PNRA) [2009/A2.11]; National Research Council of Italy (CNR); ERC [267696]; European Research Council (ERC) [267696] Funding Source: European Research Council (ERC)</t>
  </si>
  <si>
    <t>Italian Programma Nazionale di Ricerche in Antartide (PNRA); National Research Council of Italy (CNR)(Consiglio Nazionale delle Ricerche (CNR)); ERC(European Research Council (ERC)); European Research Council (ERC)(European Research Council (ERC)Spanish Government)</t>
  </si>
  <si>
    <t>This work was financially supported by the Italian Programma Nazionale di Ricerche in Antartide (PNRA) through the project 2009/A2.11. The research was also supported by funding from the National Research Council of Italy (CNR) and from ERC Advanced Grant no 267696, contribution no 17.</t>
  </si>
  <si>
    <t>10.1016/j.scitotenv.2015.11.166</t>
  </si>
  <si>
    <t>DC8TB</t>
  </si>
  <si>
    <t>WOS:000369491500066</t>
  </si>
  <si>
    <t>Fromant, A; Carravieri, A; Bustamante, P; Labadie, P; Budzinski, H; Peluhet, L; Churlaud, C; Chastel, O; Cherel, Y</t>
  </si>
  <si>
    <t>Fromant, Aymeric; Carravieri, Alice; Bustamante, Paco; Labadie, Pierre; Budzinski, Helene; Peluhet, Laurent; Churlaud, Carine; Chastel, Olivier; Cherel, Yves</t>
  </si>
  <si>
    <t>Wide range of metallic and organic contaminants in various tissues of the Antarctic prion, a planktonophagous seabird from the Southern Ocean</t>
  </si>
  <si>
    <t>Blood; Feathers; Metal; POPs; Procellariiformes; Trace elements</t>
  </si>
  <si>
    <t>POLYCHLORINATED BIPHENYL CONGENERS; POLYBROMINATED DIPHENYL ETHERS; GULLS LARUS-HYPERBOREUS; ORGANOCHLORINE POLLUTANTS; TRACE-ELEMENTS; NORTH PACIFIC; HEAVY-METALS; GLAUCOUS GULLS; MERCURY LEVELS; ARCTIC SEABIRDS</t>
  </si>
  <si>
    <t>Trace elements (n=14) and persistent organic pollutants (POPs, n=30) were measured in blood, liver, kidney, muscle and feathers of 10 Antarctic prions (Pachyptila desolata) from Kerguelen Islands, southern Indian Ocean, in order to assess their concentrations, tissue distribution, and inter-tissue and inter-contaminant relationships. Liver, kidney and feathers presented the highest burdens of arsenic, cadmium and mercury, respectively. Concentrations of cadmium, copper, iron, and zinc correlated in liver and muscle, suggesting that uptake and pathways of metabolism and storage were similar for these elements. The major POPs were 4,4'-DDE, mirex, PCB-153 and PCB-138. The concentrations and tissue distribution patterns of environmental contaminants were overall in accordance with previous results in other seabirds. Conversely, some Antarctic prions showed surprisingly high concentrations of BDE-209. This compound has been rarely observed in seabirds before, and its presence in Antarctic prions could be due to the species feeding habits or to the ingestion of plastic debris. Overall, the study shows that relatively lower trophic level seabirds (zooplankton-eaters) breeding in the remote southern Indian Ocean are exposed to a wide range of environmental contaminants, in particular cadmium, selenium and some emerging-POPs, which merits further toxicological investigations. (C) 2015 Elsevier B.V. All rights reserved.</t>
  </si>
  <si>
    <t>[Fromant, Aymeric; Carravieri, Alice; Chastel, Olivier; Cherel, Yves] Univ La Rochelle, CNRS, UMR 7372, Ctr Etud Biol Chize, F-79360 Villiers En Bois, France; [Carravieri, Alice; Bustamante, Paco; Churlaud, Carine] Univ La Rochelle, CNRS, UMR 7266, Littoral Environm &amp; Soc LIENSs, Rue Olympe de Gouges, F-17000 La Rochelle, France; [Labadie, Pierre; Budzinski, Helene; Peluhet, Laurent] Univ Bordeaux, UMR EPOC 5805, LPTC Res Grp, 351 Cours Liberat, F-33405 Talence, France</t>
  </si>
  <si>
    <t>Centre National de la Recherche Scientifique (CNRS); CNRS - Institute of Ecology &amp; Environment (INEE); La Rochelle Universite; Centre National de la Recherche Scientifique (CNRS); CNRS - Institute of Ecology &amp; Environment (INEE); La Rochelle Universite; Centre National de la Recherche Scientifique (CNRS); CNRS - National Institute for Earth Sciences &amp; Astronomy (INSU); Universite de Bordeaux</t>
  </si>
  <si>
    <t>Carravieri, A (corresponding author), Univ La Rochelle, CNRS, UMR 7372, Ctr Etud Biol Chize, F-79360 Villiers En Bois, France.</t>
  </si>
  <si>
    <t>carravieri@cebc.cnrs.fr</t>
  </si>
  <si>
    <t>Bustamante, Paco/G-5833-2011; Labadie, Pierre/F-9297-2015</t>
  </si>
  <si>
    <t>Bustamante, Paco/0000-0003-3877-9390; BUDZINSKI, Helene/0000-0001-5282-9011; Labadie, Pierre/0000-0001-7184-6327; Fromant, Aymeric/0000-0002-3024-7659</t>
  </si>
  <si>
    <t>Region Poitou-Charentes; Agence Nationale de la Recherche (programme POLARTOP); Institut Polaire Francais Paul Emile Victor (IPEV) [109]; Terres Australes et Antarctiques Francaises (TAAF); Aquitaine Region; European Union (CPER A2E project); European Regional Development Fund</t>
  </si>
  <si>
    <t>Region Poitou-Charentes(Region Nouvelle-Aquitaine); Agence Nationale de la Recherche (programme POLARTOP)(Agence Nationale de la Recherche (ANR)); Institut Polaire Francais Paul Emile Victor (IPEV); Terres Australes et Antarctiques Francaises (TAAF); Aquitaine Region(Region Nouvelle-Aquitaine); European Union (CPER A2E project)(European Union (EU)Marie Curie Actions); European Regional Development Fund(European Union (EU))</t>
  </si>
  <si>
    <t>The authors thank Kevin Coustaut and Elodie Camprasse for collecting the Antarctic prions in the field, and C. Barbraud and L. Thiers for helpful suggestions in statistical analyses. The authors are grateful to the Plateforme Analyses Elementaires for the access to their analytical facilities. The present work was supported financially and logistically by the Region Poitou-Charentes through a PhD grant to AC, and by the Agence Nationale de la Recherche (programme POLARTOP, O. Chastel), the Institut Polaire Francais Paul Emile Victor (IPEV, programme no. 109, H. Weimerskirch) and the Terres Australes et Antarctiques Francaises (TAAF). The Aquitaine Region and the European Union (CPER A2E project) are acknowledged for their financial support. Europe is moving in Aquitaine with the European Regional Development Fund.</t>
  </si>
  <si>
    <t>10.1016/j.scitotenv.2015.11.114</t>
  </si>
  <si>
    <t>WOS:000369491500081</t>
  </si>
  <si>
    <t>Glasser, NF; Jansson, KN; Duller, GAT; Singarayer, J; Holloway, M; Harrison, S</t>
  </si>
  <si>
    <t>Glasser, Neil F.; Jansson, Krister N.; Duller, Geoffrey A. T.; Singarayer, Joy; Holloway, Max; Harrison, Stephan</t>
  </si>
  <si>
    <t>Glacial lake drainage in Patagonia (13-8 kyr) and response of the adjacent Pacific Ocean</t>
  </si>
  <si>
    <t>YOUNGER DRYAS; SOUTH-AMERICA; EASTERN FLANK; ICE-SHEET; ICEFIELD; HISTORY; MODEL</t>
  </si>
  <si>
    <t>Large freshwater lakes formed in North America and Europe during deglaciation following the Last Glacial Maximum. Rapid drainage of these lakes into the Oceans resulted in abrupt perturbations in climate, including the Younger Dryas and 8.2 kyr cooling events. In the mid-latitudes of the Southern Hemisphere major glacial lakes also formed and drained during deglaciation but little is known about the magnitude, organization and timing of these drainage events and their effect on regional climate. We use 16 new single-grain optically stimulated luminescence (OSL) dates to define three stages of rapid glacial lake drainage in the Lago General Carrera/Lago Buenos Aires and Lago Cohrane/Pueyrredon basins of Patagonia and provide the first assessment of the effects of lake drainage on the Pacific Ocean. Lake drainage occurred between 13 and 8 kyr ago and was initially gradual eastward into the Atlantic, then subsequently reorganized westward into the Pacific as new drainage routes opened up during Patagonian Ice Sheet deglaciation. Coupled ocean-atmosphere model experiments using HadCM3 with an imposed freshwater surface hosing to simulate glacial lake drainage suggest that a negative salinity anomaly was advected south around Cape Horn, resulting in brief but significant impacts on coastal ocean vertical mixing and regional climate.</t>
  </si>
  <si>
    <t>[Glasser, Neil F.; Duller, Geoffrey A. T.] Aberystwyth Univ, Dept Geog &amp; Earth Sci, Aberystwyth SY23 3DB, Dyfed, Wales; [Jansson, Krister N.] Stockholm Univ, Dept Phys Geog, SE-10691 Stockholm, Sweden; [Singarayer, Joy] Univ Reading, Dept Meteorol, Reading RG6 6BB, Berks, England; [Holloway, Max] British Antarctic Survey, Cambridge CB3 0ET, England; [Harrison, Stephan] Univ Exeter, Coll Life &amp; Environm Sci, Penryn TR10 9EZ, Cornwall, England</t>
  </si>
  <si>
    <t>Aberystwyth University; Stockholm University; University of Reading; UK Research &amp; Innovation (UKRI); Natural Environment Research Council (NERC); NERC British Antarctic Survey; University of Exeter</t>
  </si>
  <si>
    <t>Glasser, NF (corresponding author), Aberystwyth Univ, Dept Geog &amp; Earth Sci, Aberystwyth SY23 3DB, Dyfed, Wales.</t>
  </si>
  <si>
    <t>nfg@aber.ac.uk</t>
  </si>
  <si>
    <t>Duller, Geoffrey/AAR-7494-2020</t>
  </si>
  <si>
    <t>Duller, Geoffrey/0000-0002-2694-4590; Holloway, Max/0000-0003-0709-3644</t>
  </si>
  <si>
    <t>UK Natural Environment Research Council (NERC) [NE/G00952X/1]; GATD; Swedish Research Council [2009-4411]; NERC [NE/G00952X/1, bas0100034] Funding Source: UKRI; Natural Environment Research Council [1246172, bas0100034, NE/G00952X/1] Funding Source: researchfish</t>
  </si>
  <si>
    <t>UK Natural Environment Research Council (NERC)(UK Research &amp; Innovation (UKRI)Natural Environment Research Council (NERC)); GATD; Swedish Research Council(Swedish Research Council); NERC(UK Research &amp; Innovation (UKRI)Natural Environment Research Council (NERC)); Natural Environment Research Council(UK Research &amp; Innovation (UKRI)Natural Environment Research Council (NERC))</t>
  </si>
  <si>
    <t>The costs of fieldwork in Chile and OSL laboratory sample analysis were supported by the UK Natural Environment Research Council (NERC) under grant number NE/G00952X/1 to NFG and GATD and by a Swedish Research Council grant to Krister N. Jansson (2009-4411). We thank Holly Wynne for OSL laboratory sample preparation and analysis and Antony Smith for drawing Figure S3. Alun Hubbard provided the loan of the Trimble Net RS dGPS.</t>
  </si>
  <si>
    <t>FEB 12</t>
  </si>
  <si>
    <t>10.1038/srep21064</t>
  </si>
  <si>
    <t>DD4YE</t>
  </si>
  <si>
    <t>WOS:000369928000001</t>
  </si>
  <si>
    <t>Jaccard, SL; Galbraith, ED; Martínez-García, A; Anderson, RF</t>
  </si>
  <si>
    <t>Jaccard, Samuel L.; Galbraith, Eric D.; Martinez-Garcia, Alfredo; Anderson, Robert F.</t>
  </si>
  <si>
    <t>Covariation of deep Southern Ocean oxygenation and atmospheric CO2 through the last ice age</t>
  </si>
  <si>
    <t>GLACIAL-INTERGLACIAL CHANGES; AUTHIGENIC URANIUM; LATE-QUATERNARY; SCALE CHANGES; SEA SEDIMENT; 2 MODES; PRODUCTIVITY; VARIABILITY; SECTOR; TH-230</t>
  </si>
  <si>
    <t>No single mechanism can account for the full amplitude of past atmospheric carbon dioxide (CO2) concentration variability over glacial-interglacial cycles(1). A build-up of carbon in the deep ocean has been shown to have occurred during the Last Glacial Maximum(2,3). However, the mechanisms responsible for the release of the deeply sequestered carbon to the atmosphere at deglaciation, and the relative importance of deep ocean sequestration in regulating millennial-timescale variations in atmospheric CO2 concentration before the Last Glacial Maximum, have remained unclear. Here we present sedimentary redox-sensitive trace-metal records from the Antarctic Zone of the Southern Ocean that provide a reconstruction of transient changes in deep ocean oxygenation and, by inference, respired carbon storage throughout the last glacial cycle. Our data suggest that respired carbon was removed from the abyssal Southern Ocean during the Northern Hemisphere cold phases of the deglaciation, when atmospheric CO2 concentration increased rapidly, reflecting-at least in part-a combination of dwindling iron fertilization by dust and enhanced deep ocean ventilation. Furthermore, our records show that the observed covariation between atmospheric CO2 concentration and abyssal Southern Ocean oxygenation was maintained throughout most of the past 80,000 years. This suggests that on millennial timescales deep ocean circulation and iron fertilization in the Southern Ocean played a consistent role in modifying atmospheric CO2 concentration.</t>
  </si>
  <si>
    <t>[Jaccard, Samuel L.] Univ Bern, Inst Geol Sci, Bern, Switzerland; [Jaccard, Samuel L.] Univ Bern, Oeschger Ctr Climate Change Res, Bern, Switzerland; [Galbraith, Eric D.] McGill Univ, Dept Earth &amp; Planetary Sci, Montreal, PQ, Canada; [Galbraith, Eric D.] ICREA, Barcelona, Spain; [Galbraith, Eric D.] Univ Autonoma Barcelona, Inst Ciencia &amp; Tecnol Ambientals, E-08193 Barcelona, Spain; [Galbraith, Eric D.] Univ Autonoma Barcelona, Dept Math, E-08193 Barcelona, Spain; [Martinez-Garcia, Alfredo] Swiss Fed Inst Technol, Inst Geol, Zurich, Switzerland; [Martinez-Garcia, Alfredo] Max Planck Inst Chem, Climate Geochem Dept, Mainz, Germany; [Anderson, Robert F.] Columbia Univ, Lamont Doherty Earth Observ, Palisades, NY USA</t>
  </si>
  <si>
    <t>University of Bern; University of Bern; McGill University; ICREA; Autonomous University of Barcelona; Autonomous University of Barcelona; Swiss Federal Institutes of Technology Domain; ETH Zurich; Max Planck Society; Columbia University</t>
  </si>
  <si>
    <t>Jaccard, SL (corresponding author), Univ Bern, Inst Geol Sci, Bern, Switzerland.</t>
  </si>
  <si>
    <t>samuel.jaccard@geo.unibe.ch</t>
  </si>
  <si>
    <t>Jaccard, Samuel/G-3447-2014; Jaccard, Samuel/IZP-9669-2023; Martinez-Garcia, Alfredo/A-6244-2010; Galbraith, Eric/F-9469-2014</t>
  </si>
  <si>
    <t>Jaccard, Samuel/0000-0002-5793-0896; Martinez-Garcia, Alfredo/0000-0002-7206-5079; Anderson, Robert/0000-0002-8472-2494; Galbraith, Eric/0000-0003-4476-4232</t>
  </si>
  <si>
    <t>Swiss National Science Foundation [PP00P2-144811, PZ00P2_142424]; NSERC; US NSF; ICREA Funding Source: Custom; Swiss National Science Foundation (SNF) [PZ00P2_142424] Funding Source: Swiss National Science Foundation (SNF)</t>
  </si>
  <si>
    <t>Swiss National Science Foundation(Swiss National Science Foundation (SNSF)); NSERC(Natural Sciences and Engineering Research Council of Canada (NSERC)); US NSF(National Science Foundation (NSF)); ICREA(ICREA); Swiss National Science Foundation (SNF)(Swiss National Science Foundation (SNSF))</t>
  </si>
  <si>
    <t>S.L.J. and A. M.-G. were funded by the Swiss National Science Foundation (grants PP00P2-144811 and PZ00P2_142424, respectively), E.D.G. by NSERC, and R.F.A. by the US NSF. Sediment samples were provided by the core repository at the Lamont-Doherty Earth Observatory. Computational resources were provided to E.D.G. by Compute Canada and the Canadian Foundation for Innovation. We thank C. Buizert, H. Fischer, F. Herman and T. Pedersen for discussions.</t>
  </si>
  <si>
    <t>FEB 11</t>
  </si>
  <si>
    <t>10.1038/nature16514</t>
  </si>
  <si>
    <t>DD4TX</t>
  </si>
  <si>
    <t>WOS:000369916700036</t>
  </si>
  <si>
    <t>Bergue, CT; Coimbra, JC; Ramos, MIF</t>
  </si>
  <si>
    <t>Bergue, Cristianini Trescastro; Coimbra, Joao Carlos; Feijo Ramos, Maria Ines</t>
  </si>
  <si>
    <t>Taxonomy and bathymetric distribution of the outer neritic/upper bathyal ostracodes (Crustacea: Ostracoda) from the southernmost Brazilian continental margin</t>
  </si>
  <si>
    <t>Bathymetric distribution; taxonomy; continental slope; South Atlantic</t>
  </si>
  <si>
    <t>SANTOS BASIN; FAMILY TRACHYLEBERIDIDAE; NORTH-ATLANTIC; GENUS KRITHE; DEEP-SEA; QUATERNARY; OCEAN; SHELF; BRADY</t>
  </si>
  <si>
    <t>Sixty-five ostracode species belonging to 41 genera and 17 families were recorded in the outer shelf and upper slope off Rio Grande do Sul and Santa Catarina states, southernmost Brazil, between 100 and 586 m water depth interval. The ostracode occurrences are hypothesized to be influenced by both, the coastal waters and the Antarctic Intermediate Water (AAIW). The taxonomy of some species of Bradleya Hornibrook, 1952, Legitimocythere Coles &amp; Whatley, 1989 and Henryhowella Puri, 1957 previously described in the same study area is revised. Bradleya gaucha sp. nov., Legitimocythere megapotamica sp. nov., Apatihowella acelos sp. nov., Apatihowella capitulum sp. nov., Apatihowella besnardi sp. nov., Apatihowella convexa sp. nov., and Aversovalva tomcronini sp. nov. are herein proposed. Trachyleberis aorata Bergue &amp; Coimbra, 2008 is reassigned to the genus Legitimocythere and Bradleya pseudonormani Ramos et al., 2009 has its diagnosis emended. Bythocypris praerenis Brandao, 2008 is considered a junior synonym of Bythocypris kyamos Whatley et al., 1998a. Apatihowella Jellinek &amp; Swanson, 2003 and Legitimocythere species have well-defined bathymetric distributions and are potential paleoceanographic markers for the Quaternary in the Southern Brazilian Margin.</t>
  </si>
  <si>
    <t>[Bergue, Cristianini Trescastro] Univ Vale Rio dos Sinos, Itt Fossil, Ave Unisinos 950, BR-93022000 Sao Leopoldo, RS, Brazil; [Coimbra, Joao Carlos] Univ Fed Rio Grande do Sul, Dept Paleontol &amp; Estratig, Ave Bento Goncalves 9500, BR-91501970 Porto Alegre, RS, Brazil; [Feijo Ramos, Maria Ines] Museu Paraense Emilio Goeldi, Campus Pesquisa CCTE,Ave Perimetral 1901, BR-66077830 Belem, Para, Brazil</t>
  </si>
  <si>
    <t>Universidade do Vale do Rio dos Sinos (Unisinos); Universidade Federal do Rio Grande do Sul; Museu Paraense Emilio Goeldi</t>
  </si>
  <si>
    <t>Bergue, CT (corresponding author), Univ Vale Rio dos Sinos, Itt Fossil, Ave Unisinos 950, BR-93022000 Sao Leopoldo, RS, Brazil.</t>
  </si>
  <si>
    <t>ctbergue@gmail.com</t>
  </si>
  <si>
    <t>Coimbra, Joao Carlos/H-7500-2013</t>
  </si>
  <si>
    <t>Coimbra, Joao Carlos/0000-0002-8980-6531</t>
  </si>
  <si>
    <t>Conselho Nacional de Desenvolvimento Cientifico e Tecnologico (CNPq) [474585/2013, 304453/2013-7]</t>
  </si>
  <si>
    <t>The authors wish to express their gratitude to Brazilian Ministry of Environment, Brazilian Navy and Universidade Federal de Rio Grande (FURG) for the samples of REVIZEE and Talude projects. The authors gratefully acknowledge Conselho Nacional de Desenvolvimento Cientifico e Tecnologico (CNPq) for the grants 474585/2013 (CTB) and 304453/2013-7 (JCC). Nuscia Gabriela Silveira Drozinski carefully carried out the work of picking and assembling the micropaleontological slides. Graziela Trescastro Bergue is thanked for the French version of the abstract. Finally, we would like to thank Nathalia Carvalho da Luz and the reviewers Gene Hunt and Elisabeth Brouwers for the valuable contributions which improved this study.</t>
  </si>
  <si>
    <t>FEB 10</t>
  </si>
  <si>
    <t>10.11646/zootaxa.4079.1.5</t>
  </si>
  <si>
    <t>DD7TK</t>
  </si>
  <si>
    <t>WOS:000370126900005</t>
  </si>
  <si>
    <t>Henkel, S; Kasten, S; Poulton, SW; Staubwasser, M</t>
  </si>
  <si>
    <t>Henkel, Susann; Kasten, Sabine; Poulton, Simon W.; Staubwasser, Michael</t>
  </si>
  <si>
    <t>Determination of the stable iron isotopic composition of sequentially leached iron phases in marine sediments</t>
  </si>
  <si>
    <t>Iron; Sediment; Sequential extraction; Stable Fe isotopes; Early eliattenesis</t>
  </si>
  <si>
    <t>MEDIATED ANAEROBIC OXIDATION; FE(II)-FE(III) ELECTRON; DISSOLUTION KINETICS; EXTRACTION PROCEDURE; CONTINENTAL-SHELF; REACTIVE IRON; ATOM EXCHANGE; FE; FRACTIONATION; METHANE</t>
  </si>
  <si>
    <t>Reactive iron (oxyhyclr)oxide minerals preferentially undergo early cliagenetic redox cycling which can result in the production of dissolved Fe(II), the adsorption of Fe(II) onto particle surfaces, and the formation of authigenic Fe minerals. The partitioning of iron in sediments has traditionally been studied by applying sequential extractions that target operationally-defined iron phases. Here, we complement an existing sequential leaching method by developing a sample processing protocol for delta Fe-56 analysis, which we subsequently use to study Fe phasespecific fractionation related to dissimilatory iron reduction in a modem marine sediment. Carbonate-Fe was extracted by acetate, easily reducible oxides (e.g. ferrihydrite and lepiclocrocite) by hyclroxylamine-HCl, reducible oxides (e.g. goethite and hematite) by dithionite-citrate, and magnetite by ammonium oxalate. Subsequently, the samples were repeatedly oxidized, heated and purified via Fe precipitation and column chromatography. The method was applied to surface sediments collected from the North Sea, south of the island of Helgoland. The acetate-soluble fraction (targeting siderite and ankerite) showed a pronounced downcore delta Fe-56 trend. This iron pool was most depleted in Fe-56 close to the sediment-water interface, similar to trends observed for porewater Fe(II). We interpret this pool as surface-reduced Fe(II), rather than siderite or ankerite, that was open to electron and atom exchange with the oxide surface. Common extractions using 0.5 M HCl or Na-dithionite alone may not resolve such trends, as they dissolve iron from isotopically distinct pools leading to a mixed signal. Na-dithionite leaching alone, for example, targets the sum of reducible Fe oxides that potentially differ in their isotopic fingerprint. Hence, the development of a sequential extraction Fe isotope protocol provides a new opportunity for detailed study of the behavior of iron in a wide range of environmental settings. (C) 2015 Elsevier B.V. All rights reserved.</t>
  </si>
  <si>
    <t>[Henkel, Susann; Staubwasser, Michael] Univ Cologne, D-50674 Cologne, Germany; [Henkel, Susann; Kasten, Sabine] Alfred Wegener Inst, Helmholtz Ctr Polar &amp; Marine Res, D-27570 Bremen, Germany; [Poulton, Simon W.] Univ Leeds, Sch Earth &amp; Environm, Leeds LS2 9JT, W Yorkshire, England</t>
  </si>
  <si>
    <t>University of Cologne; Helmholtz Association; Alfred Wegener Institute, Helmholtz Centre for Polar &amp; Marine Research; University of Leeds</t>
  </si>
  <si>
    <t>Henkel, S (corresponding author), Alfred Wegener Inst, Helmholtz Ctr Polar &amp; Marine Res, Handelshafen 12, D-27570 Bremen, Germany.</t>
  </si>
  <si>
    <t>susann.henkel@awi.de</t>
  </si>
  <si>
    <t>Staubwasser, Michael/N-4021-2015; Henkel, Susann/AAR-3270-2021; Henkel, Susann/S-4924-2016</t>
  </si>
  <si>
    <t>Henkel, Susann/0000-0001-7490-0237; Kasten, Sabine/0000-0001-7453-5137; Poulton, Simon/0000-0001-7621-189X; Staubwasser, Michael/0000-0002-5892-1115</t>
  </si>
  <si>
    <t>German Research Foundation (DFG) [1158, STA 936/5-1, KA 2769/3-1]</t>
  </si>
  <si>
    <t>German Research Foundation (DFG)(German Research Foundation (DFG))</t>
  </si>
  <si>
    <t>We thank J. Scheid, M. Harak, and J. Menges for assistance in the laboratory at the University of Cologne and appreciate the help of Ingrid Stimac (Alfred Wegener Institute) concerning sulfate measurements and assistance during total digestion of bulk sediments. R. Guilbaud is thanked for giving support during AVS and pyrite determinations at the University of Leeds. X-ray diffractions of synthetic minerals were performed by P. Held (University of Cologne). We further acknowledge F. Wombacher for support concerning MC-ICP-MS at the Steinmann Institute in Bonn and Alison McAnena for producing synthetic minerals. Finally, we thank Jeremy Owens and an anonymous reviewer for helpful comments on the manuscript. This study was funded by the German Research Foundation (DFG) within Priority Program 1158 Antarctic Research with Comparable Investigations in Arctic Sea Ice Areas (grant numbers STA 936/5-1 and KA 2769/3-1) and is associated with the imcoAsT project (impact of climate induced glacial melting on marine coastal systems in the western Antarctic Peninsula region). We acknowledge additional funding support from the Helmholtz Association (Alfred Wegener Institute, Helmholtz Centre for Polar and Marine Research) in the framework of the research programs PACES I and PACES II. Data of this study are available via the Pangaea database (Datasets #855773-855777).</t>
  </si>
  <si>
    <t>10.1016/j.chemgeo.2015.12.003</t>
  </si>
  <si>
    <t>DA0ZI</t>
  </si>
  <si>
    <t>WOS:000367525700008</t>
  </si>
  <si>
    <t>Steiner, N; Deal, C; Lannuzel, D; Lavoie, D; Massonnet, F; Miller, LA; Moreau, S; Popova, E; Stefels, J; Tedesco, L</t>
  </si>
  <si>
    <t>Steiner, Nadja; Deal, Clara; Lannuzel, Delphine; Lavoie, Diane; Massonnet, Francois; Miller, Lisa A.; Moreau, Sebastien; Popova, Ekaterina; Stefels, Jacqueline; Tedesco, Letizia</t>
  </si>
  <si>
    <t>What sea-ice biogeochemical modellers need from observers</t>
  </si>
  <si>
    <t>INORGANIC CARBON DYNAMICS; DISSOLVED ORGANIC-MATTER; MICROBIAL COMMUNITIES; FROST FLOWERS; HUDSON-BAY; PARAMETER-ESTIMATION; PRIMARY PRODUCTIVITY; PLANKTON DYNAMICS; ALGAL PRODUCTION; ECOSYSTEM MODEL</t>
  </si>
  <si>
    <t>Numerical models can be a powerful tool helping to understand the role biogeochemical processes play in local and global systems and how this role may be altered in a changing climate. With respect to sea-ice biogeochemical models, our knowledge is severely limited by our poor confidence in numerical model parameterisations representing those processes. Improving model parameterisations requires communication between observers and modellers to guide model development and improve the acquisition and presentation of observations. In addition to more observations, modellers need conceptual and quantitative descriptions of the processes controlling, for example: primary production and diversity of algal functional types in sea ice, ice algal growth, release from sea ice, heterotrophic remineralisation, transfer and emission of gases (e. g., DMS, CH4, BrO), incorporation of seawater components in growing sea ice (including Fe, organic and inorganic carbon, and major salts) and subsequent release; CO2 dynamics (including CaCO3 precipitation), flushing and supply of nutrients to sea-ice ecosystems; and radiative transfer through sea ice. These issues can be addressed by focused observations, as well as controlled laboratory and field experiments that target specific processes. The guidelines provided here should help modellers and observers improve the integration of measurements and modelling efforts and advance toward the common goal of understanding biogeochemical processes in sea ice and their current and future impacts on environmental systems.</t>
  </si>
  <si>
    <t>[Steiner, Nadja; Miller, Lisa A.] Inst Ocean Sci, Dept Fisheries &amp; Ocean Canada, Sidney, BC V8L 4B2, Canada; [Deal, Clara] Univ Alaska Fairbanks, Int Arct Res Ctr, Fairbanks, AK USA; [Lannuzel, Delphine] Univ Tasmania, Antarctic Climate &amp; Ecosyst CRC, Private Bag 80, Hobart, Tas, Australia; [Lannuzel, Delphine] Inst Marine &amp; Antarctic Studies, Locked Bag 129, Hobart, Tas, Australia; [Lavoie, Diane] Inst Maurice Lamontagne, Dept Fisheries &amp; Ocean Canada, Mont Joli, PQ G5H 3Z4, Canada; [Massonnet, Francois; Moreau, Sebastien] Catholic Univ Louvain, Georges Lemaitre Ctr Earth &amp; Climate Res, Earth &amp; Life Inst, Louvain, Belgium; [Popova, Ekaterina] Natl Oceanog Ctr, Southampton, Hants, England; [Stefels, Jacqueline] Univ Groningen, Ctr Life Sci, Ecophysiol Plants, Groningen, Netherlands; [Tedesco, Letizia] Finnish Environm Inst, Ctr Marine Res, Helsinki, Finland</t>
  </si>
  <si>
    <t>Fisheries &amp; Oceans Canada; University of Alaska System; University of Alaska Fairbanks; University of Tasmania; University of Tasmania; Fisheries &amp; Oceans Canada; Universite Catholique Louvain; NERC National Oceanography Centre; University of Groningen; Finnish Environment Institute</t>
  </si>
  <si>
    <t>Steiner, N (corresponding author), Inst Ocean Sci, Dept Fisheries &amp; Ocean Canada, Sidney, BC V8L 4B2, Canada.</t>
  </si>
  <si>
    <t>nadja.steiner@dfo-mpo.gc.ca</t>
  </si>
  <si>
    <t>Popova, Ekaterina E/B-4520-2012; Lannuzel, Delphine/J-7937-2014; Massonnet, Francois/J-5315-2014; Tedesco, Letizia/B-2884-2013</t>
  </si>
  <si>
    <t>Popova, Ekaterina E/0000-0002-2012-708X; Massonnet, Francois/0000-0002-4697-5781; Steiner, Nadja/0000-0001-7456-3437; Moreau, Sebastien/0000-0001-9446-812X; Tedesco, Letizia/0000-0001-9051-8177</t>
  </si>
  <si>
    <t>10.12952/journal.elementa.000084</t>
  </si>
  <si>
    <t>DO0GA</t>
  </si>
  <si>
    <t>WOS:000377456200001</t>
  </si>
  <si>
    <t>Tada, R; Zheng, HB; Clift, PD</t>
  </si>
  <si>
    <t>Tada, Ryuji; Zheng, Hongbo; Clift, Peter D.</t>
  </si>
  <si>
    <t>Evolution and variability of the Asian monsoon and its potential linkage with uplift of the Himalaya and Tibetan Plateau</t>
  </si>
  <si>
    <t>PROGRESS IN EARTH AND PLANETARY SCIENCE</t>
  </si>
  <si>
    <t>East Asian summer monsoon; East Asian winter monsoon; Indian summer monsoon; Himalaya; Tibetan Plateau; Chinese Loess Plateau; Climate model; Tectonic-climate linkage; Westerly jet; Desertification</t>
  </si>
  <si>
    <t>CHINESE LOESS PLATEAU; LATE CENOZOIC UPLIFT; APATITE FISSION-TRACK; LARGE-SCALE OROGRAPHY; LATE MIOCENE; SUMMER MONSOON; CLIMATE-CHANGE; LATE EOCENE; GRAIN-SIZE; GENERAL-CIRCULATION</t>
  </si>
  <si>
    <t>Uplift of the Himalaya and Tibetan Plateau (HTP) and its linkage with the evolution of the Asian monsoon has been regarded as a typical example of a tectonic-climate linkage. Although this linkage remains unproven because of insufficient data, our understanding has greatly advanced in the past decade. It is thus timely to summarize our knowledge of the uplift history of the HTP, the results of relevant climate simulations, and spatiotemporal changes in the Indian and East Asian monsoons since the late Eocene. Three major pulses of the HTP uplift have become evident: (1) uplift of the southern and central Tibetan Plateau (TP) at ca. 40-35 Ma, (2) uplift of the northern TP at ca. 25-20 Ma, and (3) uplift of the northeastern to eastern TP at ca. 15-10 Ma. Modeling predictions suggest that (i) uplift of the southern and central TP should have intensified the Indian summer monsoon (ISM) and the Somali Jet at 40-35 Ma; (ii) uplift of the northern TP should have intensified the East Asian summer monsoon (EASM) and East Asian winter monsoon (EAWM), as well as the desertification of inland Asia at 25-20 Ma; and (iii) uplift of the northeastern and eastern TP should have further intensified the EASM and EAWM at 15-10 Ma. We tested these predictions by comparing them with paleoclimate data for the time intervals of interest. There are insufficient paleoclimate data to test whether the ISM and Somali Jet intensified with the uplift of the southern and central TP at 40-35 Ma, but it is possible that such uplift enhanced erosion and weathering that drew down atmospheric CO2 and resulted in global cooling. There is good evidence that the EASM and EAWM intensified, and desertification started in inland Asia at 25-20 Ma in association with the uplift of the northern TP. The impact of the uplift of the northeastern and eastern TP on the Asian monsoon at 15-10 Ma is difficult to evaluate because that interval was also a time of global cooling and Antarctic glaciation that might also have influenced the intensity of the Asian monsoon.</t>
  </si>
  <si>
    <t>[Tada, Ryuji] Univ Tokyo, Grad Sch Sci, Dept Earth &amp; Planetary Sci, Bunkyo Ku, 7-3-1 Hongo, Tokyo 1130033, Japan; [Zheng, Hongbo] Nanjing Normal Univ, Sch Geog Sci, 1 Wenyuan Rd, Nanjing, Jiangsu, Peoples R China; [Clift, Peter D.] Louisiana State Univ, Dept Geol &amp; Geophys, E235 Howe Russell Kniffen Geosci Complex, Baton Rouge, LA 70803 USA</t>
  </si>
  <si>
    <t>University of Tokyo; Nanjing Normal University; Louisiana State University System; Louisiana State University</t>
  </si>
  <si>
    <t>Tada, R (corresponding author), Univ Tokyo, Grad Sch Sci, Dept Earth &amp; Planetary Sci, Bunkyo Ku, 7-3-1 Hongo, Tokyo 1130033, Japan.</t>
  </si>
  <si>
    <t>ryuji@eps.s.u-tokyo.ac.jp</t>
  </si>
  <si>
    <t>Clift, Peter D/A-8972-2012; Clift, Peter/JWO-3915-2024</t>
  </si>
  <si>
    <t>Grants-in-Aid for Scientific Research [16H01765] Funding Source: KAKEN</t>
  </si>
  <si>
    <t>2197-4284</t>
  </si>
  <si>
    <t>PROG EARTH PLANET SC</t>
  </si>
  <si>
    <t>Prog. Earth Planet. Sci.</t>
  </si>
  <si>
    <t>FEB 9</t>
  </si>
  <si>
    <t>10.1186/s40645-016-0080-y</t>
  </si>
  <si>
    <t>DU0VO</t>
  </si>
  <si>
    <t>WOS:000381923000001</t>
  </si>
  <si>
    <t>Poblete, F; Roperch, P; Arriagada, C; Ruffet, G; de Arellano, CR; Hervé, F; Poujol, M</t>
  </si>
  <si>
    <t>Poblete, F.; Roperch, P.; Arriagada, C.; Ruffet, G.; de Arellano, C. Ramirez; Herve, F.; Poujol, M.</t>
  </si>
  <si>
    <t>Late Cretaceous-early Eocene counterclockwise rotation of the Fueguian Andes and evolution of the Patagonia-Antarctic Peninsula system</t>
  </si>
  <si>
    <t>Patagonian Orocline; Fuegian Andes; Antarctic Peninsula; Paleomagnetism; Tectonics; Plate tectonics</t>
  </si>
  <si>
    <t>TIERRA-DEL-FUEGO; SOUTHERNMOST SOUTH-AMERICA; BACK-ARC BASIN; REGIONAL TECTONIC EVOLUTION; DARWIN METAMORPHIC COMPLEX; MAGALLANES FORELAND BASIN; THRUST BELT; U-PB; 40AR/39AR GEOCHRONOLOGY; STRUCTURAL EVOLUTION</t>
  </si>
  <si>
    <t>The southernmost Andes of Patagonia and Tierra del Fuego present a prominent arc-shaped structure: the Patagonian Bend. Whether the bending is a primary curvature or an orocline is still matter of controversy. New paleomagnetic data have been obtained south of the Beagle Channel in 39 out of 61 sites. They have been drilled in Late Jurassic and Early Cretaceous sediments and interbedded volcanics and in mid-Cretaceous to Eocene intrusives of the Fuegian Batholith. The anisotropy of magnetic susceptibility was measured at each site and the influence of magnetic fabric on the characteristic remanent magnetizations (ChRM) in plutonic rocks was corrected using inverse tensors of anisotropy of remanent magnetizations. Normal polarity secondary magnetizations with west-directed declination were obtained in the sediments and they did not pass the fold test. These characteristic directions are similar to those recorded by mid Cretaceous intrusives suggesting a remagnetization event during the normal Cretaceous superchron and describe a large (&gt;90 degrees) counterclockwise rotation. Late Cretaceous to Eocene rocks of the Fueguian Batholith, record decreasing counterclockwise rotations of 45 degrees to 30 degrees. These paleomagnetic results are interpreted as evidence of a large counterclockwise rotation of the Fueguian Andes related to the closure of the Rocas Verdes Basin and the formation of the Darwin Cordillera during the Late Cretaceous and Paleocene. The tectonic evolution of the Patagonian Bend can thus be described as the formation of a progressive arc from an oroclinal stage during the closure of the Rocas Verdes basin to a mainly primary arc during the final stages of deformation of the Magallanes fold and thrust belt. Plate reconstructions show that the Antarctic Peninsula would have formed a continuous margin with Patagonia between the Early Cretaceous and the Eocene, and acted as a non-rotational rigid block facilitating the development of the Patagonian Bend. (C) 2015 Elsevier B.V. All rights reserved. The southernmost Andes of Patagonia and Tierra del Fuego present a prominent arc-shaped structure: the Patagonian Bend. Whether the bending is a primary curvature or an orocline is still matter of controversy. New paleomagnetic data have been obtained south of the Beagle Channel in 39 out of 61 sites. They have been drilled in Late Jurassic and Early Cretaceous sediments and interbedded volcanics and in mid-Cretaceous to Eocene intrusives of the Fuegian Batholith. The anisotropy of magnetic susceptibility was measured at each site and the influence of magnetic fabric on the characteristic remanent magnetizations (ChRM) in plutonic rocks was corrected using inverse tensors of anisotropy of remanent magnetizations. Normal polarity secondary magnetizations with west-directed declination were obtained in the sediments and they did not pass the fold test. These characteristic directions are similar to those recorded by mid Cretaceous intrusives suggesting a remagnetization event during the normal Cretaceous superchron and describe a large (&gt;90 degrees) counterclockwise rotation. Late Cretaceous to Eocene rocks of the Fueguian Batholith, record decreasing counterclockwise rotations of 45 degrees to 30 degrees. These paleomagnetic results are interpreted as evidence of a large counterclockwise rotation of the Fueguian Andes related to the closure of the Rocas Verdes Basin and the formation of the Darwin Cordillera during the Late Cretaceous and Paleocene. The tectonic evolution of the Patagonian Bend can thus be described as the formation of a progressive arc from an oroclinal stage during the closure of the Rocas Verdes basin to a mainly primary arc during the final stages of deformation of the Magallanes fold and thrust belt. Plate reconstructions show that the Antarctic Peninsula would have formed a continuous margin with Patagonia between the Early Cretaceous and the Eocene, and acted as a non-rotational rigid block facilitating the development of the Patagonian Bend. (C) 2015 Elsevier B.V. All rights reserved.</t>
  </si>
  <si>
    <t>[Poblete, F.; Arriagada, C.; Herve, F.] Univ Chile, Dept Geol, Santiago, Chile; [Poblete, F.; Roperch, P.; Ruffet, G.; Herve, F.; Poujol, M.] CNRS CNRS INSU UMR 6118, Geosci Rennes, F-35042 Rennes, France; [Poblete, F.; Roperch, P.; Ruffet, G.; Poujol, M.] Univ Rennes 1, Geosci Rennes, F-35042 Rennes, France; [de Arellano, C. Ramirez; Herve, F.] Univ Andres Bello, Carrera Geol, Santiago 2375, Chile</t>
  </si>
  <si>
    <t>Universidad de Chile; Centre National de la Recherche Scientifique (CNRS); CNRS - National Institute for Earth Sciences &amp; Astronomy (INSU); Universite de Rennes; Universite de Rennes; Universidad Andres Bello</t>
  </si>
  <si>
    <t>Poblete, F (corresponding author), Geosci Rennes, Campus Beaulieu, F-35042 Rennes, France.</t>
  </si>
  <si>
    <t>ferpoble2@gmail.com</t>
  </si>
  <si>
    <t>Poujol, Marc/B-3155-2008; Arriagada, César/I-6336-2016; Herve, Francisco/HDO-6628-2022</t>
  </si>
  <si>
    <t>Poblete, Fernando/0000-0002-2140-5483; Poujol, Marc/0000-0001-8682-2926</t>
  </si>
  <si>
    <t>CONICYT; Institut de Recherche pour le Developpement (IRD); Project Anillo Antartico of CONICYT-PBCYT [ACT-105]</t>
  </si>
  <si>
    <t>CONICYT(Comision Nacional de Investigacion Cientifica y Tecnologica (CONICYT)); Institut de Recherche pour le Developpement (IRD); Project Anillo Antartico of CONICYT-PBCYT</t>
  </si>
  <si>
    <t>This is a contribution to Project Anillo Antartico ACT-105 of CONICYT-PBCYT. We thank DIFROL, CONAF and the Chilean Navy for sampling permission. F.P. thanks CONICYT and the Institut de Recherche pour le Developpement (IRD) for two scholarships. We thank Dr. Constantino Mpodozis for the numerous discussions about the geology and geodynamics of southern Patagonia. F.P. also thanks Keith Klepeis for inviting him to different field works and fruitful discussions. We also thank Ian Dalziel and reviewers Marco Maffione and Augusto Rapalini for their thorough reviews. We are deeply indebted to M. Calderon, P. Castillo and I. Gomez who participated during different fieldworks campaigns. We thank Catherine Kissel and Camille Wandres for their help in the paleomagnetic laboratory of LSCE at Gif/Yvette during Hysteresis data acquisition. We also thank R. Valle (Universidad de Chile) and R. Rivera (Universidad Andres Bello) who helped with mineral separations. We thank Captain Hugo and the Chonos crew and Captain Keri and Greg from the Northanger for keeping us alive during the sampling seasons.</t>
  </si>
  <si>
    <t>FEB 8</t>
  </si>
  <si>
    <t>10.1016/j.tecto.2015.11.025</t>
  </si>
  <si>
    <t>DO9IM</t>
  </si>
  <si>
    <t>WOS:000378099900002</t>
  </si>
  <si>
    <t>Moore, K; Alderslade, P; Miller, K</t>
  </si>
  <si>
    <t>Moore, Kirrily; Alderslade, Philip; Miller, Karen</t>
  </si>
  <si>
    <t>A taxonomic revision of the genus Primnoisis Studer [&amp; Wright], 1887 (Coelenterata: Octocorallia: Isididae) using morphological and molecular data</t>
  </si>
  <si>
    <t>Cnidaria; Southern Ocean; Antarctica; deep-sea; octocoral; soft coral; gorgonian; Alcyonacea</t>
  </si>
  <si>
    <t>DEEP-SEA OCTOCORALS; MITOCHONDRIAL GENOME; ANTARCTIC BENTHOS; MULTIPLE LINEAGES; GENETIC-STRUCTURE; SPECIES RICHNESS; SOUTHERN-OCEAN; ANTHOZOA; CNIDARIA; SYSTEMATICS</t>
  </si>
  <si>
    <t>A complete taxonomic revision of the genus Primnoisis (Isididae) is presented herein, based on original type material of all nominal species and additional specimens from deep-water surveys in sub-temperate and Antarctic waters. A multi-disciplinary approach was used combining morphological characteristics such as colonial branching patterns, polyp structure, sclerite form and arrangement, together with phylogenetic reconstructions using two mitochondrial gene regions (mt-MutS and igr1-cox1). The genus Primnoisis is retained with 7 of the 8 nominal species validated (P. antarctica Wright &amp; Studer, 1889, P. rigida Wright &amp; Studer, 1889, P. ambigua Wright &amp; Studer, 1889, P. delicatula Hickson, 1907, P. fragilis Kukenthal, 1912, P. formosa Gravier, 1913 and P. mimas Bayer &amp; Stefani, 1987), with the eighth (P. sparsa Wright &amp; Studer, 1889), synonymised with P. antarctica. In addition, the species Mopsea gracilis Gravier, 1913 is reassigned to Primnoisis and an additional five new species are described (P. chatham n. sp., P. erymna n. sp., P. millerae n. sp., P. niwan. sp. and P. tasmani n. sp). Most of the species fell into two clear groups, defined both by morphology and genetic grouping, for which two new sub-genera are proposed (P. (Primnoisis) n. subg. and P. (Delicatisis) n. subg.). Three species, P. ambigua, P. mimas and P. tasmani, could not be placed reliably in either sub-genus due to distinctive morphological features or genetic dissimilarity. It was not possible to confirm the monophyly of the genus due to unresolved relationships with the closely related genus Notisis Gravier, 1913 and an undescribed genus of Mopseinae.</t>
  </si>
  <si>
    <t>[Moore, Kirrily] TMAG, GPO Box 1164, Hobart, Tas 7001, Australia; [Alderslade, Philip] CSIRO Oceans &amp; Atmosphere, Hobart, Tas 7000, Australia; [Miller, Karen] UWA Oceans Inst M096, Australian Inst Marine Sci, 39 Fairway, Crawley, WA 6009, Australia</t>
  </si>
  <si>
    <t>Commonwealth Scientific &amp; Industrial Research Organisation (CSIRO); University of Western Australia; Australian Institute of Marine Science</t>
  </si>
  <si>
    <t>Moore, K (corresponding author), TMAG, GPO Box 1164, Hobart, Tas 7001, Australia.</t>
  </si>
  <si>
    <t>Kirrily.moore@tmag.tas.gov.au; phil.alderslade@csiro.au; k.miller@aims.gov.au</t>
  </si>
  <si>
    <t>Miller, Karen/A-7902-2011; Miller, Karen/V-4098-2019</t>
  </si>
  <si>
    <t>Commonwealth Environment Research Facilities (CERF) program, an Australian Government; AAD project AAS Project [3051]</t>
  </si>
  <si>
    <t>Commonwealth Environment Research Facilities (CERF) program, an Australian Government; AAD project AAS Project</t>
  </si>
  <si>
    <t>This work formed part of a PhD thesis undertaken at the University of Tasmania (UTAS) as part of the Marine Biodiversity Hub, funded through the Commonwealth Environment Research Facilities (CERF) program, an Australian Government initiative supporting world class, public good research. The authors thank CMAR (Deep Water Ecosystems and the SOELR Theme) for lab space, samples and collegial assistance, AAD for samples and voyage support, and IMAS (University of Tasmania) for student support. Molecular work was conducted at the UTAS Molecular Laboratory and was funded through the AAD project AAS Project 3051. We thank the cruise participants and crew who helped onboard the RV Aurora Australis 2009/2010 marine science voyage and Rick van den Enden at the AAD for the SEM images. KM thanks TMAG for the significant study leave required.</t>
  </si>
  <si>
    <t>FEB 5</t>
  </si>
  <si>
    <t>DC7KA</t>
  </si>
  <si>
    <t>WOS:000369397500001</t>
  </si>
  <si>
    <t>Rasmussen, TL; Thomsen, E; Moros, M</t>
  </si>
  <si>
    <t>Rasmussen, Tine L.; Thomsen, Erik; Moros, Matthias</t>
  </si>
  <si>
    <t>North Atlantic warming during Dansgaard-Oeschger events synchronous with Antarctic warming and out-of-phase with Greenland climate</t>
  </si>
  <si>
    <t>NORDIC SEAS; DEEP-WATER; MILLENNIAL TIMESCALE; CIRCULATION CHANGES; ICE SHEETS; OCEAN; TEMPERATURE; VARIABILITY; SURFACE; CALIBRATION</t>
  </si>
  <si>
    <t>The precise reason for the differences and out-of-phase relationship between the abrupt Dansgaard-Oeschger warmings in the Nordic seas and Greenland ice cores and the gradual warmings in the south-central Atlantic and Antarctic ice cores is poorly understood. Termed the bipolar seesaw, the differences are apparently linked to perturbations in the ocean circulation pattern. Here we show that surface and intermediate-depth water south of Iceland warmed gradually synchronously with the Antarctic warming and out of phase with the abrupt warming of the Nordic seas and over Greenland. The hinge line between areas showing abrupt and gradual warming was close to the Greenland-Scotland Ridge and the marine system appears to be a 'push-and-pull' system rather than a seesaw system. 'Pull' during the warm interstadials, when convection in the Nordic seas was active; 'push' during the cold stadials, when convection stopped and warm water from the south-central Atlantic pushed northward gradually warming the North Atlantic and Nordic seas.</t>
  </si>
  <si>
    <t>[Rasmussen, Tine L.] UiT Arctic Univ Norway, Dept Geol, CAGE Ctr Arctic Gas Hydrate Environm &amp; Climate, N-9037 Tromso, Norway; [Thomsen, Erik] Aarhus Univ, Dept Geosci, DK-8000 Aarhus C, Denmark; [Moros, Matthias] Leibniz Inst Balt Sea Res Warnemunde IOW, D-18119 Rostock, Germany</t>
  </si>
  <si>
    <t>UiT The Arctic University of Tromso; Aarhus University; Leibniz Institut fur Ostseeforschung Warnemunde</t>
  </si>
  <si>
    <t>Rasmussen, TL (corresponding author), UiT Arctic Univ Norway, Dept Geol, CAGE Ctr Arctic Gas Hydrate Environm &amp; Climate, N-9037 Tromso, Norway.</t>
  </si>
  <si>
    <t>tine.rasmussen@uit.no</t>
  </si>
  <si>
    <t>Mohn Foundation; University of Tromso; Norwegian Research Council Centres of Excellence [223259]</t>
  </si>
  <si>
    <t>Mohn Foundation; University of Tromso; Norwegian Research Council Centres of Excellence(Research Council of Norway)</t>
  </si>
  <si>
    <t>This work was part of the project 'Paleo-CIRCUS' supported by the Mohn Foundation and the University of Tromso and WP6 of CAGE supported by the Norwegian Research Council Centres of Excellence grant no. 223259.</t>
  </si>
  <si>
    <t>10.1038/srep20535</t>
  </si>
  <si>
    <t>DC8ZV</t>
  </si>
  <si>
    <t>WOS:000369510700001</t>
  </si>
  <si>
    <t>Sattler, K; Anderson, B; Mackintosh, A; Norton, K; de Róiste, M</t>
  </si>
  <si>
    <t>Sattler, Katrin; Anderson, Brian; Mackintosh, Andrew; Norton, Kevin; de Roiste, Mairead</t>
  </si>
  <si>
    <t>Estimating Permafrost Distribution in the Maritime Southern Alps,New Zealand, Based on Climatic Conditions at Rock Glacier Sites</t>
  </si>
  <si>
    <t>FRONTIERS IN EARTH SCIENCE</t>
  </si>
  <si>
    <t>mountain permafrost; continentality; probability modeling; rock glaciers; New Zealand</t>
  </si>
  <si>
    <t>MOUNTAIN PERMAFROST; FRONT RANGE; ALPINE PERMAFROST; LAPSE RATES; PRECIPITATION; ISLANDS; SLOPES; REGION; SCALE; ANDES</t>
  </si>
  <si>
    <t>Alpine permafrost occurrence in maritime climates has received little attention, despite suggestions that permafrost may occur at lower elevations than in continental climates. To assess the spatial and altitudinal limits of permafrost in the maritime Southern Alps, we developed and tested a catchment-scale distributed permafrost estimate. We used logistic regression to identify the relationship between permafrost presence at 280 active and relict rock glacier sites and the independent variables (a) mean annual air temperature (MAAT) and (b) potential incoming solar radiation in snow free months. The statistical relationships were subsequently employed to calculate the spatially-distributed probability of permafrost occurrence, using a probability of = 0.6 to delineate the potential permafrost extent. Our results suggest that topoclimatic conditions are favorable for permafrost occurrence in debris-mantled slopes above similar to 2000 m above sea level (asl) in the central Southern Alps and above similar to 2150 m asl in the more northern Kaikoura ranges. Considering the well-recognized latitudinal influence on global permafrost occurrences, these altitudinal limits are lower than the limits observed in other mountain regions. We argue that the Southern Alps' lower distribution limits may exemplify an oceanic influence on global permafrost distribution. Reduced ice-loss due to moderate maritime summer temperature extremes may facilitate the existence of permafrost at lower altitudes than in continental regions at similar latitude. Empirical permafrost distribution models derived in continental climates may consequently be of limited applicability in maritime settings.</t>
  </si>
  <si>
    <t>[Sattler, Katrin; Mackintosh, Andrew; Norton, Kevin; de Roiste, Mairead] Victoria Univ Wellington, Sch Geog Environm &amp; Earth Sci, Wellington, New Zealand; [Anderson, Brian; Mackintosh, Andrew] Victoria Univ Wellington, Antarctic Res Ctr, Wellington, New Zealand</t>
  </si>
  <si>
    <t>Victoria University Wellington; Victoria University Wellington</t>
  </si>
  <si>
    <t>Mackintosh, A (corresponding author), Victoria Univ Wellington, Sch Geog Environm &amp; Earth Sci, Wellington, New Zealand.;Mackintosh, A (corresponding author), Victoria Univ Wellington, Antarctic Res Ctr, Wellington, New Zealand.</t>
  </si>
  <si>
    <t>andrew.mackintosh@vuw.ac.nz</t>
  </si>
  <si>
    <t>Norton, Kevin/CAF-1290-2022</t>
  </si>
  <si>
    <t>Norton, Kevin/0000-0002-7995-6464; Mackintosh, Andrew/0000-0002-6430-4711</t>
  </si>
  <si>
    <t>Victoria University Wellington; New Zealand Department of Conservation [Inv4150]; Environment Canterbury</t>
  </si>
  <si>
    <t>Victoria University Wellington; New Zealand Department of Conservation; Environment Canterbury</t>
  </si>
  <si>
    <t>This project was part of KS's PhD research, funded by a Vice Chancellor's Strategic Research PhD Scholarship, Victoria University Wellington, and by contributions toward fieldwork from the New Zealand Department of Conservation (Inv4150), Environment Canterbury, and A. Mackintosh.</t>
  </si>
  <si>
    <t>2296-6463</t>
  </si>
  <si>
    <t>FRONT EARTH SC-SWITZ</t>
  </si>
  <si>
    <t>Front. Earth Sci.</t>
  </si>
  <si>
    <t>FEB 3</t>
  </si>
  <si>
    <t>10.3389/feart.2016.00004</t>
  </si>
  <si>
    <t>EJ2SR</t>
  </si>
  <si>
    <t>WOS:000393061900001</t>
  </si>
  <si>
    <t>Black, C; Collen, B; Johnston, D; Hart, T</t>
  </si>
  <si>
    <t>Black, Caitlin; Collen, Ben; Johnston, Daniel; Hart, Tom</t>
  </si>
  <si>
    <t>Why Huddle? Ecological Drivers of Chick Aggregations in Gentoo Penguins, Pygoscelis papua, across Latitudes</t>
  </si>
  <si>
    <t>Aggregations of young animals are common in a range of endothermic and ectothermic species, yet the adaptive behavior may depend on social circumstance and local conditions. In penguins, many species form aggregations (aka. creches) for a variety of purposes, whilst others have never been observed exhibiting this behavior. Those that do form aggregations do so for three known benefits: 1) reduced thermoregulatory requirements, 2) avoidance of unrelated-adult aggression, and 3) lower predation risk. In gentoo penguins, Pygoscelis papua, chick aggregations are known to form during the post-guard period, yet the cause of these aggregations is poorly understood. Here, for the first time, we study aggregation behavior in gentoo penguins, examining four study sites along a latitudinal gradient using time-lapse cameras to examine the adaptive benefit of aggregations to chicks. Our results support the idea that aggregations of gentoo chicks decrease an individual's energetic expenditure when wet, cold conditions are present. However, we found significant differences in aggregation behavior between the lowest latitude site, Maiviken, South Georgia, and two of the higher latitude sites on the Antarctic Peninsula, suggesting this behavior may be colony specific. We provide strong evidence that more chicks aggregate and a larger number of aggregations occur on South Georgia, while the opposite occurs at Petermann Island in Antarctica. Future studies should evaluate multiple seabird colonies within one species before generalizing behaviors based on one location, and past studies may need to be re-evaluated to determine whether chick aggregation and other behaviors are in fact exhibited species-wide.</t>
  </si>
  <si>
    <t>[Black, Caitlin; Hart, Tom] Univ Oxford, Dept Zool, S Parks Rd, Oxford, England; [Collen, Ben] UCL, Ctr Biodivers &amp; Environm Res, London, England; [Johnston, Daniel] British Antarctic Survey, King Edward Point Res Stn, London, England</t>
  </si>
  <si>
    <t>University of Oxford; University of London; University College London; UK Research &amp; Innovation (UKRI); Natural Environment Research Council (NERC); NERC British Antarctic Survey</t>
  </si>
  <si>
    <t>Black, C (corresponding author), Univ Oxford, Dept Zool, S Parks Rd, Oxford, England.</t>
  </si>
  <si>
    <t>caitlin.black@lincoln.ox.ac.uk</t>
  </si>
  <si>
    <t>; Collen, Ben/F-2543-2016</t>
  </si>
  <si>
    <t>Black, Caitlin/0000-0001-9591-3571; Collen, Ben/0000-0003-2564-4243</t>
  </si>
  <si>
    <t>Darwin Initiative [DPLUS002]; Foreign and Commonwealth Office; Quark Expeditions Ltd.; Exodus Travel Ltd.; NERC [bas010011] Funding Source: UKRI; Natural Environment Research Council [bas010011] Funding Source: researchfish</t>
  </si>
  <si>
    <t>Darwin Initiative; Foreign and Commonwealth Office; Quark Expeditions Ltd.; Exodus Travel Ltd.; NERC(UK Research &amp; Innovation (UKRI)Natural Environment Research Council (NERC)); Natural Environment Research Council(UK Research &amp; Innovation (UKRI)Natural Environment Research Council (NERC))</t>
  </si>
  <si>
    <t>This study was supported by the Darwin Initiative (DPLUS002; https://www.gov.uk/government/groups/the-darwin-initiative) awarded to TH and BC, the Foreign and Commonwealth Office (https://www.gov.uk/government/organisations/foreign-commonwealth-office), Quark Expeditions Ltd., (http://www.quarkexpeditions.com/en), and Exodus Travel Ltd., (www.exodustravels.com) awarded to TH. The funders had no role in study design, data collection and analysis, decision to publish, or preparation of the manuscript.</t>
  </si>
  <si>
    <t>e0145676</t>
  </si>
  <si>
    <t>10.1371/journal.pone.0145676</t>
  </si>
  <si>
    <t>DC9OF</t>
  </si>
  <si>
    <t>WOS:000369550200002</t>
  </si>
  <si>
    <t>Kim, K; Yabushita, A; Okumura, M; Saiz-Lopez, A; Cuevas, CA; Blaszczak-Boxe, CS; Min, DW; Yoon, HI; Choi, WY</t>
  </si>
  <si>
    <t>Kim, Kitae; Yabushita, Akihiro; Okumura, Masanori; Saiz-Lopez, Alfonso; Cuevas, Carlos A.; Blaszczak-Boxe, Christopher S.; Min, Dae Wi; Yoon, Ho-Il; Choi, Wonyong</t>
  </si>
  <si>
    <t>Production of Molecular Iodine and Tri-iodide in the Frozen Solution of Iodide: Implication for Polar Atmosphere</t>
  </si>
  <si>
    <t>BOUNDARY-LAYER HALOGENS; SEA-ICE; HETEROGENEOUS REACTIONS; ELECTROLYTE-SOLUTIONS; ANTARCTIC SNOWPACK; COASTAL ANTARCTICA; ENVIRONMENTAL ICE; POTASSIUM-IODIDE; IRON-OXIDES; CHEMISTRY</t>
  </si>
  <si>
    <t>The chemistry of reactive halogens in the polar atmosphere plays important roles in ozone and mercury depletion events, oxidizing capacity, and dimethylsulfide oxidation to form cloud-condensation nuclei. Among halogen species, the sources and emission mechanisms of inorganic iodine compounds in the polar boundary layer remain unknown. Here, we demonstrate that the production of tri-iodide (I-3(-)) via iodide oxidation, which is negligible in aqueous solution, is significantly accelerated in frozen solution, both in the presence and the absence of solar irradiation. Field experiments carried out in the Antarctic region (King George Island, 62 degrees 13'S, 58 degrees 47'W) also showed that the generation of tri-iodide via solar photo-oxidation was enhanced when iodide was added to various ice media. The emission of gaseous I-2 from the irradiated frozen solution of iodide to the gas phase was detected by using cavity ring-down spectroscopy, which was observed both in the frozen state at 253 K and after thawing the ice at 298 K. The accelerated (photo-)oxidation of iodide and the subsequent formation of tri-iodide and I-2 in ice appear to be related with the freeze concentration of iodide and dissolved O-2 trapped in the ice crystal grain boundaries. We propose that an accelerated abiotic transformation of iodide to provides a previously unrecognized formation pathway of active iodine species in the polar atmosphere.</t>
  </si>
  <si>
    <t>[Kim, Kitae; Min, Dae Wi; Choi, Wonyong] Pohang Univ Sci &amp; Technol POSTECH, Sch Environm Sci &amp; Engn, Pohang 790784, South Korea; [Kim, Kitae; Yoon, Ho-Il] Korea Polar Res Inst KOPRI, Inchon 406840, South Korea; [Yabushita, Akihiro; Okumura, Masanori] Kyoto Univ, Dept Mol Engn, Kyoto 6158510, Japan; [Yabushita, Akihiro] Kyushu Univ, Dept Mol &amp; Mat Sci, Kasuga, Fukuoka 8168580, Japan; [Saiz-Lopez, Alfonso; Cuevas, Carlos A.] CSIC, Inst Phys Chem Rocasolano, Dept Atmospher Chem &amp; Climate, Madrid, Spain; [Blaszczak-Boxe, Christopher S.] CUNY Medgar Evers Coll, Dept Phys Environm &amp; Comp Sci, Brooklyn, NY 11235 USA</t>
  </si>
  <si>
    <t>Pohang University of Science &amp; Technology (POSTECH); Korea Polar Research Institute (KOPRI); Kyoto University; Kyushu University; Consejo Superior de Investigaciones Cientificas (CSIC); CSIC - Instituto de Quimica Fisica Rocasolano (IQFR); City University of New York (CUNY) System</t>
  </si>
  <si>
    <t>Choi, WY (corresponding author), Pohang Univ Sci &amp; Technol POSTECH, Sch Environm Sci &amp; Engn, Pohang 790784, South Korea.</t>
  </si>
  <si>
    <t>wchoi@postech.edu</t>
  </si>
  <si>
    <t>Choi, Wonyong/F-8206-2010; Saiz-Lopez, Alfonso/B-3759-2015</t>
  </si>
  <si>
    <t>Choi, Wonyong/0000-0003-1801-9386; Saiz-Lopez, Alfonso/0000-0002-0060-1581; Cuevas Rodriguez, Carlos Alberto/0000-0002-9251-5460; Kim, Kitae/0000-0003-0803-3547</t>
  </si>
  <si>
    <t>Korea Polar Research Institute (KOPRI) project [PP16010]; KOPRI Polar Academic Program (PAP); JSPS [23651014, 23684045]; Kurata Memorial Hitachi Science and Technology Foundation; Grants-in-Aid for Scientific Research [25108002, 23651014, 23684045] Funding Source: KAKEN</t>
  </si>
  <si>
    <t>Korea Polar Research Institute (KOPRI) project; KOPRI Polar Academic Program (PAP); JSPS(Ministry of Education, Culture, Sports, Science and Technology, Japan (MEXT)Japan Society for the Promotion of Science); Kurata Memorial Hitachi Science and Technology Foundation; Grants-in-Aid for Scientific Research(Ministry of Education, Culture, Sports, Science and Technology, Japan (MEXT)Japan Society for the Promotion of ScienceGrants-in-Aid for Scientific Research (KAKENHI))</t>
  </si>
  <si>
    <t>Funding for this work was provided by Korea Polar Research Institute (KOPRI) project (PP16010), the KOPRI Polar Academic Program (PAP), grants-in-aid from JSPS (Grants No. 23651014 and 23684045) and the Kurata Memorial Hitachi Science and Technology Foundation. We thank Ibrahim Diallo from Medgar Evers College aiding the literature information translation.</t>
  </si>
  <si>
    <t>FEB 2</t>
  </si>
  <si>
    <t>10.1021/acs.est.5b05148</t>
  </si>
  <si>
    <t>DC8LO</t>
  </si>
  <si>
    <t>WOS:000369471300024</t>
  </si>
  <si>
    <t>Péron, C; Welsford, DC; Ziegler, P; Lamb, TD; Gasco, N; Chazeau, C; Sinègre, R; Duhamel, G</t>
  </si>
  <si>
    <t>Peron, Clara; Welsford, Dirk C.; Ziegler, Philippe; Lamb, Timothy D.; Gasco, Nicolas; Chazeau, Charlotte; Sinegre, Romain; Duhamel, Guy</t>
  </si>
  <si>
    <t>Modelling spatial distribution of Patagonian toothfish through life-stages and sex and its implications for the fishery on the Kerguelen Plateau</t>
  </si>
  <si>
    <t>DISSOSTICHUS-ELEGINOIDES SMITT; STOCK ASSESSMENT; KILLER WHALES; SOUTH GEORGIA; MARINE FISH; BODY-SIZE; ISLANDS; SELECTION; HISTORY; GROWTH</t>
  </si>
  <si>
    <t>Size and sex specific habitat preferences are common in animal populations and can have important implications for sound spatial management of harvested species. Patagonian toothfish (Dissostichus eleginoides) is a commercially exploited fish species characterised by its longevity (&gt;50 yo) and its extremely broad distribution in depths ranging from 10 m to 2500 m on most of the Plateaux, banks and seamounts of the Southern Ocean. As many bentho-pelagic fish species, Patagonian toothfish exhibits sexual dimorphism and ontogenetic habitat shift towards deeper waters as they grow. In this study, we modelled the spatial structure of Patagonian toothfish population (median total length and sex composition) in a data-rich area, the Kerguelen Plateau (Southern Indian Ocean), to better understand the ecological drivers of their distributional patterns and inform current and future fishery management strategies. We applied spatially-explicit statistical models to quantify and predict the effects of the complex topography of the Kerguelen Plateau in structuring the spatial distribution of Patagonian toothfish total length and sex ratio, while controlling for gear selectivity and season. Model predictions showed that juvenile toothfish live in shallow regions (shelf and banks) and move downward progressively up to 600 m while they grow. Between 600 m and 1200 m, the downward movement stops and fish settle at their preferred depths. While in this depth range, fish are 75 cm long and most vulnerable to fisheries. As they approach maturity large fish move downward to deep-sea habitats (from 1200 m to &gt;2300 m) and head towards the spawning grounds on the western side of the plateau and around Skiff Bank. Importantly, the sex ratio was not evenly distributed across the Plateau; prediction maps revealed a higher proportion of females in the South whereas a strong male-bias sex ratio (70%) occurred in the North-West. Large-scale prediction maps derived from our models assisted in developing hypotheses regarding ecological drivers of Patagonian toothfish habitat-use and movement across different life stages and sex. Such hypotheses are crucial to inform management strategies of this multijurisdictional fishery (France and Australia) at the spatial and temporal scales over which natural processes and fishery extend. (C) 2015 Elsevier Ltd. All rights reserved.</t>
  </si>
  <si>
    <t>[Peron, Clara; Welsford, Dirk C.; Ziegler, Philippe; Lamb, Timothy D.] Australian Antarctic Div, Dept Environm, 203 Channel Highway, Kingston, Tas 7050, Australia; [Peron, Clara] Univ Tasmania, Inst Marine &amp; Antarctic Studies, Private Bag 49, Hobart, Tas 7001, Australia; [Gasco, Nicolas; Chazeau, Charlotte; Sinegre, Romain; Duhamel, Guy] UPMC, Museum Natl Hist Nat, Dept Milieux &amp; Peuplements Aquat, CNRS,IRD,UCBN,UMR BOREA 7208, CP 26,43 Rue Cuvier, F-75005 Paris, France</t>
  </si>
  <si>
    <t>Australian Antarctic Division; University of Tasmania; Centre National de la Recherche Scientifique (CNRS); CNRS - Institute of Ecology &amp; Environment (INEE); Institut de Recherche pour le Developpement (IRD); Museum National d'Histoire Naturelle (MNHN); Sorbonne Universite</t>
  </si>
  <si>
    <t>Péron, C (corresponding author), Australian Antarctic Div, Dept Environm, 203 Channel Highway, Kingston, Tas 7050, Australia.</t>
  </si>
  <si>
    <t>clara.peron@aad.gov.au</t>
  </si>
  <si>
    <t>Ziegler, Philippe/0000-0001-5940-9394; Welsford, Dirk/0000-0001-5379-5052</t>
  </si>
  <si>
    <t>Australian Fisheries Research and Development Corporation (FRDC Project) [2013/013]; Australian Fisheries Management Authority (AFMA); SARPC, Syndicat des Armements Reunionnais de Palangriers Congelateurs; Southern and Antarctic French Territories (TAAF, Terres Australes et Antarctiques Francaises)</t>
  </si>
  <si>
    <t>Australian Fisheries Research and Development Corporation (FRDC Project)(Fisheries R&amp;D Corp); Australian Fisheries Management Authority (AFMA); SARPC, Syndicat des Armements Reunionnais de Palangriers Congelateurs; Southern and Antarctic French Territories (TAAF, Terres Australes et Antarctiques Francaises)</t>
  </si>
  <si>
    <t>This study was funded through the Australian Fisheries Research and Development Corporation (FRDC Project No. 2013/013). We thank the Australian Fisheries Management Authority (AFMA), the French ship-owners (SARPC, Syndicat des Armements Reunionnais de Palangriers Congelateurs) and the Southern and Antarctic French Territories (TAAF, Terres Australes et Antarctiques Francaises) for their financial supports. We are very grateful to observers onboard Australian and French fishing vessels for their hard work collecting the data used in this study. We are also grateful to the skippers, crews and ship owners of the Australian and French fishing vessels for their cooperation during commercial fishing operations, and particularly the crew and owners of FV Southern Champion and FV Austral for their support during the scientific research surveys. We would like to thank Paul Burch, Troy Robertson, Andrew Constable, Philippe Koubbi, Patrice Pruvost, Alexis Martin, Melyne Hautecoeur, and Michael Sumner for their comments on the manuscript and/or contribution to database management.</t>
  </si>
  <si>
    <t>FEB</t>
  </si>
  <si>
    <t>10.1016/j.pocean.2015.12.003</t>
  </si>
  <si>
    <t>DO9IZ</t>
  </si>
  <si>
    <t>WOS:000378101200006</t>
  </si>
  <si>
    <t>Litzow, MA; Hobday, AJ; Frusher, SD; Dann, P; Tuck, GN</t>
  </si>
  <si>
    <t>Litzow, Michael A.; Hobday, Alistair J.; Frusher, Stewart D.; Dann, Peter; Tuck, Geoffrey N.</t>
  </si>
  <si>
    <t>Detecting regime shifts in marine systems with limited biological data: An example from southeast Australia</t>
  </si>
  <si>
    <t>SEA-SURFACE TEMPERATURE; MORWONG NEMADACTYLUS-MACROPTERUS; PENGUINS EUDYPTULA-MINOR; GEMFISH REXEA-SOLANDRI; GREAT-BARRIER-REEF; CLIMATE-CHANGE; JACKASS MORWONG; SPAWNING DYNAMICS; RED NOISE; PACIFIC</t>
  </si>
  <si>
    <t>The ability to detect ecological regime shifts in a data-limited setting was investigated, using southeast Australian ecosystems as a model. Community variability was summarized for 1968-2008 with the first two principal components (PCs) of recruitment estimates for six fish stocks and reproductive parameters for four seabird species; regional climate was summarized for 1953-2008 with the first two PCs for three parameters (sea surface temperature [SST], sea surface salinity, surface nitrate) measured at two stations; and basin-scale climate variability was summarized for 1950-2012 with mean South Pacific SST and the first two PCs of detrended South Pacific SST. The first two biology PCs explained 45% of total community variability. The first two PCs of basin-scale SST showed abrupt shifts similar to regime behavior observed in other ocean basins, and the first PC of basin-scale SST showed significant covariation with the first PC of regional climate. Together, these results are consistent with the strong community variability and decadal-scale red noise climatic variability associated with Northern Hemisphere regime shifts. However, statistical model selection showed that the first two PCs of regional climate and the first PC of biology time series all exhibited linear change, rather than abrupt shifts. This result is consistent with previous studies documenting rapid linear change in the climate and biology of southeast Australian shelf ecosystems, and we conclude that there is no evidence for regime shift behavior in the region's ecology. However, analysis of a large set of previously-published biological time series from the North Pacific (n = 64) suggests that studies using fewer than similar to 30 biological time series, such as this one, may be unable to detect regime shifts. Thus we conclude that the nature of ecological variability in the region cannot be determined with available data. The development of additional long-term biological observations is needed for understanding change in southeast Australia and in many other marine ecosystems globally. (C) 2015 Elsevier Ltd. All rights reserved.</t>
  </si>
  <si>
    <t>[Litzow, Michael A.; Frusher, Stewart D.] Univ Tasmania, Inst Marine &amp; Antarctic Studies, Private Bag 129, Hobart, Tas 7001, Australia; [Hobday, Alistair J.; Tuck, Geoffrey N.] CSIRO Oceans &amp; Atmosphere, Hobart, Tas 7001, Australia; [Frusher, Stewart D.] Univ Tasmania, Ctr Marine Socioecol, Private Bag 129, Hobart, Tas 7001, Australia; [Dann, Peter] Phillip Isl Nat Pk, Res Dept, POB 97, Phillip Isl, Vic 3922, Australia</t>
  </si>
  <si>
    <t>Litzow, MA (corresponding author), Farallon Inst Adv Ecosyst Res, 101 H St Suite Q, Petaluma, CA 94952 USA.</t>
  </si>
  <si>
    <t>litzow@faralloninstitute.org</t>
  </si>
  <si>
    <t>Frusher, Stewart D/G-5117-2014; Hobday, Alistair/A-1460-2012; Tuck, Geoff/E-2356-2012</t>
  </si>
  <si>
    <t>Tuck, Geoff/0000-0002-3640-6147</t>
  </si>
  <si>
    <t>Institute for Marine and Antarctic Studies, University of Tasmania</t>
  </si>
  <si>
    <t>We thank Emanuele Di Lorenzo and three anonymous reviewers for comments that greatly improved this paper. We also thank the Australian Fisheries Management Authority for providing recruitment data, and David Priddell for providing access to shear water time series. Franz Mueter provided much of the R code used in analysis. National Reference Station data were made publicly available by the Integrated Marine Observing System, Australia. ERSST data were made publicly available by the NOAA/OAR/ESRL PSD, Boulder, Colorado, USA. MAL was supported by an Elite Research Scholarship from the Institute for Marine and Antarctic Studies, University of Tasmania.</t>
  </si>
  <si>
    <t>1873-4472</t>
  </si>
  <si>
    <t>10.1016/j.pocean.2015.12.001</t>
  </si>
  <si>
    <t>WOS:000378101200007</t>
  </si>
  <si>
    <t>Zhou, J; Kotovitch, M; Kaartokallio, H; Moreau, S; Tison, JL; Kattner, G; Dieckmann, G; Thomas, DN; Delille, B</t>
  </si>
  <si>
    <t>Zhou, J.; Kotovitch, M.; Kaartokallio, H.; Moreau, S.; Tison, J. -L.; Kattner, G.; Dieckmann, G.; Thomas, D. N.; Delille, B.</t>
  </si>
  <si>
    <t>The impact of dissolved organic carbon and bacterial respiration on pCO2 in experimental sea ice</t>
  </si>
  <si>
    <t>ACID DISSOCIATION-CONSTANTS; INORGANIC NUTRIENTS; PARTIAL-PRESSURE; CO2; DYNAMICS; TEMPERATURE; GAS; SEAWATER; MATTER; GROWTH</t>
  </si>
  <si>
    <t>Previous observations have shown that the partial pressure of carbon dioxide (pCO(2)) in sea ice brines is generally higher in Arctic sea ice compared to those from the Antarctic sea ice, especially in winter and early spring. We hypothesized that these differences result from the higher dissolved organic carbon (DOC) content in Arctic seawater: Higher concentrations of DOC in seawater would be reflected in a greater DOC incorporation into sea ice, enhancing bacterial respiration, which in turn would increase the pCO(2) in the ice. To verify this hypothesis, we performed an experiment using two series of mesocosms: one was filled with seawater (SW) and the other one with seawater with an addition of filtered humic-rich river water (SWR). The addition of river water increased the DOC concentration of the water from a median of 142 mu mol L-water(-1) in SW to 249 mu mol L-water(-1) in SWR. Sea ice was grown in these mesocosms under the same physical conditions over 19 days. Microalgae and protists were absent, and only bacterial activity has been detected. We measured the DOC concentration, bacterial respiration, total alkalinity and pCO(2) in sea ice and the underlying seawater, and we calculated the changes in dissolved inorganic carbon (DIC) in both media. We found that bacterial respiration in ice was higher in SWR: median bacterial respiration was 25 nmol C L-ice(-1) h(-1) compared to 10 nmol C L-ice(-1) h(-1) in SW. pCO(2) in ice was also higher in SWR with a median of 430 ppm compared to 356 ppm in SW. However, the differences in pCO(2) were larger within the ice interiors than at the surfaces or the bottom layers of the ice, where exchanges at the air-ice and ice-water interfaces might have reduced the differences. In addition, we used a model to simulate the differences of pCO(2) and DIC based on bacterial respiration. The model simulations support the experimental findings and further suggest that bacterial growth efficiency in the ice might approach 0.15 and 0.2. It is thus credible that the higher pCO(2) in Arctic sea ice brines compared with those from the Antarctic sea ice were due to an elevated bacterial respiration, sustained by higher riverine DOC loads. These conclusions should hold for locations and time frames when bacterial activity is relatively dominant compared to algal activity, considering our experimental conditions. (C) 2015 Elsevier Ltd. All rights reserved.</t>
  </si>
  <si>
    <t>[Zhou, J.; Kotovitch, M.; Tison, J. -L.] Univ Libre Bruxelles, DSTE, Lab Glaciol, Brussels, Belgium; [Zhou, J.; Kotovitch, M.; Delille, B.] Univ Liege, MARE, Unite Oceanog Chim, B-4000 Liege, Belgium; [Zhou, J.] Duke Univ, Div Earth &amp; Ocean Sci, Durham, NC USA; [Kaartokallio, H.; Thomas, D. N.] Finnish Environm Inst SYKE, Ctr Marine Res, Helsinki, Finland; [Moreau, S.] Catholic Univ Louvain, Earth &amp; Life Inst, Georges Lemaitre Ctr Earth &amp; Climate Res, Louvain La Neuve, Belgium; [Kattner, G.; Dieckmann, G.] Helmholtz Ctr Polar &amp; Marine Res, Alfred Wegener Inst, Bremerhaven, Germany; [Thomas, D. N.] Bangor Univ, Sch Ocean Sci, Menai Bridge, Gwynedd, Wales</t>
  </si>
  <si>
    <t>Universite Libre de Bruxelles; University of Liege; Duke University; Finnish Environment Institute; Universite Catholique Louvain; Helmholtz Association; Alfred Wegener Institute, Helmholtz Centre for Polar &amp; Marine Research; Bangor University</t>
  </si>
  <si>
    <t>Zhou, J (corresponding author), Duke Univ, Div Earth &amp; Ocean Sci, Durham, NC USA.</t>
  </si>
  <si>
    <t>Thomas, David Neville/B-1448-2010; Delille, Bruno/C-3486-2008</t>
  </si>
  <si>
    <t>Thomas, David Neville/0000-0001-8832-5907; Moreau, Sebastien/0000-0001-9446-812X</t>
  </si>
  <si>
    <t>European Community [261520]; FiDiPro - Academy of Finland; Walter and Andree Nottbeck Foundation; BIGSOUTH project - Belgian Science Federal Policy Office; Hamburg Ship Model Basin (HSVA)</t>
  </si>
  <si>
    <t>European Community; FiDiPro - Academy of Finland; Walter and Andree Nottbeck Foundation; BIGSOUTH project - Belgian Science Federal Policy Office; Hamburg Ship Model Basin (HSVA)</t>
  </si>
  <si>
    <t>We are grateful to the two anonymous reviewers for their useful comments which have improved the quality of the manuscript. This study was supported by the European Community's 7th Framework Programme through the grant to the budget of the Integrated Infrastructure Initiative HYDRALAB-IV, Contract No. 261520. The authors would also like to thank the Hamburg Ship Model Basin (HSVA), Karl-Ulrich Evers and the rest of the ice tank crew, for the hospitality, technical and scientific support and the professional execution of the test program in the Research Infrastructure ARTICLAB. The work was supported by a FiDiPro award by the Academy of Finland, the Walter and Andree Nottbeck Foundation, and the BIGSOUTH project funded by the Belgian Science Federal Policy Office. MK, SM and BD are respectively research fellows, postdoctoral researcher and research associate of the Fonds de la Recherche Scientique - FNRS. JZ was F.R.S-FNRS research fellow and is presently a BAEF Francqui Foundation research fellow. This is a MARE Contribution No. 316.</t>
  </si>
  <si>
    <t>10.1016/j.pocean.2015.12.005</t>
  </si>
  <si>
    <t>WOS:000378101200011</t>
  </si>
  <si>
    <t>Antonov, RA; Chernov, DV; Stozhkov, YI</t>
  </si>
  <si>
    <t>Antonov, R. A.; Chernov, D. V.; Stozhkov, Yu. I.</t>
  </si>
  <si>
    <t>Study of the energy spectrum and mass composition of primary cosmic rays in the energy range of 1018-1020 eV using a balloon setup in antarctica (SPHERE-antarctica project)</t>
  </si>
  <si>
    <t>BULLETIN OF THE LEBEDEV PHYSICS INSTITUTE</t>
  </si>
  <si>
    <t>An Antarctic balloon experiment for measuring the energy spectrum and elemental composition of cosmic rays in the ultrahigh-energy range (10(18)-10(20)) eV is proposed. Scientific equipment will measure fluorescence caused by an extensive air shower formed in the atmosphere by an ultrahigh energy particle and Cherenkov light of this shower reflected from a snow surface. It is assumed that the balloon will fly in the circumpolar orbit in Antarctica at a height of similar to 25 km for (2-3) winter (in the Southern Hemisphere)months. For this time, similar to 3000 events caused by particles with energies above 10(18) eV and (200-300) events caused by particles with energies above 10(19) eV will be detected.</t>
  </si>
  <si>
    <t>[Antonov, R. A.; Chernov, D. V.] Skobeltsyn Inst Nucl Phys, Moscow 119991, Russia; [Stozhkov, Yu. I.] Russian Acad Sci, PN Lebedev Phys Inst, Leninskii Pr 53, Moscow 119991, Russia</t>
  </si>
  <si>
    <t>Lomonosov Moscow State University; Russian Academy of Sciences; Russian Academy of Science Lebedev Physical Institute</t>
  </si>
  <si>
    <t>Stozhkov, YI (corresponding author), Russian Acad Sci, PN Lebedev Phys Inst, Leninskii Pr 53, Moscow 119991, Russia.</t>
  </si>
  <si>
    <t>stozkov@fian.fiandns.mipt.ru</t>
  </si>
  <si>
    <t>Yuri, Stozhkov/ABG-7096-2021; Stozhkov, Yuri/M-7433-2015; Chernov, Dmitry/AAZ-1121-2021; Chernov, Dmitry/E-1989-2012</t>
  </si>
  <si>
    <t>Stozhkov, Yuri/0000-0003-1917-0328; Chernov, Dmitry/0000-0001-5093-9970; Chernov, Dmitry/0000-0001-5093-9970</t>
  </si>
  <si>
    <t>1068-3356</t>
  </si>
  <si>
    <t>1934-838X</t>
  </si>
  <si>
    <t>B LEBEDEV PHYS INST+</t>
  </si>
  <si>
    <t>Bull. Lebedev Phys. Inst.</t>
  </si>
  <si>
    <t>10.3103/S106833561602007X</t>
  </si>
  <si>
    <t>Physics, Multidisciplinary</t>
  </si>
  <si>
    <t>Physics</t>
  </si>
  <si>
    <t>DI3MA</t>
  </si>
  <si>
    <t>WOS:000373401600007</t>
  </si>
  <si>
    <t>Kuehl, SA; Alexander, CR; Blair, NE; Harris, CK; Marsaglia, KM; Ogston, AS; Orpin, AR; Roering, JJ; Bever, AJ; Bilderback, EL; Carter, L; Cerovski-Darriau, C; Childress, LB; Corbett, DR; Hale, RP; Leithold, EL; Litchfield, N; Moriarty, JM; Page, MJ; Pierce, LER; Upton, P; Walsh, JP</t>
  </si>
  <si>
    <t>Kuehl, Steven A.; Alexander, Clark R.; Blair, Neal E.; Harris, Courtney K.; Marsaglia, Kathleen M.; Ogston, Andrea S.; Orpin, Alan R.; Roering, Joshua J.; Bever, Aaron J.; Bilderback, Eric L.; Carter, Lionel; Cerovski-Darriau, Corina; Childress, Laurel B.; Corbett, D. Reide; Hale, Richard P.; Leithold, Elana L.; Litchfield, Nicola; Moriarty, Julia M.; Page, Mike J.; Pierce, Lila E. R.; Upton, Phaedra; Walsh, John P.</t>
  </si>
  <si>
    <t>A source-to-sink perspective of the Waipaoa River margin</t>
  </si>
  <si>
    <t>Waipaoa River; New Zealand; Continental margin; Sedimentology; Stratigraphy; Landscape evolution; Sediment transport; Carbon cycle</t>
  </si>
  <si>
    <t>HIKURANGI SUBDUCTION MARGIN; DRIVEN SEDIMENT-TRANSPORT; PARTICULATE ORGANIC-CARBON; EASTERN NORTH-ISLAND; NEW-ZEALAND; CONTINENTAL-MARGIN; POVERTY BAY; EEL RIVER; CLIMATE-CHANGE; GRAVITY FLOWS</t>
  </si>
  <si>
    <t>A fundamental goal of the Earth Science community is to understand how perturbations on Earth's surface are preserved in the stratigraphic record. Recent Source to Sink (S2S) studies of the Waipaoa Sedimentary System (WSS), New Zealand, are synthesized herein to provide a holistic perspective of the processes that generate, transport and preserve sedimentary strata and organic carbon on the Waipaoa margin in the late Quaternary. Rapid uplift associated with subduction processes and weak sedimentary units have conspired to generate rapid rates of incision and erosion in the Waipaoa catchment since the Last Glacial Maximum (LGM). We show that although much of the sediment exported offshore during this time interval originated from valley excavation, a substantial portion emanated from hillslopes, mostly through deep-seated landslide and earthflow processes that were vigorous during periods of rapid fluvial incision just prior to the Pleistocene-Holocene transition. Lacustrine sediments deposited in naturally-dammed 7-ky-old Lake Tutira provide a record of Holocene environmental controls on upper catchment sedimentation in the WSS, with 1400 storms identified. Storm frequency is modulated by the waxing and waning of atmospheric teleconnections between the tropics and Antarctica. Furthermore, clear long-term changes in sediment yield are evident from the Lake Tutira record following human settlement as conversion to pasture is accompanied by a 3-fold increase in the long-term lake sediment accumulation rate. Whereas there is ample evidence that Waipaoa River flood deposits are routinely deposited offshore in the sheltered confines of Poverty Bay, over the longer term, waves and currents subsequently resuspend and transport these deposits both landward (sandy fraction) and seaward (finer fraction). Thus, the timing of sediment supply to areas of net sediment accumulation is more often driven by wave events that are not associated with river flooding. Therefore, we conclude that asynchronicity of river-sediment delivery and of wave resuspension in most instances precludes the direct preservation of flood events in the stratigraphic record of the Waipaoa Shelf. Over the longer term, the sediment package preserved on the shelf and slope since the LGM can be explained in large measure by sequence-stratigraphic models forced by varying sea level and ongoing tectonic deformation of the margin. As sea level rose, sediment supply to the slope was reduced by about a factor of 5 due to shelf trapping. Despite this reduction, turbidites are found at similar frequency throughout the LGM-Present, as the dominant trigger appears to be subduction earthquakes, with large ones having a return interval of about 200 +/- 100 years. Sediment-budget exercises that consider both modern (river discharge versus centennial accumulation rates) and post-LGM (terrestrial production versus offshore isopachs) mass balances indicate that about half of the total sediment production from the Waipaoa escapes the study area. Moreover, a coupled sediment transport-hydrodynamic model and observations of textural trends on the shelf indicate that a large fraction of the sediment is carried outside the study area along the shelf to the northeast by the river plume or by combined current/wave activity. Therefore, we conclude that the WSS is an open system with sediment escape from the present day through the LGM. The organic matter associated with sediment as it moves from upland source to marine sink is a product of particle history, and provides a record of materials that have cycled over timescales of days to millions of years. The ubiquity of fossil Organic Carbon (OC) in both the terrestrial and marine realms of the Waipaoa attests both to the chronic nature of its source, crumbling mudstones further destabilized by land use, and its biogeochemical recalcitrance. Modern OC persists by virtue of its continual production along the S2S transit, and is buried and preserved within the adjacent marine depocenters. The Waipaoa contrasts with dispersal systems on wide, energetic shelves (e.g., the Amazon and Fly Rivers) where sediment is extensively refluxed in oxygenated overlying water resulting in the biogeochemical incineration of particulate OC. The Waipaoa, like other small mountainous rivers on active margins, exhibits a high riverine OC preservation efficiency (&gt;50%) in its marine depocenters because of the relatively rapid, event-driven accumulation of sediment (C) 2015 Elsevier B.V. All rights reserved.</t>
  </si>
  <si>
    <t>[Kuehl, Steven A.; Harris, Courtney K.; Moriarty, Julia M.; Pierce, Lila E. R.] Virginia Inst Marine Sci, Coll William &amp; Mary, Gloucester Point, VA 23062 USA; [Alexander, Clark R.] Univ Georgia, Skidaway Inst Oceanog, Savannah, GA 31411 USA; [Blair, Neal E.] Northwestern Univ, Dept Civil &amp; Environm Engn, Evanston, IL 60208 USA; [Marsaglia, Kathleen M.] Calif State Univ Northridge, Geol Sci, Northridge, CA 91330 USA; [Ogston, Andrea S.] Univ Washington, Sch Oceanog, Seattle, WA 98195 USA; [Orpin, Alan R.] Natl Inst Water &amp; Atmospher Res NIWA, Private Bag 14-901, Wellington, New Zealand; [Roering, Joshua J.; Cerovski-Darriau, Corina] Univ Oregon, Dept Geol Sci, Eugene, OR 97403 USA; [Bever, Aaron J.] Anchor QEA LLC, San Francisco, CA 94102 USA; [Bilderback, Eric L.] Natl Pk Serv, Geol Resources Div, Denver, CO 80225 USA; [Carter, Lionel] Victoria Univ Wellington, Antarctic Res Ctr, POB 600, Wellington, New Zealand; [Blair, Neal E.; Childress, Laurel B.] Northwestern Univ, Dept Earth &amp; Planetary Sci, Evanston, IL 60208 USA; [Corbett, D. Reide; Walsh, John P.] E Carolina Univ, UNC Coastal Studies Inst, Greenville, NC 27858 USA; [Hale, Richard P.] Vanderbilt Univ, Dept Earth &amp; Environm Sci, 221 Kirkland Hall, Nashville, TN 37235 USA; [Leithold, Elana L.] N Carolina State Univ, Dept Marine Earth &amp; Atmospher Sci, Box 8208, Raleigh, NC 27695 USA; [Litchfield, Nicola; Page, Mike J.; Upton, Phaedra] GNS Sci, POB 30-368, Lower Hutt 5040, New Zealand</t>
  </si>
  <si>
    <t>William &amp; Mary; Virginia Institute of Marine Science; University System of Georgia; University of Georgia; Skidaway Institute of Oceanography; Northwestern University; California State University System; California State University Northridge; University of Washington; University of Washington Seattle; National Institute of Water &amp; Atmospheric Research (NIWA) - New Zealand; University of Oregon; United States Department of the Interior; Victoria University Wellington; Northwestern University; University of North Carolina; East Carolina University; Vanderbilt University; North Carolina State University; GNS Science - New Zealand</t>
  </si>
  <si>
    <t>Kuehl, SA (corresponding author), Virginia Inst Marine Sci, Coll William &amp; Mary, Gloucester Point, VA 23062 USA.</t>
  </si>
  <si>
    <t>Moriarty, Julia/AAD-1235-2020; Litchfield, Nicola/C-4104-2013; Cerovski-Darriau, Corina/W-6912-2019; Blair, Neal/B-6924-2009</t>
  </si>
  <si>
    <t>Litchfield, Nicola/0000-0002-2053-3176; Cerovski-Darriau, Corina/0000-0002-0543-0902; Childress, Laurel/0000-0002-9691-3570; Bever, Aaron/0000-0002-2196-0831; Harris, Courtney/0000-0001-5357-5906; Blair, Neal/0000-0002-3449-3371; Kuehl, Steven/0000-0002-5768-3274; Alexander, Clark/0000-0002-3904-1091; Moriarty, Julia/0000-0003-1087-6180; Hale, Richard/0000-0002-7670-8959; Upton, Phaedra/0000-0003-4052-301X; Bilderback, Eric/0000-0002-2027-5699</t>
  </si>
  <si>
    <t>US National Science Foundation [OCE-0948106, 0841096, 0646760, 0405726, 0646771, 0948319, 0841049, 0504690 0600043, GEO-0119936, 0503609]; Foundation for Research, Science and Technology [C09X0213, C05X0203, C01X0203, C01X0702]; Marine Physical Resources Programme within NIWA's Coasts and Ocean Centre; Directorate For Geosciences [0503609] Funding Source: National Science Foundation; Directorate For Geosciences; Division Of Ocean Sciences [0646771, 0841049, 0405726, 0646760] Funding Source: National Science Foundation; Division Of Ocean Sciences; Directorate For Geosciences [0948319, 0841096] Funding Source: National Science Foundation</t>
  </si>
  <si>
    <t>US National Science Foundation(National Science Foundation (NSF)); Foundation for Research, Science and Technology(New Zealand Foundation for Research, Science and Technology); Marine Physical Resources Programme within NIWA's Coasts and Ocean Centre; Directorate For Geosciences(National Science Foundation (NSF)NSF - Directorate for Geosciences (GEO)); Directorate For Geosciences; Division Of Ocean Sciences(National Science Foundation (NSF)NSF - Directorate for Geosciences (GEO)); Division Of Ocean Sciences; Directorate For Geosciences(National Science Foundation (NSF)NSF - Directorate for Geosciences (GEO))</t>
  </si>
  <si>
    <t>This S2S study was made possible through the support from the US National Science Foundation grants: OCE-0948106, 0841096, 0646760, 0405726, 0646771, 0948319, 0841049, 0504690 0600043; GEO-0119936, 0503609.; MARGINS S2S was originally supported in New Zealand by the Foundation for Research, Science and Technology contract C09X0213 to Landcare Research, contract C05X0203 to GNS Science, and contracts C01X0203 and C01X0702 to the National Institute of Water and Atmospheric Research (NIWA). More recently, other MARGINS S2S research was supported by the Marine Physical Resources Programme within NIWA's Coasts and Ocean Centre.</t>
  </si>
  <si>
    <t>10.1016/j.earscirev.2015.10.001</t>
  </si>
  <si>
    <t>DH7AL</t>
  </si>
  <si>
    <t>WOS:000372943200013</t>
  </si>
  <si>
    <t>Gooch, BT; Young, DA; Blankenship, DD</t>
  </si>
  <si>
    <t>Gooch, Brad T.; Young, Duncan A.; Blankenship, Donald D.</t>
  </si>
  <si>
    <t>Potential groundwater and heterogeneous heat source contributions to ice sheet dynamics in critical submarine basins of East Antarctica</t>
  </si>
  <si>
    <t>subglacial hydrology; ice sheet hydrogeology; groundwater model; geothermal heat flux; East Antarctic Ice Sheet; Comsol Multiphysics</t>
  </si>
  <si>
    <t>PLEISTOCENE GLACIATION; SOUTH-POLE; BENEATH; FLOW; SURFACE; SENSITIVITY; SATELLITE; MODEL; BED; TEMPERATURE</t>
  </si>
  <si>
    <t>We present the results of two numerical models describing contributions of groundwater and heterogeneous heat sources to ice dynamics directly relevant to basal processes in East Antarctica. A two-phase, one-dimensional hydrothermal model demonstrates the importance of groundwater flow in vertical heat flux advection near the ice-bed interface. Typical, conservative vertical components of groundwater volume fluxes (from either topographical gradients or vertically channeled flow) on the order of 1-10 mm/yr can alter vertical heat flux by 50-500 mW/m(2) given parameters typical for the interior of East Antarctica. This heat flux has the potential to produce considerable volumes of meltwater depending on basin geometry and geothermal heat production. A one-dimensional hydromechanical model demonstrates that groundwater is mainly recharged into saturated, partially poroelastic (i.e., vertical stress only; not coupled to a deformation equation) sedimentary aquifers during ice advance. During ice retreat, groundwater discharges into the ice-bed interface, which may contribute to water budgets on the order of 0.1-1 mm/yr. We also present an estimated map of potentially heterogeneous heat flow provinces using radiogenic heat production data from East Antarctica and southern Australia, calculated sedimentary basin depths, and radar-derived bed roughness. These are overlaid together to delineate the areas of greatest potential effect from these modeled processes on the ice sheet dynamics of the East Antarctic Ice Sheet.</t>
  </si>
  <si>
    <t>[Gooch, Brad T.; Young, Duncan A.; Blankenship, Donald D.] Univ Texas Austin, Inst Geophys, Jackson Sch Geosci, Austin, TX 78712 USA</t>
  </si>
  <si>
    <t>University of Texas System; University of Texas Austin</t>
  </si>
  <si>
    <t>Gooch, BT (corresponding author), Univ Texas Austin, Inst Geophys, Jackson Sch Geosci, Austin, TX 78712 USA.</t>
  </si>
  <si>
    <t>bgooch@utexas.edu</t>
  </si>
  <si>
    <t>Young, Duncan A./G-6256-2010; Gooch, Brad/E-2677-2016</t>
  </si>
  <si>
    <t>Gooch, Brad/0000-0001-8027-6805</t>
  </si>
  <si>
    <t>G. Unger Vetlesen Foundation [OPP 99-11617, NNX08AN68G]; UTIG Gale White Fellowship</t>
  </si>
  <si>
    <t>G. Unger Vetlesen Foundation; UTIG Gale White Fellowship</t>
  </si>
  <si>
    <t>Supporting Information figures can be found at online version of this article. We thank L. Wang, K. Befus, M. Hesse, and B. Cardenas for their assistance with Comsol Multiphysics. For assistance with Matlab for data analysis, we thank C. Greene; and for PaleoGIS, we thank J. Davis. We thank B. Frederick for assistance with and usage of his finalized geophysical estimations of sedimentary basin thickness in East Antarctica. Finally, we thank K. Soderlund, Y. Yokoyama and two anonymous reviewers for their constructive feedback. Funding to support this work was provided by the G. Unger Vetlesen Foundation, OPP 99-11617 and NNX08AN68G, as well as, the UTIG Gale White Fellowship supporting the lead author. This is UTIG contribution 2947.</t>
  </si>
  <si>
    <t>10.1002/2015GC006117</t>
  </si>
  <si>
    <t>DH8TQ</t>
  </si>
  <si>
    <t>WOS:000373070100009</t>
  </si>
  <si>
    <t>Bratkic, A; Vahcic, M; Kotnik, J; Vazner, KO; Begu, E; Woodward, EMS; Horvat, M</t>
  </si>
  <si>
    <t>Bratkic, Arne; Vahcic, Mitja; Kotnik, Joze; Vazner, Kristina Obu; Begu, Ermira; Woodward, E. Malcolm S.; Horvat, Milena</t>
  </si>
  <si>
    <t>Mercury presence and speciation in the South Atlantic Ocean along the 40°S transect</t>
  </si>
  <si>
    <t>mercury; biogeochemical cycling; speciation; GEOTRACES; South Atlantic Ocean</t>
  </si>
  <si>
    <t>BIOGEOCHEMICAL CYCLE; SURFACE WATERS; HEAVY-METALS; MARINE; COASTAL; TRANSFORMATIONS; METHYLMERCURY; METHYLATION; REDUCTION; ESTUARINE</t>
  </si>
  <si>
    <t>Mercury (Hg) natural biogeochemical cycle is complex and a significant portion of biological and chemical transformation occurs in the marine environment. To better understand the presence and abundance of Hg species in the remote ocean regions, waters of South Atlantic Ocean along 40 degrees S parallel were investigated during UK-GEOTRACES cruise GA10. Total mercury (THg), methylated mercury (MeHg), and dissolved gaseous mercury (DGM) concentrations were determined. The concentrations were very low in the range of pg/L (femtomolar). All Hg species had higher concentration in western than in eastern basin. THg did not appear to be a useful geotracer. Elevated methylated Hg species were commonly associated with low-oxygen water masses and occasionally with peaks of chlorophyll a, both involved with carbon (re)cycling. The overall highest MeHg concentrations were observed in the mixed layer (500m) and in the vicinity of the Gough Island. Conversely, DGM concentrations showed distinct layering and differed between the water masses in a nutrient-like manner. DGM was lowest at surface, indicating degassing to the atmosphere, and was highest in the Upper Circumpolar Deep Water, where the oxygen concentration was lowest. DGM increased also in Antarctic Bottom Water. At one station, dimethylmercury was determined and showed increase in region with lowest oxygen saturation. Altogether, our data indicate that the South Atlantic Ocean could be a source of Hg to the atmosphere and that its biogeochemical transformations depend primarily upon carbon cycling and are thereby additionally prone to global ocean change.</t>
  </si>
  <si>
    <t>[Bratkic, Arne; Vahcic, Mitja; Kotnik, Joze; Begu, Ermira; Horvat, Milena] Jozef Stefan Inst, Dept Environm Sci, Ljubljana, Slovenia; [Vazner, Kristina Obu; Begu, Ermira; Horvat, Milena] Int Postgrad Sch Jozef Stefan, Jamova Cesta 39, Ljubljana, Slovenia; [Vazner, Kristina Obu] Inst Ecol Engn Doo, IEI, Maribor, Slovenia; [Woodward, E. Malcolm S.] Plymouth Marine Lab, Plymouth, Devon, England</t>
  </si>
  <si>
    <t>Slovenian Academy of Sciences &amp; Arts (SASA); Jozef Stefan Institute; Plymouth Marine Laboratory</t>
  </si>
  <si>
    <t>Bratkic, A (corresponding author), Jozef Stefan Inst, Dept Environm Sci, Ljubljana, Slovenia.</t>
  </si>
  <si>
    <t>arne.bratkic@vub.ac.be</t>
  </si>
  <si>
    <t>Bratkic, Arne/AAW-4669-2021; Woodward, Ernest M S/D-5755-2016</t>
  </si>
  <si>
    <t>Bratkic, Arne/0000-0002-7810-1819; Vahcic, Mitja/0000-0001-8809-8169</t>
  </si>
  <si>
    <t>NERC UK-GEOTRACES; Global Mercury Observation System (GMOS) projects (EU FP7); Slovenian Research Agency (ARRS) [P1-1043, PR-03107]</t>
  </si>
  <si>
    <t>NERC UK-GEOTRACES; Global Mercury Observation System (GMOS) projects (EU FP7); Slovenian Research Agency (ARRS)(Slovenian Research Agency - Slovenia)</t>
  </si>
  <si>
    <t>Data used in this paper are available at British Oceanographic Data Centre (doi: 10.5285/1dbc9294-4e65-6530-e053-6c86abc09fb2). The study was funded through NERC UK-GEOTRACES and Global Mercury Observation System (GMOS) projects (EU FP7) and through programme scheme P1-1043 and doctoral grant PR-03107 to A.B., both of Slovenian Research Agency (ARRS). The authors sincerely thank RRS James Cook crew and GA10 science crew for their selfless support and help, M. Pavlin, V. Fajon, M. Elskens for their much appreciated advice and assistance, and to G. M. Henderson for constructive comments and valuable review of the manuscript.</t>
  </si>
  <si>
    <t>10.1002/2015GB005275</t>
  </si>
  <si>
    <t>DH7HO</t>
  </si>
  <si>
    <t>WOS:000372963900002</t>
  </si>
  <si>
    <t>Turney, CSM; Palmer, J; Hogg, A; Fogwill, CJ; Jones, RT; Ramsey, CB; Fenwick, P; Grierson, P; Wilmshurst, J; O'Donnell, A; Thomas, ZA; Lipson, M</t>
  </si>
  <si>
    <t>Turney, Chris S. M.; Palmer, Jonathan; Hogg, Alan; Fogwill, Christopher J.; Jones, Richard T.; Ramsey, Christopher Bronk; Fenwick, Pavla; Grierson, Pauline; Wilmshurst, Janet; O'Donnell, Alison; Thomas, Zoe A.; Lipson, Mathew</t>
  </si>
  <si>
    <t>Multidecadal variations in Southern Hemisphere atmospheric 14C: Evidence against a Southern Ocean sink at the end of the Little Ice Age CO2 anomaly</t>
  </si>
  <si>
    <t>radiocarbon (C-14); interhemispheric gradient (IHG); Southern Ocean; Little Ice Age (LIA); tree rings; Southern Hemisphere carbon dioxide (CO2)</t>
  </si>
  <si>
    <t>PRECISION RADIOCARBON MEASUREMENTS; RING DATED WOOD; EL-NINO; NEW-ZEALAND; NATURAL VARIABILITY; WESTERLY WINDS; TREE-RINGS; CARBON; CLIMATE; AD</t>
  </si>
  <si>
    <t>Northern Hemisphere-wide cooling during the Little Ice Age (LIA; 1650-1775 Common Era, C.E.) was associated with a similar to 5ppmv decrease in atmospheric carbon dioxide. Changes in terrestrial and ocean carbon reservoirs have been postulated as possible drivers of this relatively large shift in atmospheric CO2, potentially providing insights into the mechanisms and sensitivity of the global carbon cycle. Here we report decadally resolved radiocarbon (C-14) levels in a network of tree-ring series spanning 1700-1950 C.E. located along the northern boundary of, and within, the Southern Ocean. We observe regional dilutions in atmospheric radiocarbon (relative to the Northern Hemisphere) associated with upwelling of (CO2)-C-14-depleted abyssal waters. We find the interhemispheric C-14 offset approaches zero during increasing global atmospheric CO2 at the end of the LIA, with reduced ventilation in the Southern Ocean and a Northern Hemisphere source of old carbon (most probably originating from deep Arctic peat layers). The coincidence of the atmospheric CO2 increase and reduction in the interhemispheric C-14 offset imply a common climate control. Possible mechanisms of synchronous change in the high latitudes of both hemispheres are discussed.</t>
  </si>
  <si>
    <t>[Turney, Chris S. M.; Palmer, Jonathan; Fogwill, Christopher J.; Thomas, Zoe A.; Lipson, Mathew] Univ New S Wales, Climate Change Res Ctr, Sydney, NSW, Australia; [Turney, Chris S. M.; Palmer, Jonathan; Fogwill, Christopher J.; Thomas, Zoe A.; Lipson, Mathew] Univ New S Wales, Sch Biol Earth &amp; Environm Sci, Sydney, NSW, Australia; [Hogg, Alan] Univ Waikato, Waikato Radiocarbon Lab, Hamilton, New Zealand; [Jones, Richard T.] Univ Exeter, Dept Geog, Exeter EX4 4QJ, Devon, England; [Ramsey, Christopher Bronk] Univ Oxford, Archaeol &amp; Hist Art Res Lab, Oxford OX1 3QJ, England; [Fenwick, Pavla] Gondwana Tree Ring Lab, Canterbury, New Zealand; [Grierson, Pauline; O'Donnell, Alison] Univ Western Australia, Sch Plant Biol, Ecosyst Res Grp, Crawley, WA, Australia; [Wilmshurst, Janet] Landcare Res, Lincoln, New Zealand; [Wilmshurst, Janet] Univ Auckland, Sch Environm, Auckland 1, New Zealand</t>
  </si>
  <si>
    <t>University of New South Wales Sydney; University of New South Wales Sydney; University of Waikato; University of Exeter; University of Oxford; University of Western Australia; Landcare Research - New Zealand; University of Auckland</t>
  </si>
  <si>
    <t>Turney, CSM (corresponding author), Univ New S Wales, Climate Change Res Ctr, Sydney, NSW, Australia.;Turney, CSM (corresponding author), Univ New S Wales, Sch Biol Earth &amp; Environm Sci, Sydney, NSW, Australia.</t>
  </si>
  <si>
    <t>Hogg, Alan G/M-8427-2014; Lipson, Mathew/AAP-6977-2021; Fogwill, Christopher/HPF-1150-2023; Wilmshurst, Janet/O-8611-2019; Ramsey, Christopher Bronk/AAQ-2227-2021; Palmer, Jonathan/J-7834-2012; Fogwill, Chris/AAW-3502-2021; O'Donnell, Alison/H-8389-2012; Thomas, Zoe/D-1656-2016; Turney, Chris/P-8701-2018; Grierson, Pauline/A-9240-2008</t>
  </si>
  <si>
    <t>Wilmshurst, Janet/0000-0002-4474-8569; Ramsey, Christopher Bronk/0000-0002-8641-9309; Palmer, Jonathan/0000-0002-6665-4483; Fogwill, Chris/0000-0002-6471-1106; O'Donnell, Alison/0000-0001-7597-7965; Thomas, Zoe/0000-0002-2323-4366; Lipson, Mathew/0000-0001-5322-1796; Turney, Chris/0000-0001-6733-0993; Grierson, Pauline/0000-0003-2135-0272</t>
  </si>
  <si>
    <t>Australian Research Council [FL100100195, FT120100004, DP130104156]; NERC [NRCF010002] Funding Source: UKRI; Natural Environment Research Council [NRCF010002] Funding Source: researchfish</t>
  </si>
  <si>
    <t>Australian Research Council(Australian Research Council); NERC(UK Research &amp; Innovation (UKRI)Natural Environment Research Council (NERC)); Natural Environment Research Council(UK Research &amp; Innovation (UKRI)Natural Environment Research Council (NERC))</t>
  </si>
  <si>
    <t>Part of this work was undertaken during the Australasian Antarctic Expedition 2013-2014. C.S.M.T., C.F., and P.G. acknowledge the support of the Australian Research Council (FL100100195, FT120100004, and DP130104156). We thank the New Zealand Department of Conservation for the permission to undertake sampling on Campbell and Stewart Islands (permit: 37687-FAU and National Permit SO-29897-FLO, Southland Application 1011/38). The data reported in this study are provided in Table 1 and also lodged on the National Oceanic and Atmospheric Administration Paleoclimatology Database (https://www.ncdc.noaa.gov/data-access/paleoclimatology-data). We thank the two anonymous reviewers for their constructive comments which improved the manuscript.</t>
  </si>
  <si>
    <t>10.1002/2015GB005257</t>
  </si>
  <si>
    <t>WOS:000372963900008</t>
  </si>
  <si>
    <t>Hulbe, CL; Scambos, TA; Klinger, M; Fahnestock, MA</t>
  </si>
  <si>
    <t>Hulbe, C. L.; Scambos, T. A.; Klinger, M.; Fahnestock, M. A.</t>
  </si>
  <si>
    <t>Flow variability and ongoing margin shifts on Bindschadler and MacAyeal Ice Streams, West Antarctica</t>
  </si>
  <si>
    <t>ice streams; sticky spots; shear margins</t>
  </si>
  <si>
    <t>MASS-BALANCE; SURFACE; ROSS; VELOCITY; RADAR; TRIBUTARIES; STAGNATION; GREENLAND; PATTERNS; BENEATH</t>
  </si>
  <si>
    <t>Ice streams on the Ross Sea side of the West Antarctic Ice Sheet are known to experience flow variability on hourly, annual, and multicentury time scales. We report here on observations of flow variability at the decade scale on the Bindschadler and MacAyeal Ice Streams (BIS and MacIS). Our analysis makes use of archived ice velocity data and new mappings from composited Landsat 7 and Landsat 8 imagery that together span the interval from 1985 to 2014. Both ice streams speedup and slowdown in a range of about 5ma(-2) over our various comparison intervals. The rates of change are variable in both time and space, and there is no evidence of external forcing at work across the two streams. Widespread changes are most likely linked to instability in the subglacial till and/or subglacial water flow. Sticky spots near the confluence of the two ice streams are loci for speed changes. These relatively young and slow-flowing features appear to be forcing shifts in margin position near the outlets of both streams. The margin jumps reduce the effective outlet widths of the streams by 20% and 30% on BIS and MacIS, respectively. Those magnitudes are similar to the outlet narrowing experienced by Kamb Ice Stream prior to its stagnation.</t>
  </si>
  <si>
    <t>[Hulbe, C. L.] Univ Otago, Natl Sch Surveying, Dunedin, New Zealand; [Scambos, T. A.; Klinger, M.] Univ Colorado, US Natl Snow &amp; Ice Data Ctr, Boulder, CO 80309 USA; [Fahnestock, M. A.] Univ Alaska, Inst Geophys, Fairbanks, AK USA</t>
  </si>
  <si>
    <t>University of Otago; University of Colorado System; University of Colorado Boulder; University of Alaska System; University of Alaska Fairbanks</t>
  </si>
  <si>
    <t>Hulbe, CL (corresponding author), Univ Otago, Natl Sch Surveying, Dunedin, New Zealand.</t>
  </si>
  <si>
    <t>christina.hulbe@otago.ac.nz</t>
  </si>
  <si>
    <t>Scambos, Ted A/B-1856-2009</t>
  </si>
  <si>
    <t>SCAMBOS, Ted A./0000-0003-4268-6322; Hulbe, Christina/0000-0003-4765-7037</t>
  </si>
  <si>
    <t>New Zealand Antarctic Research Institute grant [NZARI RFP 2013-1]</t>
  </si>
  <si>
    <t>New Zealand Antarctic Research Institute grant</t>
  </si>
  <si>
    <t>This work was supported by a New Zealand Antarctic Research Institute (NZARI RFP 2013-1) grant to Hulbe. The Landsat 4-, Landsat 5-, and SPOT-derived velocities were computed using IMCORR and are archived in the NSIDC VELMAP project. Newer Landsat scenes are archived at the USGS EarthExplorer website, and the velocity mapping has been done by M. Klinger and T. Scambos at NSIDC using a Python-based software named PyCorr. We thank the Editor, Associate Editor, and three reviewers for careful reading and comments that helped us improve the clarity of our manuscript.</t>
  </si>
  <si>
    <t>10.1002/2015JF003670</t>
  </si>
  <si>
    <t>DH6UU</t>
  </si>
  <si>
    <t>WOS:000372928400006</t>
  </si>
  <si>
    <t>Hiester, J; Sergienko, OV; Hulbe, CL</t>
  </si>
  <si>
    <t>Hiester, J.; Sergienko, O. V.; Hulbe, C. L.</t>
  </si>
  <si>
    <t>Topographically mediated ice stream subglacial drainage networks</t>
  </si>
  <si>
    <t>ice streams; subglacial hydrology; modeling</t>
  </si>
  <si>
    <t>WEST ANTARCTICA; LAKE ACTIVITY; SIPLE COAST; SURFACE; WATER; FLOW; DYNAMICS; SEDIMENT; PATTERNS</t>
  </si>
  <si>
    <t>Satellite laser altimetry reveals short timescale changes in Antarctic ice sheet surface elevation that are suggested to be driven by subglacial water transport and storage. Here details of the interaction between the dynamics of ice stream flow, subglacial water system, and bed elevation relief are examined in the context of idealized, heterogeneous bed geometries. Using a two-way coupled model of ice and subglacial water flow, we show that basal topography controls the temporal and spatial variability of the sub-ice stream hydraulic system. The orientation and characteristic dimensions of the topographic undulations determine the morphology (connected subglacial ponds or channel-like subglacial water features) and timescales of the sub-ice stream drainage system. The short-term (several years to decades) variability of the simulated coupled ice stream/subglacial water system suggests that the short-term surface variations detected in remote sensing observations may be indicative of a rapidly evolving subglacial water system. Our simulations also show that interaction between ice flow and the highly dynamic subglacial water system has a strong effect on effective stress in the ice. Large effective stress magnitudes arise over areas where the basal traction is characterized by strong spatial gradients, that is, transitions from high to low basal traction or vise versa. These transitions migrate on multiyear timescales and thus cause large effective stress variability on the same temporal scales.</t>
  </si>
  <si>
    <t>[Hiester, J.] Univ Texas Austin, Inst Geophys, Jackson Sch Geosci, Austin, TX USA; [Sergienko, O. V.] Princeton Univ, GFDL AOS, Princeton, NJ 08544 USA; [Hulbe, C. L.] Univ Otago, Sch Surveying, Dunedin, New Zealand</t>
  </si>
  <si>
    <t>University of Texas System; University of Texas Austin; Princeton University; National Oceanic Atmospheric Admin (NOAA) - USA; University of Otago</t>
  </si>
  <si>
    <t>Sergienko, OV (corresponding author), Princeton Univ, GFDL AOS, Princeton, NJ 08544 USA.</t>
  </si>
  <si>
    <t>osergien@princeton.edu</t>
  </si>
  <si>
    <t>Sergienko, Olga/HII-8500-2022</t>
  </si>
  <si>
    <t>Sergienko, Olga/0000-0002-5764-8815; Hulbe, Christina/0000-0003-4765-7037</t>
  </si>
  <si>
    <t>U.S. National Science Foundation [OPP-0838811]; NOAA [NA13OAR431009]</t>
  </si>
  <si>
    <t>U.S. National Science Foundation(National Science Foundation (NSF)); NOAA(National Oceanic Atmospheric Admin (NOAA) - USA)</t>
  </si>
  <si>
    <t>We thank the Associate Editor, Poul Christoffersen, Jonny Kingslake, and two anonymous referees for their useful suggestions and constructive criticism that helped to improve the manuscript. This study is supported by U.S. National Science Foundation grant OPP-0838811 and by NOAA grant NA13OAR431009. The model outputs will be available at NSIDC nsidc.org.</t>
  </si>
  <si>
    <t>10.1002/2015JF003660</t>
  </si>
  <si>
    <t>WOS:000372928400016</t>
  </si>
  <si>
    <t>Dong, J; Speer, K; Jullion, L</t>
  </si>
  <si>
    <t>Dong, Jun; Speer, Kevin; Jullion, Loic</t>
  </si>
  <si>
    <t>The Antarctic Slope Current near 30°E</t>
  </si>
  <si>
    <t>Antarctic; slope front; coastal; current</t>
  </si>
  <si>
    <t>WEDDELL GYRE; WATER; AFRICA; FRONTS; SEA</t>
  </si>
  <si>
    <t>The Antarctic Slope Current flows westward above the continental slope of Antarctica, entering the Weddell Sea near 30 degrees E and supplying dense water to the deep overturning cell there, and contributing to global Antarctic Bottom Water formation. Observations from the 2008 I6S hydrographic section are used to investigate the strength of the Slope Current near 30 degrees E. A prominent topographic feature, the Gunnerus Bank, diverts the Slope Current upstream of this longitude, and has a large effect on the current's structure, splitting it into a coastal and offshore component. The bank also enhances water mass mixing and lateral exchange across the slope. As part of the 2008 occupation, an additional line was made along the crest of the bank, forming a closed volume over the western side. By combining hydrographic and Lowered Acoustic Doppler Current Profiler measurements in this box using an inverse method, the Slope Current transport is estimated to be 9.62.3 Sv; the transport associated with the Antarctic Slope Front is 4.00.3 Sv, of which 1.80.3 Sv enters the Weddell Gyre as recently formed dense water.</t>
  </si>
  <si>
    <t>[Dong, Jun; Speer, Kevin] Florida State Univ, Dept Earth Ocean &amp; Atmospher Sci, Tallahassee, FL 32306 USA; [Dong, Jun; Speer, Kevin] Florida State Univ, Inst Geophys Fluid Dynam, Tallahassee, FL 32306 USA; [Dong, Jun] Univ Maryland, ESSIC, College Pk, MD 20742 USA; [Jullion, Loic] Mediterranean Inst Oceanog Marseille, Marseille, France</t>
  </si>
  <si>
    <t>State University System of Florida; Florida State University; State University System of Florida; Florida State University; University System of Maryland; University of Maryland College Park; Aix-Marseille Universite</t>
  </si>
  <si>
    <t>Speer, K (corresponding author), Florida State Univ, Dept Earth Ocean &amp; Atmospher Sci, Tallahassee, FL 32306 USA.;Speer, K (corresponding author), Florida State Univ, Inst Geophys Fluid Dynam, Tallahassee, FL 32306 USA.</t>
  </si>
  <si>
    <t>kspeer@fsu.edu</t>
  </si>
  <si>
    <t>Jullion, Loic/B-3304-2011</t>
  </si>
  <si>
    <t>Jullion, Loic/0000-0001-6269-6750</t>
  </si>
  <si>
    <t>NSF [OCE-0927583, OCE-0622670, OCE-1231803]; Directorate For Geosciences; Division Of Ocean Sciences [1536045] Funding Source: National Science Foundation; Directorate For Geosciences; Division Of Ocean Sciences [1231803] Funding Source: National Science Foundation</t>
  </si>
  <si>
    <t>NSF(National Science Foundation (NSF)); Directorate For Geosciences; Division Of Ocean Sciences(National Science Foundation (NSF)NSF - Directorate for Geosciences (GEO)); Directorate For Geosciences; Division Of Ocean Sciences(National Science Foundation (NSF)NSF - Directorate for Geosciences (GEO))</t>
  </si>
  <si>
    <t>Hydrographic data from the I6S line is publicly available at the CCHDO http://cchdo.ucsd.edu/. The abilities of the Captain and crew of the R/V Revelle enhanced the scientific return in this remote region and the hard work of the 2008 I6S sampling groups is appreciated. This work was supported by NSF grants OCE-0927583, OCE-0622670 and OCE-1231803.</t>
  </si>
  <si>
    <t>10.1002/2015JC011099</t>
  </si>
  <si>
    <t>DH9RX</t>
  </si>
  <si>
    <t>WOS:000373134600002</t>
  </si>
  <si>
    <t>Schodlok, MP; Menemenlis, D; Rignot, EJ</t>
  </si>
  <si>
    <t>Schodlok, M. P.; Menemenlis, D.; Rignot, E. J.</t>
  </si>
  <si>
    <t>Ice shelf basal melt rates around Antarctica from simulations and observations</t>
  </si>
  <si>
    <t>ice shelf ocean interaction; numerical modeling; Antarctica; ice shelf basal melt; Southern Ocean</t>
  </si>
  <si>
    <t>PINE ISLAND GLACIER; WEDDELL SEA; OCEAN CIRCULATION; SOUTHERN-OCEAN; CIRCUMPOLAR CURRENT; DEEP-WATER; TRANSPORT; MODEL; VARIABILITY; BENEATH</t>
  </si>
  <si>
    <t>We introduce an explicit representation of Antarctic ice shelf cavities in the Estimating the Circulation and Climate of the Ocean, Phase II (ECCO2) ocean retrospective analysis; and compare resulting basal melt rates and patterns to independent estimates from satellite observations. Two simulations are carried out: the first is based on the original ECCO2 vertical discretization; the second has higher vertical resolution particularly at the depth range of ice shelf cavities. The original ECCO2 vertical discretization produces higher than observed melt rates and leads to a misrepresentation of Southern Ocean water mass properties and transports. In general, thicker levels at the base of the ice shelves lead to increased melting because of their larger heat capacity. This strengthens horizontal gradients and circulation within and outside the cavities and, in turn, warm water transports from the shelf break to the ice shelves. The simulation with more vertical levels produces basal melt rates (1735164 Gt/a) and patterns that are in better agreement with observations. Thinner levels in the sub-ice-shelf cavities improve the representation of a fresh/cold layer at the ice shelf base and of warm/salty water near the bottom, leading to a sharper pycnocline and reduced vertical mixing underneath the ice shelf. Improved water column properties lead to more accurate melt rates and patterns, especially for melt/freeze patterns under large cold-water ice shelves. At the 18 km grid spacing of the ECCO2 model configuration, the smaller, warm-water ice shelves cannot be properly represented, with higher than observed melt rates in both simulations.</t>
  </si>
  <si>
    <t>[Schodlok, M. P.] Univ Calif Los Angeles, Joint Inst Reg Earth Syst Sci &amp; Engn, Los Angeles, CA USA; [Schodlok, M. P.; Menemenlis, D.; Rignot, E. J.] CALTECH, Jet Prop Lab, Pasadena, CA 91125 USA; [Rignot, E. J.] Univ Calif Irvine, Dept Earth Syst Sci, Irvine, CA USA</t>
  </si>
  <si>
    <t>University of California System; University of California Los Angeles; National Aeronautics &amp; Space Administration (NASA); NASA Jet Propulsion Laboratory (JPL); California Institute of Technology; University of California System; University of California Irvine</t>
  </si>
  <si>
    <t>Schodlok, MP (corresponding author), Univ Calif Los Angeles, Joint Inst Reg Earth Syst Sci &amp; Engn, Los Angeles, CA USA.;Schodlok, MP (corresponding author), CALTECH, Jet Prop Lab, Pasadena, CA 91125 USA.</t>
  </si>
  <si>
    <t>schodlok@jpl.nasa.gov</t>
  </si>
  <si>
    <t>Menemenlis, Dimitris/G-8091-2017; Rignot, Eric/A-4560-2014</t>
  </si>
  <si>
    <t>Menemenlis, Dimitris/0000-0001-9940-8409; Rignot, Eric/0000-0002-3366-0481</t>
  </si>
  <si>
    <t>National Aeronautics and Space Administration (NASA); NASA Modeling, Analysis, and Prediction (MAP); Cryospheric Sciences Programs; University of California, Irvine NASA grant [NNX13AN46G]; NASA [NNX13AN46G, 468499] Funding Source: Federal RePORTER</t>
  </si>
  <si>
    <t>National Aeronautics and Space Administration (NASA)(National Aeronautics &amp; Space Administration (NASA)); NASA Modeling, Analysis, and Prediction (MAP); Cryospheric Sciences Programs; University of California, Irvine NASA grant; NASA(National Aeronautics &amp; Space Administration (NASA))</t>
  </si>
  <si>
    <t>This research was carried out, in part, at the Jet Propulsion Laboratory, California Institute of Technology, under a contract with the National Aeronautics and Space Administration (NASA). We gratefully acknowledge support from the NASA Modeling, Analysis, and Prediction (MAP) and Cryospheric Sciences Programs. Computational resources were provided by the NASA Advanced Supercomputing (NAS) Division. This work is a contribution to the ECCO-IcES project and to University of California, Irvine NASA grant NNX13AN46G. We thank C. Rodehacke and M. Flexas for helpful comments and discussions to improve the manuscript. Model input data are available on http://ecco2.jpl.nasa.gov/ products and model output by contacting M.P. Schodlok.</t>
  </si>
  <si>
    <t>10.1002/2015JC011117</t>
  </si>
  <si>
    <t>WOS:000373134600004</t>
  </si>
  <si>
    <t>Collins, C; Hermes, JC; Roman, RE; Reason, CJC</t>
  </si>
  <si>
    <t>Collins, C.; Hermes, J. C.; Roman, R. E.; Reason, C. J. C.</t>
  </si>
  <si>
    <t>First dedicated hydrographic survey of the Comoros Basin</t>
  </si>
  <si>
    <t>Comoros Basin; water masses; North Atlantic Deep Water; Antarctic Intermediate Water</t>
  </si>
  <si>
    <t>BOUNDARY CURRENTS EAST; SOUTH INDIAN-OCEAN; MOZAMBIQUE CHANNEL; CIRCULATION MODEL; AGULHAS CURRENT; SOURCE REGIONS; WATER; VARIABILITY; MADAGASCAR; NORTH</t>
  </si>
  <si>
    <t>The Comoros Basin, a region of eddies that propagate into the Mozambique Channel and subsequently the Agulhas Current, has not been well studied. This paper presents the findings from the first dedicated research cruise in the basin. ADCP data collected during the cruise show that the circulation in the Comoros Basin is dominated by the strong westward flowing North East Madagascar Current, which bifurcates twice: once upon encountering the Davie Ridge and again upon reaching the East African coast. One of the branches flows southward along the African coastline and appears to continue into the Mozambique Channel while the other branch turns northward to become the East African Coastal Current. The ADCP data also show evidence of a cyclonic eddy along the northwest coast of Madagascar. Water mass analysis indicates that all the major Indian Ocean water masses are present in the Comoros Basin. Surprisingly, North Atlantic Deep Water, a water mass previously assumed to only occur south of approximate to 16 degrees S in the Mozambique Channel, was found to be present in the basin at depths below 2000 m. Antarctic Intermediate Water is found to enter the basin via two routes; from the west within the North East Madagascar Current and from the south within the northward flowing Mozambique Undercurrent.</t>
  </si>
  <si>
    <t>[Collins, C.; Hermes, J. C.] SAEON Egagasini Node, Cape Town, South Africa; [Collins, C.; Roman, R. E.; Reason, C. J. C.] Univ Cape Town, Dept Oceanog, ZA-7925 Cape Town, South Africa</t>
  </si>
  <si>
    <t>National Research Foundation - South Africa; South African Environmental Observation Network (SAEON); University of Cape Town</t>
  </si>
  <si>
    <t>Collins, C (corresponding author), SAEON Egagasini Node, Cape Town, South Africa.;Collins, C (corresponding author), Univ Cape Town, Dept Oceanog, ZA-7925 Cape Town, South Africa.</t>
  </si>
  <si>
    <t>charine@saeon.ac.za</t>
  </si>
  <si>
    <t>Reason, Christopher/0000-0002-3224-5243; Collins, Charine/0000-0003-1934-1369; Hermes, Juliet/0000-0001-7858-514X</t>
  </si>
  <si>
    <t>Global Environment Facility; CNES; Carnegie-IAS Regional Initiative in Science and Education (RISE); Western Indian Ocean Regional Initiative in Marine Science and Education (WIO-RISE) network</t>
  </si>
  <si>
    <t>Global Environment Facility; CNES(Centre National D'etudes Spatiales); Carnegie-IAS Regional Initiative in Science and Education (RISE); Western Indian Ocean Regional Initiative in Marine Science and Education (WIO-RISE) network</t>
  </si>
  <si>
    <t>The Comoros Basin Cruise on board the R/V Dr Fridtjof Nansen was part of the 2009 western Indian Ocean Cruise of the UNDP/GEF Agulhas and Somali Current Large Marine Ecosystems (ASCLME) Project funded by the Global Environment Facility. We are grateful to the scientists, technicians, and crew aboard the Dr Fridtjof Nansen who helped with collecting the hydrographic data. The altimeter products were generated by Salto/Duacs and distributed by Aviso (http://www.jason.oceanobs.com) with support from CNES. C.C. received support from the Carnegie-IAS Regional Initiative in Science and Education (RISE) and Western Indian Ocean Regional Initiative in Marine Science and Education (WIO-RISE) network.</t>
  </si>
  <si>
    <t>10.1002/2015JC011418</t>
  </si>
  <si>
    <t>WOS:000373134600016</t>
  </si>
  <si>
    <t>Banas, NS; Zhang, JL; Campbell, RG; Sambrotto, RN; Lomas, MW; Sherr, E; Sherr, B; Ashjian, C; Stoecker, D; Lessard, EJ</t>
  </si>
  <si>
    <t>Banas, Neil S.; Zhang, Jinlun; Campbell, Robert G.; Sambrotto, Raymond N.; Lomas, Michael W.; Sherr, Evelyn; Sherr, Barry; Ashjian, Carin; Stoecker, Diane; Lessard, Evelyn J.</t>
  </si>
  <si>
    <t>Spring plankton dynamics in the Eastern Bering Sea, 1971-2050: Mechanisms of interannual variability diagnosed with a numerical model</t>
  </si>
  <si>
    <t>phytoplankton bloom; climate change; Bering Sea; microzooplankton; ecosystem model; phenology</t>
  </si>
  <si>
    <t>NET COMMUNITY PRODUCTION; CALANUS-GLACIALIS; GROWTH-RATES; MARINE-PHYTOPLANKTON; ANTARCTIC PLANKTON; METABOLIC BALANCE; NITRATE UPTAKE; CLIMATE-CHANGE; LIFE-HISTORY; TIME-SERIES</t>
  </si>
  <si>
    <t>A new planktonic ecosystem model was constructed for the Eastern Bering Sea based on observations from the 2007-2010 BEST/BSIERP (Bering Ecosystem Study/Bering Sea Integrated Ecosystem Research Program) field program. When run with forcing from a data-assimilative ice-ocean hindcast of 1971-2012, the model performs well against observations of spring bloom time evolution (phytoplankton and microzooplankton biomass, growth and grazing rates, and ratios among new, regenerated, and export production). On the southern middle shelf (57 degrees N, station M2), the model replicates the generally inverse relationship between ice-retreat timing and spring bloom timing known from observations, and the simpler direct relationship between the two that has been observed on the northern middle shelf (62 degrees N, station M8). The relationship between simulated mean primary production and mean temperature in spring (15 February to 15 July) is generally positive, although this was found to be an indirect relationship which does not continue to apply across a future projection of temperature and ice cover in the 2040s. At M2, the leading direct controls on total spring primary production are found to be advective and turbulent nutrient supply, suggesting that mesoscale, wind-driven processesadvective transport and storminessmay be crucial to long-term trends in spring primary production in the southeastern Bering Sea, with temperature and ice cover playing only indirect roles. Sensitivity experiments suggest that direct dependence of planktonic growth and metabolic rates on temperature is less significant overall than the other drivers correlated with temperature described above.</t>
  </si>
  <si>
    <t>[Banas, Neil S.] Univ Strathclyde, Dept Math &amp; Stat, Glasgow, Lanark, Scotland; [Zhang, Jinlun] Univ Washington, Appl Phys Lab, Seattle, WA 98105 USA; [Campbell, Robert G.] Univ Rhode Isl, Kingston, RI 02881 USA; [Sambrotto, Raymond N.] LDEO, Palisades, NY USA; [Lomas, Michael W.] Bigelow Lab Ocean Sci, East Boothbay, MI USA; [Sherr, Evelyn; Sherr, Barry] Oregon State Univ, Coll Earth Ocean &amp; Atmospher Sci, Corvallis, OR 97331 USA; [Ashjian, Carin] Woods Hole Oceanog Inst, Dept Biol, Woods Hole, MA 02543 USA; [Stoecker, Diane] Univ Maryland, Ctr Environm Sci, Horn Point Lab, Cambridge, MD USA; [Lessard, Evelyn J.] Univ Washington, Sch Oceanog, Seattle, WA 98195 USA</t>
  </si>
  <si>
    <t>University of Strathclyde; University of Washington; University of Washington Seattle; University of Rhode Island; Bigelow Laboratory for Ocean Sciences; Oregon State University; Woods Hole Oceanographic Institution; University System of Maryland; University of Maryland Center for Environmental Science; University of Washington; University of Washington Seattle</t>
  </si>
  <si>
    <t>Banas, NS (corresponding author), Univ Strathclyde, Dept Math &amp; Stat, Glasgow, Lanark, Scotland.</t>
  </si>
  <si>
    <t>neil.banas@strath.ac.uk</t>
  </si>
  <si>
    <t>Banas, Neil/C-8565-2015</t>
  </si>
  <si>
    <t>Banas, Neil/0000-0002-1892-9497; Lomas, Michael/0000-0003-1209-3753</t>
  </si>
  <si>
    <t>National Science Foundation [ARC-1107187, ARC-1107303, ARC-1107588, PLR-1417365]; BEST-BSIERP Bering Sea Project [179]</t>
  </si>
  <si>
    <t>National Science Foundation(National Science Foundation (NSF)); BEST-BSIERP Bering Sea Project</t>
  </si>
  <si>
    <t>This work was supported by the National Science Foundation through grants ARC-1107187, ARC-1107303, and ARC-1107588, for BEST Synthesis, and PLR-1417365. Many thanks to Phyllis Stabeno, Cal Mordy, and their research groups for providing essential observational data sets via the Bering Sea Project Data Archive and for aiding in their interpretation. N.S.B. would also like to thank Lisa Eisner, Steve Zeeman, Rolf Gradinger, Ned Cokelet, and George Hunt for helpful discussions. This is BEST-BSIERP Bering Sea Project publication number 179. All observational data used here are archived at http://beringsea.eol.ucar.edu/, and model output is available upon request.</t>
  </si>
  <si>
    <t>10.1002/2015JC011449</t>
  </si>
  <si>
    <t>Green Accepted, Green Published, Bronze</t>
  </si>
  <si>
    <t>WOS:000373134600026</t>
  </si>
  <si>
    <t>Hansen, SE; Kenyon, LM; Graw, JH; Park, Y; Nyblade, AA</t>
  </si>
  <si>
    <t>Hansen, Samantha E.; Kenyon, Lindsey M.; Graw, Jordan H.; Park, Yongcheol; Nyblade, Andrew A.</t>
  </si>
  <si>
    <t>Crustal structure beneath the Northern Transantarctic Mountains and Wilkes Subglacial Basin: Implications for tectonic origins</t>
  </si>
  <si>
    <t>Transantarctic Mountains; Wilkes Subglacial Basin; Antarctica; crust; receiver functions</t>
  </si>
  <si>
    <t>EAST ANTARCTIC CRATON; WAVE PHASE-VELOCITY; VICTORIA-LAND; SEDIMENTARY BASINS; RECEIVER-FUNCTION; ROSS SEA; WEST; LITHOSPHERE; SURFACE; RIFT</t>
  </si>
  <si>
    <t>The Transantarctic Mountains (TAMs) are the largest noncollisional mountain range on Earth. Their origin, as well as the origin of the Wilkes Subglacial Basin (WSB) along the inland side of the TAMs, has been widely debated, and a key constraint to distinguish between competing models is the underlying crustal structure. Previous investigations have examined this structure but have primarily focused on a small region of the central TAMs near Ross Island, providing little along-strike constraint. In this study, we use data from the new Transantarctic Mountains Northern Network and from five stations operated by the Korea Polar Research Institute to investigate the crustal structure beneath a previously unexplored portion of the TAMs. Using S wave receiver functions and Rayleigh wave phase velocities, crustal thickness and average crustal shear velocity ((V)overbar(s)) are resolved within 4km and 0.1km/s, respectively. The crust thickens from similar to 20km near the Ross Sea coast to similar to 46km beneath the northern TAMs, which is somewhat thicker than that imaged in previous studies beneath the central TAMs. The crust thins to similar to 41km beneath the WSB. (V)overbar(s) ranges from similar to 3.1-3.9km/s, with slower velocities near the coast. Our findings are consistent with a flexural origin for the TAMs and WSB, where these features result from broad flexure of the East Antarctic lithosphere and uplift along its western edge due to thermal conduction from hotter mantle beneath West Antarctica. Locally, thicker crust may explain the similar to 1km of additional topography in the northern TAMs compared to the central TAMs.</t>
  </si>
  <si>
    <t>[Hansen, Samantha E.; Kenyon, Lindsey M.; Graw, Jordan H.] Univ Alabama, Dept Geol Sci, Tuscaloosa, AL USA; [Park, Yongcheol] Korea Polar Res Inst, Inchon, South Korea; [Nyblade, Andrew A.] Penn State Univ, Dept Geosci, University Pk, PA 16802 USA</t>
  </si>
  <si>
    <t>University of Alabama System; University of Alabama Tuscaloosa; Korea Institute of Ocean Science &amp; Technology (KIOST); Korea Polar Research Institute (KOPRI); Pennsylvania Commonwealth System of Higher Education (PCSHE); Pennsylvania State University; Pennsylvania State University - University Park</t>
  </si>
  <si>
    <t>Hansen, SE (corresponding author), Univ Alabama, Dept Geol Sci, Tuscaloosa, AL USA.</t>
  </si>
  <si>
    <t>shansen@geo.ua.edu</t>
  </si>
  <si>
    <t>Kenyon, Lindsey/0000-0001-5655-5732; Hansen, Samantha/0000-0001-7608-5715</t>
  </si>
  <si>
    <t>National Science Foundation (NSF) [EAR-1063471]; NSF Office of Polar Programs; Department of Energy National Nuclear Security Administration; NSF [ANT-1148982]; [PM15020]; Directorate For Geosciences; Office of Polar Programs (OPP) [1148982] Funding Source: National Science Foundation</t>
  </si>
  <si>
    <t>National Science Foundation (NSF)(National Science Foundation (NSF)); NSF Office of Polar Programs(National Science Foundation (NSF)); Department of Energy National Nuclear Security Administration(National Nuclear Security AdministrationUnited States Department of Energy (DOE)); NSF(National Science Foundation (NSF)); ; Directorate For Geosciences; Office of Polar Programs (OPP)(National Science Foundation (NSF)NSF - Directorate for Geosciences (GEO))</t>
  </si>
  <si>
    <t>We thank the Incorporated Research Institutions for Seismology (IRIS) Data Management System (DMS) for data handling assistance. We also thank Uri ten Brink and two anonymous reviewers for their thorough critiques of this manuscript. In the future, TAMNNET data will be made publically available (under network code ZJ) through the IRIS DMS. Metadata is currently available at http://ds.iris.edu/mda/ZJ?timewindow=2012-2016. The facilities of the IRIS Consortium are supported by the National Science Foundation (NSF) under cooperative agreement EAR-1063471, the NSF Office of Polar Programs, and the Department of Energy National Nuclear Security Administration. Funding for this research was provided by NSF grant ANT-1148982. Support for the KOPRI stations is provided by grant PM15020.</t>
  </si>
  <si>
    <t>10.1002/2015JB012325</t>
  </si>
  <si>
    <t>DH8ZC</t>
  </si>
  <si>
    <t>WOS:000373084400022</t>
  </si>
  <si>
    <t>Lyatskaya, S; Lyatsky, W; Zesta, E</t>
  </si>
  <si>
    <t>Lyatskaya, Sonya; Lyatsky, Wladislaw; Zesta, Eftyhia</t>
  </si>
  <si>
    <t>Effect of interhemispheric currents on equivalent ionospheric currents in two hemispheres: Simulation results</t>
  </si>
  <si>
    <t>interhemispheric currents; magnetosphere-ionosphere coupling; field-aligned currents; equivalent ionospheric currents; auroral zone ionosphere; magnetosphere-ionosphere current system</t>
  </si>
  <si>
    <t>FIELD-ALIGNED CURRENTS; CURRENT SYSTEMS; CONJUGATE HEMISPHERES; ELECTRIC-FIELDS; SUBSTORM; MAGNETOSPHERE; MODEL; CONDUCTIVITY; SATELLITE; SHEET</t>
  </si>
  <si>
    <t>In this research, we used numerical simulation to study the effect of interhemispheric field-aligned currents (IHCs), going between two conjugate ionospheres in two hemispheres, on the equivalent ionospheric currents (EICs). We computed the maps of these EICs in two hemispheres during summer-winter conditions, when the effect of the IHCs is especially significant. The main results may be summarized as follows. (1) In winter hemisphere, the IHCs may significantly exceed and be a substitute for the local R1 currents, and they may strongly affect the magnitude, location, and direction of the EICs in the nightside winter auroral ionosphere. (2) While in summer polar cap the EICs tend to flow sunward, and in winter polar cap the EICs turn toward dawn due to the effect of the IHCs. (3) The well-known reversal in the direction of the EICs in the vicinity of the midnight meridian, in winter hemisphere, is observed not at the polar caps boundary (as usually expected) but equatorward of this boundary in the region of the IHCs location. (4) The IHCs in winter hemisphere may be, in fact, not only a substitute for the R1 currents but also the major source of the Westward Auroral Electrojet, observed in both hemispheres during substorm activity. Key Points</t>
  </si>
  <si>
    <t>[Lyatskaya, Sonya] Natl Sci Fdn, 4201 Wilson Blvd, Arlington, VA 22230 USA; [Lyatsky, Wladislaw; Zesta, Eftyhia] NASA, Goddard Space Flight Ctr, Greenbelt, MD USA; [Lyatsky, Wladislaw] Catholic Univ Amer, Dept Phys, Washington, DC 20064 USA</t>
  </si>
  <si>
    <t>National Science Foundation (NSF); National Aeronautics &amp; Space Administration (NASA); NASA Goddard Space Flight Center; Catholic University of America</t>
  </si>
  <si>
    <t>Lyatskaya, S (corresponding author), Natl Sci Fdn, 4201 Wilson Blvd, Arlington, VA 22230 USA.</t>
  </si>
  <si>
    <t>slyatsky@nsf.gov</t>
  </si>
  <si>
    <t>Lyatsky, Sonya/KHD-6520-2024</t>
  </si>
  <si>
    <t>NSF [ANT-1204019]; Division of Polar Programs, National Science Foundation</t>
  </si>
  <si>
    <t>NSF(National Science Foundation (NSF)); Division of Polar Programs, National Science Foundation</t>
  </si>
  <si>
    <t>This study was accomplished as a part of the NSF Postdoctoral Fellowship ANT-1204019 with the Division of Polar Programs, National Science Foundation. This paper was prepared in the first author's personal capacity. Any opinion, finding, conclusion, or recommendation expressed in this paper are strictly those of the author and do not necessarily reflect the views of the National Science Foundation. For the ground magnetometer data, we gratefully acknowledge the following: Intermagnet; USGS, Jeffrey J. Love; CARISMA, PI Ian Mann; CANMOS; the S-RAMP Database, PI K. Yumoto and K. Shiokawa; the SPIDR database; AARI, PI Oleg Troshichev; the MACCS program, PI M. Engebretson, Geomagnetism Unit of the Geological Survey of Canada; GIMA; MEASURE, UCLA IGPP and Florida Institute of Technology; SAMBA, PI Eftyhia Zesta; 210 Chain, PI K. Yumoto; SAMNET, PI Farideh Honary; the institutes maintaining the IMAGE magnetometer array, PI Eija Tanskanen; PENGUIN; AUTUMN, PI Martin Conners; DTU Space, PI Jurgen Matzka; South Pole and McMurdo Magnetometer; PIs Louis J. Lanzerotti and Alan T. Weatherwax; ICESTAR; RAPIDMAG; PENGUIN; British Antarctic Survey; McMac, PI Peter Chi; BGS, PI Susan Macmillan; the Pushkov Institute of Terrestrial Magnetism, Ionosphere and Radio Wave Propagation (IZMIRAN); GFZ, PI Monika Korte; SuperMAG, PI Jesper W. Gjerloev; and the website http://supermag.jhuapl.edu/polar</t>
  </si>
  <si>
    <t>10.1002/2015JA021167</t>
  </si>
  <si>
    <t>DH7VN</t>
  </si>
  <si>
    <t>WOS:000373002100029</t>
  </si>
  <si>
    <t>Shreedevi, PR; Thampi, SV; Chakrabarty, D; Choudhary, RK; Pant, TK; Bhardwaj, A; Mukherjee, S</t>
  </si>
  <si>
    <t>Shreedevi, P. R.; Thampi, Smitha V.; Chakrabarty, D.; Choudhary, R. K.; Pant, Tarun Kumar; Bhardwaj, Anil; Mukherjee, S.</t>
  </si>
  <si>
    <t>On the latitudinal changes in ionospheric electrodynamics and composition based on observations over the 76-77°E meridian from both hemispheres during a geomagnetic storm</t>
  </si>
  <si>
    <t>Geomagnetic storms; High latitude low latitude coupling; positive ionospheric storm; Ionosphere</t>
  </si>
  <si>
    <t>SEVERE MAGNETIC STORM; ELECTRIC-FIELD; F-REGION; SOUTHERN-HEMISPHERE; MIDDLE; THERMOSPHERE</t>
  </si>
  <si>
    <t>The relative contributions of the composition disturbances and the disturbance electric fields in the redistribution of ionospheric plasma is investigated in detail by taking the case of a long-duration positive ionospheric storm that occurred during 18-21 February 2014. GPS total electron content (TEC) data from the Indian Antarctic station, Bharti (69.4 degrees S, 76.2 degrees E geographic), the northern midlatitude station Hanle (32.8 degrees N, 78.9 degrees E geographic), northern low-latitude station lying in the vicinity of the anomaly crest, Ahmedabad (23.04 degrees N, 72.54 degrees E geographic, dip latitude 17 degrees N), and the geomagnetic equatorial station, Trivandrum (8.5 degrees N, 77 degrees E geographic, dip latitude 0.01 degrees S) are used in the study. These are the first simultaneous observations of TEC from Bharti and Hanle during a geomagnetic storm. The impact of the intense geomagnetic storm (Dst approximate to-130nT) on the southern hemisphere high-latitude station was a drastic reduction in the TEC (negative ionospheric storm) starting from around 0330 Indian standard time (IST) on 19 February which continued till 21 February, the maximum reduction in TEC at Bharti being approximate to 35 TEC units on 19 February. In the northern hemisphere midlatitude and equatorial stations, a positive ionospheric storm started on 19 February at around 0900 IST and lasted for 3days. The maximum enhancement in TEC at Hanle was about approximate to 25 TECU on 19 February while over Trivandrum it was approximate to 10 TECU. This long-duration positive ionospheric storm provided an opportunity to assess the relative contributions of disturbance electric fields and composition changes latitudinally. The results indicate that the negative ionospheric storm over Bharti and the positive ionospheric storm over Hanle are the effect of the changes in the global wind system and the storm-induced composition changes. At the equatorial latitudes, the positive ionospheric storm was due to the interplay of prompt penetration electric field and disturbance dynamo electric field.</t>
  </si>
  <si>
    <t>[Shreedevi, P. R.; Thampi, Smitha V.; Choudhary, R. K.; Pant, Tarun Kumar; Bhardwaj, Anil] ISRO, Space Phys Lab, Vikram Sarabhai Space Ctr, Thiruvananthapuram, Kerala, India; [Chakrabarty, D.] Phys Res Lab, Ahmadabad 380009, Gujarat, India; [Mukherjee, S.] Indian Inst Geomagnetism, New Bombay, India</t>
  </si>
  <si>
    <t>Department of Space (DoS), Government of India; Indian Space Research Organisation (ISRO); Vikram Sarabhai Space Center (VSSC); Department of Space (DoS), Government of India; Physical Research Laboratory - India; Department of Science &amp; Technology (India); Indian Institute of Geomagnetism (IIG)</t>
  </si>
  <si>
    <t>Shreedevi, PR (corresponding author), ISRO, Space Phys Lab, Vikram Sarabhai Space Ctr, Thiruvananthapuram, Kerala, India.</t>
  </si>
  <si>
    <t>shreedevipr@gmail.com</t>
  </si>
  <si>
    <t>Bhardwaj, Anil/B-4579-2011</t>
  </si>
  <si>
    <t>Bhardwaj, Anil/0000-0003-1693-453X</t>
  </si>
  <si>
    <t>Department of Space, Government of India; Indian Space Research Organization</t>
  </si>
  <si>
    <t>Department of Space, Government of India(Department of Space (DoS), Government of India); Indian Space Research Organization</t>
  </si>
  <si>
    <t>The GPS data from Bharti, Hanle, and Trivandrum used in the paper have been collected as a part of the Polar Research Program and INSWIM (Indian Network for Space Weather Impact Monitoring) project of Space Physics Laboratory (SPL), VSSC, Indian Space Research Organization (ISRO). These data are the property of ISRO and can be made available on specific request to Raj Kumar Choudhary (rajkumar_choudhary@vssc.gov.in), with permission from the authorities. The GPS data from Ahmedabad are provided by Physical Research Laboratory and can be made available on request to D. Chakrabarty (dipu@prl.res.in). The magnetic field data from Tirunelveli and Alibag are provided by the Indian Institute of Geomagnetism. The authors thank the staff of the ACE Science Center for providing us the ACE data. The authors also thank NASA/GSFC CDAWeb team for the interplanetary data, WDC-C2 (Kyoto) for the auroral electrojet and geomagnetic indices data, and NASA for the GUVI data. These data sets are available at http://cdaweb.gsfc.nasa.gov, http://wdc.kugi.kyoto-u.ac.jp and http://guvitimed.jhuapl.edu. The authors also thank Kato K. Ayemi for his assistance in managing the GPS receiver system at Bharti. This work is supported by the Department of Space, Government of India. One of the authors, Shreedevi P.R., gratefully acknowledges the financial assistance provided by the Indian Space Research Organization through a research fellowship.</t>
  </si>
  <si>
    <t>10.1002/2015JA021841</t>
  </si>
  <si>
    <t>WOS:000373002100046</t>
  </si>
  <si>
    <t>Nyvlt, D; Fisáková, MN; Barták, M; Stachon, Z; Pavel, V; Mlcoch, B; Láska, K</t>
  </si>
  <si>
    <t>Nyvlt, Daniel; Fisakova, Miriam Nyvltova; Bartak, Milos; Stachon, Zdenek; Pavel, Vaclav; Mlcoch, Bedrich; Laska, Kamil</t>
  </si>
  <si>
    <t>Death age, seasonality, taphonomy and colonization of seal carcasses from Ulu Peninsula, James Ross Island, Antarctic Peninsula</t>
  </si>
  <si>
    <t>James Ross Island; preservation state; Prince Gustav Channel; sea ice; seal behaviour</t>
  </si>
  <si>
    <t>CRAB-EATER SEALS; LOBODON-CARCINOPHAGUS; ICE; BEHAVIOR; RADIOCARBON; RESERVOIR; REGION; AREAL</t>
  </si>
  <si>
    <t>The origin and nature of seal carcasses scattered around the Ulu Peninsula, James Ross Island, is examined using robust and novel multidisciplinary analysis. Spatial distribution analysis indicates their predominance at low elevations and on surfaces with negligible slope. The seals died throughout the last century. Dental cement increments indicate that the seals died in late winter, and we interpret this to show an influence of the persistence and break-up of sea ice and the appearance of pools/cracks in the northern Prince Gustav Channel on death. Specifically, after being trapped by a late winter freeze-up the seals search for open water, become disoriented by snow-covered flat valleys and move inland. Carcasses from all age groups of crabeater seal are found on land, but inland movement is less notable for Weddell and leopard seals. Although most carcasses appear to have remained unchanged during the last 10 years due to the cold and dry conditions, a few carcasses that are located in sites of snow accumulation and subsequent melting have undergone enhanced decay. Decaying seal carcasses represent loci of nutrient release in a nutrient deficient environment and are colonized by algae, cyanobacteria, lichens and mosses. This research suggests further useful studies for the future.</t>
  </si>
  <si>
    <t>[Nyvlt, Daniel; Bartak, Milos] Masaryk Univ, Fac Sci, Dept Expt Biol, Kotlarska 2, CS-61137 Brno, Czech Republic; [Nyvlt, Daniel] Czech Geol Survey, Brno Branch, Leitnerova 22, Brno 65869, Czech Republic; [Nyvlt, Daniel; Stachon, Zdenek; Laska, Kamil] Masaryk Univ, Fac Sci, Dept Geog, Kotlarska 2, CS-61137 Brno, Czech Republic; [Fisakova, Miriam Nyvltova] Acad Sci Czech Republ, Inst Archaeol, Vvi, Cechynska 19, Brno 60200, Czech Republic; [Pavel, Vaclav] Palacky Univ, Fac Sci, Dept Zool, 17,Listopadu 50, Olomouc 77146, Czech Republic; [Pavel, Vaclav] Palacky Univ, Fac Sci, Ornithol Lab, 17,Listopadu 50, Olomouc 77146, Czech Republic; [Mlcoch, Bedrich] Czech Geol Survey, Klarov 3, Prague 11821, Czech Republic</t>
  </si>
  <si>
    <t>Masaryk University Brno; Czech Geological Survey; Masaryk University Brno; Czech Academy of Sciences; Institute of Archaeology of the Czech Academy of Sciences - Brno; Palacky University Olomouc; Palacky University Olomouc; Czech Geological Survey</t>
  </si>
  <si>
    <t>Nyvlt, D (corresponding author), Masaryk Univ, Fac Sci, Dept Expt Biol, Kotlarska 2, CS-61137 Brno, Czech Republic.;Nyvlt, D (corresponding author), Czech Geol Survey, Brno Branch, Leitnerova 22, Brno 65869, Czech Republic.</t>
  </si>
  <si>
    <t>daniel.nyvlt@seznam.cz</t>
  </si>
  <si>
    <t>Nyvlt, Daniel/J-6504-2019; Barták, Miloš/F-4714-2019; Laska, Kamil/L-7875-2013; Fišáková, Miriam Nývltová/H-6862-2014</t>
  </si>
  <si>
    <t>Nyvlt, Daniel/0000-0002-6876-490X; Laska, Kamil/0000-0002-5199-9737; Nyvltova Fisakova, Miriam/0000-0001-8467-4712</t>
  </si>
  <si>
    <t>Czech Geological Survey through the R &amp; D projects of Ministry of the Environment of the Czech Republic [VaV/660/1/03, VaV SP II 1a9/23/07]; project 'Employment of Best Young Scientists for International Cooperation Empowerment' [CZ.1.07/2.3.00/30.0037]; European Social Fund; state budget of the Czech Republic; project of Masaryk University [MUNI/A/0952/2013]</t>
  </si>
  <si>
    <t>Czech Geological Survey through the R &amp; D projects of Ministry of the Environment of the Czech Republic; project 'Employment of Best Young Scientists for International Cooperation Empowerment'; European Social Fund(European Social Fund (ESF)); state budget of the Czech Republic; project of Masaryk University</t>
  </si>
  <si>
    <t>The authors thank the Czech Antarctic Research Infrastructure and the crew of the Johann Gregor Mendel Station during summer expeditions between 2007 and 2014 for the help in the field and companionship. DN's, VP's and BM's fieldwork between 2004 and 2011 was funded by the Czech Geological Survey through the R &amp; D projects VaV/660/1/03 and VaV SP II 1a9/23/07 of the Ministry of the Environment of the Czech Republic. DN's final expedition and the work on this paper has been supported by the project 'Employment of Best Young Scientists for International Cooperation Empowerment' (CZ.1.07/2.3.00/30.0037) co-financed by the European Social Fund and the state budget of the Czech Republic, and supervised by MB. ZS's and KL's work has been supported by the project of Masaryk University MUNI/A/0952/2013 'Analysis, evaluation, and visualization of global environmental changes in the landscape sphere (AVIGLEZ)'. Constructive comments by Jonathan Carrivick, Ron Lewis Smith and an anonymous reviewer helped to improve the paper significantly. Ron Lewis Smith is also acknowledged for sharing the field data from his research on James Ross Island in 1989.</t>
  </si>
  <si>
    <t>10.1017/S095410201500036X</t>
  </si>
  <si>
    <t>DH1CC</t>
  </si>
  <si>
    <t>WOS:000372521000002</t>
  </si>
  <si>
    <t>Miya, T; Gon, O; Mwale, M; Cheng, CHC</t>
  </si>
  <si>
    <t>Miya, Tshoanelo; Gon, Ofer; Mwale, Monica; Cheng, C. -H. Christina</t>
  </si>
  <si>
    <t>Multiple independent reduction or loss of antifreeze trait in low Antarctic and sub-Antarctic notothenioid fishes</t>
  </si>
  <si>
    <t>antifreeze glycoprotein (AFGP) trait; evolutionary origin; non-freezing water; notothenioids</t>
  </si>
  <si>
    <t>MAXIMUM-LIKELIHOOD; BOTTOM WATER; GENE; MITOCHONDRIAL; TELEOSTEI; EVOLUTION; FLOW</t>
  </si>
  <si>
    <t>Antifreeze glycoprotein (AFGP) in Antarctic notothenioids presumably evolved once at the base of the notothenioid radiation in the Southern Ocean. Some species closely related to the endemic Antarctic notothenioids occur in non-freezing sub-Antarctic waters where antifreeze protection is unnecessary. We examined the antifreeze trait (phenotype and genotype) of these sub-Antarctic species to help infer their evolutionary history and origin. The status of the AFGP genotype (AFGP coding sequences in DNA) and/or phenotype (serum thermal hysteresis) varies widely, from being undetectable in Dissostichus eleginoides and Patagonotothen species from the Falkland Islands, minimal in Marion Island Paranotothenia magellanica and Lepidonotothen squamifrons from the South Sandwich and Bouvet islands, to considerable genotype in the Falkland Islands Champsocephalus esox and Marion Island Harpagifer georgianus. All low Antarctic notothenioid species examined show substantial AFGP trait. Mapping of the AFGP trait status onto ND2 phylogenetic trees of a large sampling of notothenioids revealed that AFGP trait reduction or loss occurred at least three independent times in different lineages.</t>
  </si>
  <si>
    <t>[Miya, Tshoanelo; Gon, Ofer; Mwale, Monica] SAIAB, Private Bag 1015, ZA-6140 Grahamstown, South Africa; [Miya, Tshoanelo] Rhodes Univ, Dept Ichthyol &amp; Fisheries, POB 94, ZA-6140 Grahamstown, South Africa; [Mwale, Monica] Natl Zool Gardens South Africa, POB 754, ZA-0001 Pretoria, South Africa; [Cheng, C. -H. Christina] Univ Illinois, Dept Anim Biol, 515 Morrill Hall,505 South Goodwin, Urbana, IL 61801 USA</t>
  </si>
  <si>
    <t>National Research Foundation - South Africa; South African Institute for Aquatic Biodiversity; Rhodes University; National Research Foundation - South Africa; National Zoological Gardens of South Africa; University of Illinois System; University of Illinois Urbana-Champaign</t>
  </si>
  <si>
    <t>Miya, T (corresponding author), SAIAB, Private Bag 1015, ZA-6140 Grahamstown, South Africa.;Miya, T (corresponding author), Rhodes Univ, Dept Ichthyol &amp; Fisheries, POB 94, ZA-6140 Grahamstown, South Africa.</t>
  </si>
  <si>
    <t>t.miya@saiab.ac.za</t>
  </si>
  <si>
    <t>Miya, Tshoanelo/GLV-6732-2022; Mwale, Monica/O-4735-2019; Miya, Tshoanelo/AAK-1660-2020</t>
  </si>
  <si>
    <t>Miya, Tshoanelo/0000-0002-4356-7344; Mwale, Monica/0000-0003-2180-8917;</t>
  </si>
  <si>
    <t>US NSF Polar Programs [OPP 01-32032, ANT 1142158]; National Research Foundation (NRF) of South Africa through a South African National Antarctic Program (SANAP) [SNA 2006042100003]; NRF; Directorate For Geosciences; Office of Polar Programs (OPP) [1142158] Funding Source: National Science Foundation</t>
  </si>
  <si>
    <t>US NSF Polar Programs; National Research Foundation (NRF) of South Africa through a South African National Antarctic Program (SANAP); NRF; Directorate For Geosciences; Office of Polar Programs (OPP)(National Science Foundation (NSF)NSF - Directorate for Geosciences (GEO))</t>
  </si>
  <si>
    <t>We are thankful to Dr Eric Anderson and Mr Lukanyiso Vumazonke of SAIAB for collecting tissue and blood samples during the ICEFISH2004 cruise funded by US NSF Polar Programs OPP 01-32032 to Dr H. William Detrich III. Messrs Bernard Mackenzi and Mark Lisher of SAIAB kindly assisted during the Marion Island 2009 and 2011 relief cruises, respectively. We are grateful for the samples provided by Mr Andrew Stewart, National Museum of New Zealand Te Papa Tongareva. Ms Samella Ngxande is thanked for her assistance in the molecular laboratory. Mr Willem Coetzer of SAIAB kindly assisted with the preparation of a map. Dr Kevin Bilyk of the University of Illinois and Prof Sarah Radloff of Rhodes University are thanked for their assistance in various aspects of the research. We thank two anonymous reviewers for their constructive comments. We are grateful for the support provided by the National Research Foundation (NRF) of South Africa through a South African National Antarctic Program (SANAP) Grant SNA 2006042100003 to Ofer Gon; and US NSF Polar Programs ANT 1142158 to Chi-Hing Christina Cheng. The authors acknowledge that opinions, findings and conclusions or recommendations expressed in this publication generated by the NRF supported research are those of the authors, and that the NRF accepts no liability whatsoever in this regard.</t>
  </si>
  <si>
    <t>10.1017/S0954102015000413</t>
  </si>
  <si>
    <t>WOS:000372521000003</t>
  </si>
  <si>
    <t>Parker, SJ; Mormede, S; Devries, AL; Hanchet, SM; Eisert, R</t>
  </si>
  <si>
    <t>Parker, Steven J.; Mormede, Sophie; Devries, Arthur L.; Hanchet, Stuart M.; Eisert, Regina</t>
  </si>
  <si>
    <t>Have Antarctic toothfish returned to McMurdo Sound?</t>
  </si>
  <si>
    <t>effects of fishing; longline survey; population decline; Ross Sea</t>
  </si>
  <si>
    <t>SOUTHERN ROSS SEA; DISSOSTICHUS-MAWSONI; FISH</t>
  </si>
  <si>
    <t>A dramatic reduction in catch rates of Antarctic toothfish in McMurdo Sound, Antarctica, has led to conclusions that the commercial bottom longline fishery for toothfish in the Ross Sea has drastically altered the toothfish population with cascading effects on the McMurdo Sound ecosystem. However, results from a new monitoring programme for Antarctic toothfish and other top predators carried out in McMurdo Sound in 2014 have shown toothfish catch rate, fish size and fish age similar to those observed prior to 2002. These results suggest that either large and old fish have returned to McMurdo Sound following a temporary environmentally driven absence or that they remained locally present but were not detected in the areas sampled. These findings highlight the importance of continued standardized monitoring for detecting the potential effects of fishing on the Ross Sea ecosystem.</t>
  </si>
  <si>
    <t>[Parker, Steven J.; Hanchet, Stuart M.] Natl Inst Water &amp; Atmospher Res, POB 893, Nelson 7040, New Zealand; [Mormede, Sophie] Natl Inst Water &amp; Atmospher Res, Private Bag 14901, Wellington 6021, New Zealand; [Devries, Arthur L.] Univ Illinois, Dept Anim Biol, Urbana, IL 61801 USA; [Eisert, Regina] Univ Canterbury, Gateway Antarctica, Private Bag 4800, Christchurch 8140, New Zealand</t>
  </si>
  <si>
    <t>National Institute of Water &amp; Atmospheric Research (NIWA) - New Zealand; National Institute of Water &amp; Atmospheric Research (NIWA) - New Zealand; University of Illinois System; University of Illinois Urbana-Champaign; University of Canterbury</t>
  </si>
  <si>
    <t>Parker, SJ (corresponding author), Natl Inst Water &amp; Atmospher Res, POB 893, Nelson 7040, New Zealand.</t>
  </si>
  <si>
    <t>steve.parker@niwa.co.nz</t>
  </si>
  <si>
    <t>McMahon, Clive R/0000-0001-5241-8917; Eisert, Regina/0000-0002-8980-7673; Mormede, Sophie/0000-0003-4668-2046</t>
  </si>
  <si>
    <t>New Zealand Ministry for Primary Industries (MPI) through University of Canterbury [ANT2014-02]</t>
  </si>
  <si>
    <t>New Zealand Ministry for Primary Industries (MPI) through University of Canterbury</t>
  </si>
  <si>
    <t>This project was funded by the New Zealand Ministry for Primary Industries (MPI) through the University of Canterbury in contract ANT2014-02. We gratefully acknowledge the complex logistical support from Antarctica New Zealand and the US Antarctic Program to enable field work on the sea ice. The Ministry of Foreign Affairs and Trade and MPI provided technical and permitting support (AMLR permit AMLR14/R04/Eisert/K070, 4 September 2014), and the project was developed through discussions within the Antarctic working group of the MPI. We thank the reviewers for their thoughtful and constructive comments which improved the manuscript.</t>
  </si>
  <si>
    <t>10.1017/S0954102015000450</t>
  </si>
  <si>
    <t>WOS:000372521000004</t>
  </si>
  <si>
    <t>Amsler, MO; Eastman, JT; Smith, KE; Mcclintock, JB; Singh, H; Thatje, S; Aronson, RB</t>
  </si>
  <si>
    <t>Amsler, Margaret O.; Eastman, Joseph T.; Smith, Kathryn E.; Mcclintock, James B.; Singh, Hanumant; Thatje, Sven; Aronson, Richard B.</t>
  </si>
  <si>
    <t>Zonation of demersal fishes off Anvers Island, western Antarctic Peninsula</t>
  </si>
  <si>
    <t>Chionobathyscus dewitti; Lepidonotothen squamifrons; Macrourus; notothenioid; zoarcid</t>
  </si>
  <si>
    <t>TOOTHFISH DISSOSTICHUS-MAWSONI; ROSS SEA; ZOARCIDAE; TELEOSTEI; BUOYANCY; SLOPE; FAUNA; DIET</t>
  </si>
  <si>
    <t>The Antarctic fish fauna from outer continental shelf/upper slope depths is under-sampled compared to that of the inner shelf, and there are limited quantitative data available on absolute abundance and taxonomic change with depth. A photographic survey of demersal fishes was conducted along a depth-gradient of 400-2099m on the outer shelf and upper slope west of Anvers Island, Palmer Archipelago. A total of 1490 fishes were identified at least to the family level. Notothenioids composed 52.7% of absolute abundance and non-notothenioids 47.3%. The most abundant families were Nototheniidae (39.4%), followed by Macrouridae (28.9%), Zoarcidae (16.9%), and Channichthyidae (12.1%). The most abundant species were the notothenioids Lepidonotothen squamifrons (30.5%) and Chionobathyscus dewitti (11.7%), and the non-notothenioid Macrourus spp. (29.5%). The absolute abundance of all fishes peaked at 400-599 m. Depths of maximum abundance were 400-599m for L. squamifrons, 700-1499m for Macrourus spp., and 900-1499 for C. dewitti. At 700-999m the abundance shifted from primarily notothenioids to the non-notothenioids Macrourus spp. and zoarcids. Fishes of the outer shelf and upper slope are not provincialized like those of the inner shelf and are circum-Antarctic.</t>
  </si>
  <si>
    <t>[Amsler, Margaret O.; Mcclintock, James B.] Univ Alabama Birmingham, Dept Biol, Birmingham, AL 35294 USA; [Eastman, Joseph T.] Ohio Univ, Dept Biomed Sci, Athens, OH 45701 USA; [Smith, Kathryn E.; Aronson, Richard B.] Florida Inst Technol, Dept Biol Sci, Melbourne, FL 32901 USA; [Singh, Hanumant] Woods Hole Oceanog Inst, Woods Hole, MA 02543 USA; [Thatje, Sven] Univ Southampton, Ocean &amp; Earth Sci, Southampton SO14 3ZH, Hants, England</t>
  </si>
  <si>
    <t>University of Alabama System; University of Alabama Birmingham; University System of Ohio; Ohio University; Florida Institute of Technology; Woods Hole Oceanographic Institution; University of Southampton</t>
  </si>
  <si>
    <t>Amsler, MO (corresponding author), Univ Alabama Birmingham, Dept Biol, Birmingham, AL 35294 USA.</t>
  </si>
  <si>
    <t>mamsler@uab.edu</t>
  </si>
  <si>
    <t>Eastman, Joseph T./0000-0003-3868-261X; Aronson, Richard/0000-0003-0383-3844</t>
  </si>
  <si>
    <t>National Science Foundation's Office of Polar Programs [ANT-0838846, ANT-1141877, ANT-0838844, ANT-1141896]; National Science Foundation [ANT-0436190]; Office of Polar Programs (OPP); Directorate For Geosciences [1141896, 1141877] Funding Source: National Science Foundation</t>
  </si>
  <si>
    <t>National Science Foundation's Office of Polar Programs(National Science Foundation (NSF)); National Science Foundation(National Science Foundation (NSF)); Office of Polar Programs (OPP); Directorate For Geosciences(National Science Foundation (NSF)NSF - Directorate for Geosciences (GEO))</t>
  </si>
  <si>
    <t>The authors thank J. Anderson, C.J. Brothers, A. Brown, D. Ellis and S.C. Vos for assistance with the image analysis and E. Barrero-Oro and an anonymous reviewer for valuable comments. We are grateful to the captain and crew of the RV Nathaniel B. Palmer, along with representatives of the US Antarctic Support Contractor, Lockheed Martin, for assistance at sea. Our research was supported by collaborative grants from the National Science Foundation's Office of Polar Programs to RBA (ANT-0838846 and ANT-1141877) and JBM (ANT-0838844 and ANT-1141896). JTE was supported by a National Science Foundation grant ANT-0436190. This paper is Contribution No. 137 from the Institute for Research on Global Climate Change at the Florida Institute of Technology.</t>
  </si>
  <si>
    <t>10.1017/S0954102015000462</t>
  </si>
  <si>
    <t>WOS:000372521000006</t>
  </si>
  <si>
    <t>Cerfonteyn, M; Ryan, PG</t>
  </si>
  <si>
    <t>Cerfonteyn, Mia; Ryan, Peter G.</t>
  </si>
  <si>
    <t>Have burrowing petrels recovered on Marion Island two decades after cats were eradicated? Evidence from sub-Antarctic skua prey remains</t>
  </si>
  <si>
    <t>feral cat; island restoration; predation; Prince Edward Islands; Procellariidae; Spheniscidae</t>
  </si>
  <si>
    <t>PRINCE-EDWARD-ISLANDS; CATHARACTA-SKUA; FOOD AVAILABILITY; FERAL CATS; DIET; PREDATION; LONNBERGI; ECOLOGY; KERGUELEN; SHETLAND</t>
  </si>
  <si>
    <t>In the 1980s, penguins dominated the prey remains of sub-Antarctic skuas Stercorarius antarcticus breeding on Marion Island, whereas on neighbouring Prince Edward Island burrowing petrels made up &gt; 95% of prey remains in nest middens. This difference resulted at least in part from the impact of introduced cats Felis catus on Marion Island's burrowing petrel populations. Cats were introduced to Marion Island in 1949, and prior to their eradication in 1991, they killed an estimated 450 000 petrels each year, greatly reducing the densities of petrels breeding on the island. A repeat survey of skua prey remains showed that penguins still dominated the prey of breeding sub-Antarctic skuas on Marion Island in the summer of 2010-11, two decades after cats were eradicated from the island. The proportion of penguin remains decreased slightly compared to 1987-88, but this might be expected given the decreases in penguin numbers on Marion Island over this period. Regurgitated pellets confirmed the dominance of penguin prey on Marion Island. Taken together with the decrease in skua numbers on Marion Island over the last two decades, our results suggest that there has been little recovery in the population of at least summer-breeding burrowing petrels since cats were eradicated.</t>
  </si>
  <si>
    <t>[Cerfonteyn, Mia; Ryan, Peter G.] Univ Cape Town, Percy FitzPatrick Inst, DST NRF Ctr Excellence, ZA-7701 Rondebosch, South Africa</t>
  </si>
  <si>
    <t>Ryan, PG (corresponding author), Univ Cape Town, Percy FitzPatrick Inst, DST NRF Ctr Excellence, ZA-7701 Rondebosch, South Africa.</t>
  </si>
  <si>
    <t>Cerfonteyn, Mia/GXG-6174-2022</t>
  </si>
  <si>
    <t>Cerfonteyn, Mia/0000-0003-4360-0033</t>
  </si>
  <si>
    <t>South African National Antarctic Programme through South African National Research Foundation</t>
  </si>
  <si>
    <t>We thank Cobus Cronje for assistance in the field. Digital elevation models were supplied by Ian Meikeljohn, Rhodes University. Ben Dilley kindly commented on a draft and assisted with figure preparation. The final draft was greatly improved by comments from two reviewers. Financial support was obtained from the South African National Antarctic Programme through the South African National Research Foundation with logistical support from the Directorate: Antarctica and Islands, Department of Environment Affairs.</t>
  </si>
  <si>
    <t>10.1017/S0954102015000474</t>
  </si>
  <si>
    <t>WOS:000372521000007</t>
  </si>
  <si>
    <t>Yang, Y; Li, ZJ; Leppäzranta, M; Cheng, B; Shi, LQ; Lei, RB</t>
  </si>
  <si>
    <t>Yang, Yu; Li Zhijun; Leppazranta, Matti; Cheng, Bin; Shi, Liqiong; Lei, Ruibo</t>
  </si>
  <si>
    <t>Modelling the thickness of landfast sea ice in Prydz Bay, East Antarctica</t>
  </si>
  <si>
    <t>albedo; annual cycle; oceanic heat flux; summer decay; thermodynamics</t>
  </si>
  <si>
    <t>GROWTH; DISTRIBUTIONS; VARIABILITY; SUMMER; SNOW</t>
  </si>
  <si>
    <t>Landfast sea ice forms and remains fixed along the coast for most of its life time. In Prydz Bay, landfast ice is seasonal due to melting, mechanical breakage and drift of ice in summer. Its annual cycle of thickness and temperature was examined using a one-dimensional thermodynamic model. Model calibration was made for March 2006 to March 2007 with forcing based on the Chinese National Antarctic Research Expedition data, which consisted of in situ ice and snow observations and meteorological records at the Zhongshan Station. The observed maximum annual ice thickness was 1.74 m. The ice broke and drifted out in summer when its thickness was 0.5-1.0 m. Oceanic heat flux was estimated by tuning the model with observed ice thickness. In the growth season, it decreased from 25 Wm(-2) to 5W m(-2), and in summer it recovered back to 25 W m(-2). Albedo was important in summer; by model tuning the estimated value was 0.6, consistent with the ice surface being bare all summer. Snow cover was thin, having a minor role. The results can be used to further our understanding of the importance of landfast ice in Antarctica for climate research and high-resolution ice-ocean modelling.</t>
  </si>
  <si>
    <t>[Yang, Yu; Li Zhijun; Cheng, Bin; Shi, Liqiong] Dalian Univ Technol, State Key Lab Coastal &amp; Offshore Engn, Dalian 116024, Peoples R China; [Yang, Yu] Shenyang Inst Engn, Dept Basic Sci, Shenyang 110136, Peoples R China; [Leppazranta, Matti] Univ Helsinki, Dept Phys, Box 48,Erik Palmeninaukio 1, FI-00014 Helsinki, Finland; [Cheng, Bin] Finnish Meteorol Inst, Box 503, FI-00101 Helsinki, Finland; [Lei, Ruibo] Polar Res Inst China, Shanghai 200136, Peoples R China</t>
  </si>
  <si>
    <t>Dalian University of Technology; Shenyang Institute of Engineering; University of Helsinki; Finnish Meteorological Institute; Polar Research Institute of China</t>
  </si>
  <si>
    <t>Yang, Y (corresponding author), Dalian Univ Technol, State Key Lab Coastal &amp; Offshore Engn, Dalian 116024, Peoples R China.;Yang, Y (corresponding author), Shenyang Inst Engn, Dept Basic Sci, Shenyang 110136, Peoples R China.</t>
  </si>
  <si>
    <t>yangyang-0606@hotmail.com</t>
  </si>
  <si>
    <t>Li, Zhijun/A-5299-2019; Lepparanta, Matti/M-7507-2017</t>
  </si>
  <si>
    <t>Li, Zhijun/0000-0002-2897-0450; Lepparanta, Matti/0000-0002-4754-5564</t>
  </si>
  <si>
    <t>National Natural Science Foundation of China (NSFC) [51221961, 41376186, 2011DFA22260, 41376005]; Liaoning Educational Committee Foundation [L2013497]; Research Foundation of State Key Laboratory of Coastal and Offshore Engineering of Dalian University of Technology [LP1217]; Ministry of Education in Finland; Academy of Finland [122412, 263918]; Chinese Arctic and Antarctic Administration; Academy of Finland (AKA) [122412] Funding Source: Academy of Finland (AKA)</t>
  </si>
  <si>
    <t>National Natural Science Foundation of China (NSFC)(National Natural Science Foundation of China (NSFC)); Liaoning Educational Committee Foundation; Research Foundation of State Key Laboratory of Coastal and Offshore Engineering of Dalian University of Technology; Ministry of Education in Finland; Academy of Finland(Research Council of Finland); Chinese Arctic and Antarctic Administration; Academy of Finland (AKA)(Research Council of Finland)</t>
  </si>
  <si>
    <t>This research received financial support from the National Natural Science Foundation of China (NSFC) under contracts 51221961, 41376186, 2011DFA22260 and 41376005; the Liaoning Educational Committee Foundation under contract L2013497; and the Research Foundation of State Key Laboratory of Coastal and Offshore Engineering of Dalian University of Technology (No. LP1217). This study was initialized by Yu Yang in Helsinki with support of a CIMO scholarship from the Ministry of Education in Finland. Matti Lepparanta was funded by the Academy of Finland (contract 122412). The work of Bin Cheng was funded by the Academy of Finland (contract 263918). We are grateful to Dr Laurie Padman, Editor of Antarctic Science and one anonymous referee for their constructive comments. The weather station measurements and field work was supported by Chinese Arctic and Antarctic Administration under the sustainable Chinese National Antarctic Research Expedition (CHINARE) programme.</t>
  </si>
  <si>
    <t>10.1017/S0954102015000449</t>
  </si>
  <si>
    <t>WOS:000372521000008</t>
  </si>
  <si>
    <t>Hirt, C; Rexer, M; Scheinert, M; Pail, R; Claessens, S; Holmes, S</t>
  </si>
  <si>
    <t>Hirt, Christian; Rexer, Moritz; Scheinert, Mirko; Pail, Roland; Claessens, Sten; Holmes, Simon</t>
  </si>
  <si>
    <t>A new degree-2190 (10 km resolution) gravity field model for Antarctica developed from GRACE, GOCE and Bedmap2 data</t>
  </si>
  <si>
    <t>JOURNAL OF GEODESY</t>
  </si>
  <si>
    <t>GRACE; GOCE; Geopotential model; Gravity; Topography; Bedmap2; Forward gravity modelling; Antarctica</t>
  </si>
  <si>
    <t>SPHERICAL HARMONIC REPRESENTATION; LAKE VOSTOK; TRANSANTARCTIC MOUNTAINS; AIRBORNE GRAVITY; ICE; TOPOGRAPHY; THICKNESS; COMPUTATION; GRAVIMETRY; FRAMEWORK</t>
  </si>
  <si>
    <t>The current high-degree global geopotential models EGM2008 and EIGEN-6C4 resolve gravity field structures to similar to 10 km spatial scales over most parts of the of Earth's surface. However, a notable exception is continental Antarctica, where the gravity information in these and other recent models is based on satellite gravimetry observations only, and thus limited to about similar to 80-120 km spatial scales. Here, we present a new degree-2190 global gravity model (GGM) that for the first time improves the spatial resolution of the gravity field over the whole of continental Antarctica to similar to 10 km spatial scales. The new model called SatGravRET2014 is a combination of recent Gravity Recovery and Climate Experiment (GRACE) and Gravity field and steady-state Ocean Circulation Explorer (GOCE) satellite gravimetry with gravitational signals derived from the 2013 Bedmap2 topography/ice thickness/bedrock model with gravity forward modelling in ellipsoidal approximation. Bedmap2 is a significantly improved description of the topographic mass distribution over the Antarctic region based on a multitude of topographic surveys, and a well-suited source for modelling short-scale gravity signals as we show in our study. We describe the development of SatGravRET2014 which entirely relies on spherical harmonic modelling techniques. Details are provided on the least-squares combination procedures and on the conversion of topography to implied gravitational potential. The main outcome of our work is the SatGravRET2014 spherical harmonic series expansion to degree 2190, and derived high-resolution grids of 3D-synthesized gravity and quasigeoid effects over the whole of Antarctica. For validation, six data sets from the IAG Subcommission 2.4f Gravity and Geoid in Antarctica (AntGG) database were used comprising a total of 1,092,981 airborne gravimetric observations. All subsets consistently show that the Bedmap2-based short-scale gravity modelling improves the agreement over satellite-only data considerably (improvement rates ranging between 9 and 75 % with standard deviations from residuals between SatGravRET2014 and AntGG gravity ranging between 8 and 25 mGal). For comparison purposes, a degree-2190 GGM was generated based on the year-2001 Bedmap1 (using the ETOPO1 topography) instead of 2013 Bedmap2 topography product. Comparison of both GGMs against AntGG consistently reveals a closer fit over all test areas when Bedmap2 is used. This experiment provides evidence for clear improvements in Bedmap2 topographic information over Bedmap1 at spatial scales of similar to 80-10 km, obtained from independent gravity data used as validation tool. As a general conclusion, our modelling effort fills-in approximation-some gaps in short-scale gravity knowledge over Antarctica and demonstrates the value of the Bedmap2 topography data for short-scale gravity refinement in GGMs. SatGravRET2014 can be used, e.g. as a reference model for future gravity modelling efforts over Antarctica, e.g. as foundation for a combination with the AntGG data set to obtain further improved gravity information.</t>
  </si>
  <si>
    <t>[Hirt, Christian; Claessens, Sten] Curtin Univ, Dept Spatial Sci, Inst Geosci Res, Western Australian Geodesy Grp, Perth, WA 6845, Australia; [Hirt, Christian; Rexer, Moritz; Pail, Roland] Tech Univ Munich, Inst Adv Study, D-80290 Munich, Germany; [Hirt, Christian; Rexer, Moritz; Pail, Roland] Tech Univ Munich, Inst Astron &amp; Phys Geodesy, D-80290 Munich, Germany; [Scheinert, Mirko] Tech Univ Dresden, Inst Planetare Geodasie, D-01062 Dresden, Germany; [Holmes, Simon] SGT Inc, Greenbelt, MD USA</t>
  </si>
  <si>
    <t>Curtin University; Technical University of Munich; Technical University of Munich; Technische Universitat Dresden; Stinger Ghaffarian Technologies, Inc. (SGT)</t>
  </si>
  <si>
    <t>Hirt, C (corresponding author), Curtin Univ, Dept Spatial Sci, Inst Geosci Res, Western Australian Geodesy Grp, Perth, WA 6845, Australia.;Hirt, C (corresponding author), Tech Univ Munich, Inst Adv Study, D-80290 Munich, Germany.;Hirt, C (corresponding author), Tech Univ Munich, Inst Astron &amp; Phys Geodesy, D-80290 Munich, Germany.</t>
  </si>
  <si>
    <t>c.hirt@tum.de</t>
  </si>
  <si>
    <t>Pail, Roland/H-5621-2011; Pail, Roland/ABE-8800-2021; Claessens, Sten/H-7153-2012</t>
  </si>
  <si>
    <t>Christian, Hirt/0000-0002-3176-7939; Claessens, Sten/0000-0003-4935-6916; Scheinert, Mirko/0000-0002-0892-8941</t>
  </si>
  <si>
    <t>Australian Research Council (ARC) [DP120102441]; Curtin University's Office of Research and Development; Technische Universitat Munchen-Institute for Advanced Study - German Excellence Initiative; ARC; IAS</t>
  </si>
  <si>
    <t>Australian Research Council (ARC)(Australian Research Council); Curtin University's Office of Research and Development; Technische Universitat Munchen-Institute for Advanced Study - German Excellence Initiative; ARC(Australian Research Council); IAS</t>
  </si>
  <si>
    <t>We thank three anonymous reviewers for their comments on this manuscript. This study received support from the Australian Research Council (ARC, grant DP120102441) and Curtin University's Office of Research and Development. Further, it was created with the support of the Technische Universitat Munchen-Institute for Advanced Study, funded by the German Excellence Initiative. Christian Hirt is the recipient of an ARC Discovery Outstanding Researcher Award and of a Hans-Fischer Fellowship by IAS. Parts of the computations were carried out with resources provided by the Leibniz Rechenzentrum Munchen. We thank Jan-Martin Brockmann for providing GOCE data sets and Thomas Fecher for providing routines for solving of normal equations. The topographic potential model dV_ELL_RET 2014 and combined SatGravRET2014 model will be delivered to IAG's ICGEM service (http://icgem.gfz-potsdam.de/ICGEM/). Our models are also available via ddfe.curtin.edu.au/models/Antarctica. The topographic input data sets used in this study can be downloaded from http://ddfe.curtin.edu.au/models/Earth2014.</t>
  </si>
  <si>
    <t>0949-7714</t>
  </si>
  <si>
    <t>1432-1394</t>
  </si>
  <si>
    <t>J GEODESY</t>
  </si>
  <si>
    <t>J. Geodesy</t>
  </si>
  <si>
    <t>10.1007/s00190-015-0857-6</t>
  </si>
  <si>
    <t>Geochemistry &amp; Geophysics; Remote Sensing</t>
  </si>
  <si>
    <t>DH4KL</t>
  </si>
  <si>
    <t>WOS:000372754800001</t>
  </si>
  <si>
    <t>Sikes, EL; Guilderson, TP</t>
  </si>
  <si>
    <t>Sikes, Elisabeth L.; Guilderson, Thomas P.</t>
  </si>
  <si>
    <t>Southwest Pacific Ocean surface reservoir ages since the last glaciation: Circulation insights from multiple-core studies</t>
  </si>
  <si>
    <t>radiocarbon; reservoir age; last glaciation; Pacific Ocean circulation; Southern Ocean; climate change</t>
  </si>
  <si>
    <t>GLOBAL CARBON-CYCLE; ANTARCTIC SEA-ICE; NEW-ZEALAND; RADIOCARBON AGE; SOUTHERN-OCEAN; ATMOSPHERIC CO2; PLANKTONIC-FORAMINIFERA; NORTH-ATLANTIC; CALIBRATION CURVES; YOUNGER DRYAS</t>
  </si>
  <si>
    <t>Radiocarbon (C-14) in dissolved inorganic carbon in the ocean can trace the age of ocean water relative to the atmosphere and provide insight into climate-driven changes in ocean circulation since the last glaciation. Here we estimate surface radiocarbon ages from the last glaciation through the deglaciation into the Holocene in the southwestern Pacific by using tephras, both as stratigraphic tie points and for the availability of existing radiocarbon dates from terrestrial- based analyses of the organic carbon associated with them, as markers of past atmospheric C-14. The glacial surface reservoir age of subtropical waters was 700 (14)Cyears older than the coeval atmosphere at 25,000calyrB.P. This was significantly older (more C-14 depleted) by300 (14)Cyears, than modern reservoir ages. At the same time, subantarctic surface water reservoir age was 3200 (14)Cyears, almost 5 times the modern reservoir age, making the difference in age between subtropical and subantarctic surface water masses treble the modern difference. This pattern is attributed to the upwelling and exchange of very old deep waters from the glacial abyss in the Southern Ocean. In the early deglaciation, surface reservoir ages were 600 to 700 (14)Cyears. Recent atmospheric C-14 calibrations project that these surface reservoir ages were older than modern by 1.2-fold to 2-fold. This increased reservoir effect can be attributed to shallow circulation that differed from modern, delivering waters with lower C-14 content to the region. Early Holocene surface reservoir ages of 300 to 500 (14)Cyears, similar to recent, suggest modern circulation patterns were in place by that time.</t>
  </si>
  <si>
    <t>[Sikes, Elisabeth L.] Rutgers State Univ, Inst Marine &amp; Coastal Sci, New Brunswick, NJ 08903 USA; [Guilderson, Thomas P.] Univ Calif Santa Cruz, Dept Ocean Sci, Santa Cruz, CA 95064 USA; [Guilderson, Thomas P.] Lawrence Livermore Natl Lab, Livermore, CA USA</t>
  </si>
  <si>
    <t>Rutgers University System; Rutgers University New Brunswick; University of California System; University of California Santa Cruz; United States Department of Energy (DOE); Lawrence Livermore National Laboratory</t>
  </si>
  <si>
    <t>Sikes, EL (corresponding author), Rutgers State Univ, Inst Marine &amp; Coastal Sci, New Brunswick, NJ 08903 USA.</t>
  </si>
  <si>
    <t>Sikes, Elisabeth/0000-0003-2900-3283; Guilderson, Thomas/0000-0001-9371-7059</t>
  </si>
  <si>
    <t>NSF [OCE-0136651, OCE-0425053, OCE 0823487]; U.S. Department of Energy [DE-AC52-07NA27344]; Hanse Wischenschaftkollege</t>
  </si>
  <si>
    <t>NSF(National Science Foundation (NSF)); U.S. Department of Energy(United States Department of Energy (DOE)); Hanse Wischenschaftkollege</t>
  </si>
  <si>
    <t>We thank the crew of the R/V Roger Revelle for the assistance in obtaining the RR0503 cores, and we thank NIWA for providing cores from their collection. We thank Mea Cook and Katherine Allen for their input on early versions of the manuscript. We thank Thomas Higham of the Oxford Radiocarbon Unit for a primer on OxCal and iterating scripts with TPG. NSF grants OCE-0136651, OCE-0425053, and OCE 0823487 to E.L.S. and T.P.G. funded this work. A portion of this work was performed under the auspices of the U.S. Department of Energy (DE-AC52-07NA27344). A fellowship from the Hanse Wischenschaftkollege supported E.L.S. in writing the manuscript. All data used in this paper is either provided in the supporting information accompanying this paper or previously published and is available as a table in Sikes et al. [2000] or in the supporting information accompanying Rose et al. [2010].</t>
  </si>
  <si>
    <t>10.1002/2015PA002855</t>
  </si>
  <si>
    <t>DH4AE</t>
  </si>
  <si>
    <t>WOS:000372727100006</t>
  </si>
  <si>
    <t>Davidson, JEH; Stephenson, DB; Turasie, AA</t>
  </si>
  <si>
    <t>Davidson, James E. H.; Stephenson, David B.; Turasie, Alemtsehai A.</t>
  </si>
  <si>
    <t>Time series modeling of paleoclimate data</t>
  </si>
  <si>
    <t>ENVIRONMETRICS</t>
  </si>
  <si>
    <t>paleoclimate; ice cores; stationarity; Granger causality; Milankovitch cycles; VAR modeling</t>
  </si>
  <si>
    <t>ATMOSPHERIC CO2; UNIT-ROOT; TEMPERATURE; HYPOTHESIS; CLIMATE; CYCLES; MEMORY; TESTS</t>
  </si>
  <si>
    <t>This paper applies time series modeling methods to paleoclimate series for temperature, ice volume, and atmospheric concentrations of CO2 and CH4. These series, inferred from Antarctic ice and ocean cores, are well known to move together in the transitions between glacial and interglacial periods, but the dynamic relationship between the series is open to question. A further unresolved issue is the role of Milankovitch theory, in which the glacial/interglacial cycles are correlated with orbital variations. We perform tests for Granger causality in the context of a vector autoregression model. Previous work with climate series has assumed nonstationarity and adopted a cointegration approach, but in a range of tests, we find no evidence of integrated behavior. We use conventional autoregressive methodology while allowing for conditional heteroscedasticity in the residuals, associated with the transitional periods. Copyright (C) 2015 John Wiley &amp; Sons, Ltd</t>
  </si>
  <si>
    <t>[Davidson, James E. H.; Stephenson, David B.] Univ Exeter, Exeter, Devon, England; [Turasie, Alemtsehai A.] Univ Witwatersrand, Johannesburg, South Africa</t>
  </si>
  <si>
    <t>University of Exeter; University of Witwatersrand</t>
  </si>
  <si>
    <t>Davidson, JEH (corresponding author), Univ Exeter, Sch Business, Dept Econ, Rennes Dr, Exeter EX4 4PU, Devon, England.</t>
  </si>
  <si>
    <t>james.davidson@exeter.ac.uk</t>
  </si>
  <si>
    <t>Stephenson, David B/A-9903-2011</t>
  </si>
  <si>
    <t>1180-4009</t>
  </si>
  <si>
    <t>1099-095X</t>
  </si>
  <si>
    <t>Environmetrics</t>
  </si>
  <si>
    <t>10.1002/env.2373</t>
  </si>
  <si>
    <t>Environmental Sciences; Mathematics, Interdisciplinary Applications; Statistics &amp; Probability</t>
  </si>
  <si>
    <t>Environmental Sciences &amp; Ecology; Mathematics</t>
  </si>
  <si>
    <t>DG4FY</t>
  </si>
  <si>
    <t>WOS:000372028200005</t>
  </si>
  <si>
    <t>Raymond, JA</t>
  </si>
  <si>
    <t>Raymond, James A.</t>
  </si>
  <si>
    <t>Dependence on epiphytic bacteria for freezing protection in an Antarctic moss, Bryum argenteum</t>
  </si>
  <si>
    <t>ENVIRONMENTAL MICROBIOLOGY REPORTS</t>
  </si>
  <si>
    <t>ICE-BINDING PROTEIN; ANTIFREEZE PROTEIN; STRESS; REGENERATION; BRYOPHYTES; EXPRESSION; GENES; ALGA; SITE</t>
  </si>
  <si>
    <t>Mosses are the dominant flora of Antarctica, but their mechanisms of survival in the face of extreme low temperatures are poorly understood. A variety of Bryum argenteum from 77(o) S was previously shown to have strong ice-pitting activity, a sign of the presence of ice-binding proteins (IBPs) that mitigate freezing damage. Here, using samples that had been stored at -25(o)C for 10 years, it is shown that much if not all of the activity is due to bacterial ice-binding proteins secreted on the leaves of the moss. Sequencing of the leaf metagenome revealed the presence of hundreds of genes from a variety of bacteria (mostly Actinobacteria and Bacteroidetes) that encode a domain (DUF3494) that is associated with ice binding. The frequency of occurrence of this domain is one to two orders of magnitude higher than it is in representative mesophilic bacterial metagenomes. Genes encoding 42 bacterial IBPs with N-terminal secretion signals were assembled. There appears to be a commensal relationship in which the moss provides sustenance to the bacteria in return for freezing protection.</t>
  </si>
  <si>
    <t>[Raymond, James A.] Univ Nevada, Sch Life Sci, Las Vegas, NV 89154 USA</t>
  </si>
  <si>
    <t>Nevada System of Higher Education (NSHE); University of Nevada Las Vegas</t>
  </si>
  <si>
    <t>Raymond, JA (corresponding author), Univ Nevada, Sch Life Sci, Las Vegas, NV 89154 USA.</t>
  </si>
  <si>
    <t>raymond@unlv.nevada.edu</t>
  </si>
  <si>
    <t>NSF [OPP-9814294, OPP-0088000]; School of Life Sciences, UNLV</t>
  </si>
  <si>
    <t>NSF(National Science Foundation (NSF)); School of Life Sciences, UNLV</t>
  </si>
  <si>
    <t>The initial collections and analyses of this study were supported by NSF grants OPP-9814294 and OPP-0088000. I thank Brian Hedlund, Senthil Murugapiran and Lloyd Stark (University of Nevada, Las Vegas), Suvarna Nadendla (University of Maryland), Craig Osborne and Kathy Schegg (University of Nevada, Reno) for providing valuable assistance in this study. Additional support for this study was kindly provided by the School of Life Sciences, UNLV.</t>
  </si>
  <si>
    <t>1758-2229</t>
  </si>
  <si>
    <t>ENV MICROBIOL REP</t>
  </si>
  <si>
    <t>Environ. Microbiol. Rep.</t>
  </si>
  <si>
    <t>10.1111/1758-2229.12337</t>
  </si>
  <si>
    <t>Environmental Sciences; Microbiology</t>
  </si>
  <si>
    <t>Environmental Sciences &amp; Ecology; Microbiology</t>
  </si>
  <si>
    <t>DF6QQ</t>
  </si>
  <si>
    <t>WOS:000371481100003</t>
  </si>
  <si>
    <t>Yang, C; Xie, Z; Xu, ZY</t>
  </si>
  <si>
    <t>Yang, Chao; Xie, Zhong; Xu, Zhanya</t>
  </si>
  <si>
    <t>An asynchronous Geoprocessing Workflow and its application to an Antarctic ozone monitoring and mapping service</t>
  </si>
  <si>
    <t>INTERNATIONAL JOURNAL OF DIGITAL EARTH</t>
  </si>
  <si>
    <t>Sensor Web; OGC Web Service; asynchronous workflow; OMI; ozone monitoring</t>
  </si>
  <si>
    <t>SENSOR WEB ENVIRONMENT</t>
  </si>
  <si>
    <t>The integration of Sensor Web Enablement services with other Open Geospatial Consortium (OGC) Web Services as Geospatial Processing Workflows (GPW) is essential for future Sensor Web application scenarios. With the help of GPW technology, distributed and heterogeneous OGC Web Services can be organized and integrated as compound Web Service applications that can direct complicated earth observation tasks. Under the Sensor Web environment, asynchronous communications between Sensor Web Services are common. We have proposed an asynchronous GPW architecture for the integration of Sensor Web Services into a Web Service Business Process Execution Language workflow technology. We designed a Sensor Information Accessing and Processing workflow, an asynchronous GPW instance, to take an experiment of observing and mapping ozone over Antarctica. Based on our results, our proposed asynchronous workflow method shows the advantages of taking environmental monitoring and mapping tasks.</t>
  </si>
  <si>
    <t>[Yang, Chao; Xie, Zhong; Xu, Zhanya] China Univ Geosci, Fac Informat Engn, Wuhan 430074, Peoples R China; [Yang, Chao; Xie, Zhong; Xu, Zhanya] China Univ Geosci, Natl Engn Res Ctr Geog Informat Syst, Wuhan 430074, Peoples R China</t>
  </si>
  <si>
    <t>China University of Geosciences; China University of Geosciences</t>
  </si>
  <si>
    <t>Yang, C (corresponding author), China Univ Geosci, Fac Informat Engn, Wuhan 430074, Peoples R China.;Yang, C (corresponding author), China Univ Geosci, Natl Engn Res Ctr Geog Informat Syst, Wuhan 430074, Peoples R China.</t>
  </si>
  <si>
    <t>ycgeoscience@gmail.com</t>
  </si>
  <si>
    <t>1753-8947</t>
  </si>
  <si>
    <t>1753-8955</t>
  </si>
  <si>
    <t>INT J DIGIT EARTH</t>
  </si>
  <si>
    <t>Int. J. Digit. Earth</t>
  </si>
  <si>
    <t>FEB 1</t>
  </si>
  <si>
    <t>10.1080/17538947.2014.967318</t>
  </si>
  <si>
    <t>Geography, Physical; Remote Sensing</t>
  </si>
  <si>
    <t>Physical Geography; Remote Sensing</t>
  </si>
  <si>
    <t>DG0ZU</t>
  </si>
  <si>
    <t>WOS:000371795600003</t>
  </si>
  <si>
    <t>Hedding, DW; Hansen, CD; Nel, W; Loubser, M; Le Roux, JJ; Meiklejohn, KI</t>
  </si>
  <si>
    <t>Hedding, D. W.; Hansen, C. D.; Nel, W.; Loubser, M.; Le Roux, J. J.; Meiklejohn, K. I.</t>
  </si>
  <si>
    <t>Rock mass loss on a nunatak in Western Dronning Maud Land, Antarctica</t>
  </si>
  <si>
    <t>SOR-RONDANE MOUNTAINS; CONTINENTAL ANTARCTICA; WEATHERING PROCESSES; ARID ENVIRONMENTS; TEMPERATURE DATA; EAST ANTARCTICA; THERMAL-STRESS; DRY VALLEYS; GRANITE; EVOLUTION</t>
  </si>
  <si>
    <t>This paper presents the first rock mass loss data for uncut clasts from continental Antarctica. A rock mass loss experiment using doleritic rock samples was conducted over a seven-year period, between 2008 and 2014, at the Vesleskarvet nunataks, Western Dronning Maud Land. The data show that approximately 10% of clasts suffered a mass loss that is an order of magnitude greater than the remaining 90% of clasts. Thus, the observed rock mass loss is suggested to occur in a series of events that are impossible to predict in terms of frequency and/or magnitude. However, extrapolating from the data obtained during the seven-year period indicates that rates of mass loss are slow and of the order of 1% per 100 years. Direct erosion by wind (including abrasion) as well as mechanical and chemical weathering are suggested to be responsible for rock mass loss. Rock properties, the weathering environment, and a lack of available moisture may be contributing factors to the slow rate of rock decay. This paper suggests that in this area of Antarctica, the slow rate of rock mass loss increases the longevity of existing periglacial landforms such as patterned ground and blockfields, but inhibits development of new patterned ground through the slow production of fines.</t>
  </si>
  <si>
    <t>[Hedding, D. W.] Univ S Africa, Dept Geog, ZA-1710 Florida, South Africa; [Hansen, C. D.; Meiklejohn, K. I.] Rhodes Univ, Dept Geog, Drosty Rd, ZA-6139 Grahamstown, South Africa; [Nel, W.] Univ Ft Hare, Dept Geog &amp; Environm Sci, ZA-5700 Alice, South Africa; [Loubser, M.] Univ Pretoria, Dept Geog Geoinformat &amp; Meteorol, ZA-0002 Pretoria, South Africa; [Le Roux, J. J.] Univ Free State, Dept Geog, 205 Nelson Mandela Dr, ZA-9301 Bloemfontein, South Africa</t>
  </si>
  <si>
    <t>University of South Africa; Rhodes University; University of Fort Hare; University of Pretoria; University of the Free State</t>
  </si>
  <si>
    <t>Hedding, DW (corresponding author), Univ S Africa, Dept Geog, ZA-1710 Florida, South Africa.</t>
  </si>
  <si>
    <t>heddidw@unisa.ac.za</t>
  </si>
  <si>
    <t>Hedding, David William/F-3044-2011; Hansen, Christel D/C-8783-2012; Meiklejohn, Ian/F-3183-2012</t>
  </si>
  <si>
    <t>Hedding, David William/0000-0002-9748-4499; Hansen, Christel D/0000-0001-7510-2720; Meiklejohn, Ian/0000-0001-8890-2938; Nel, Werner/0000-0002-3769-4937</t>
  </si>
  <si>
    <t>NRF/SANAP project: Landscape processes in Antarctic ecosystems [80264]; NRF/SANAP project: Landscape and climate interactions in a changing sub-Antarctic environment [93075]; Department of Environmental Affairs; National Research Foundation (NRF) of South Africa</t>
  </si>
  <si>
    <t>NRF/SANAP project: Landscape processes in Antarctic ecosystems; NRF/SANAP project: Landscape and climate interactions in a changing sub-Antarctic environment; Department of Environmental Affairs; National Research Foundation (NRF) of South Africa(National Research Foundation - South Africa)</t>
  </si>
  <si>
    <t>The Department of Environmental Affairs and the National Research Foundation (NRF) of South Africa are gratefully acknowledged for logistical and financial support. This work is published under the NRF/SANAP projects: Landscape processes in Antarctic ecosystems (Grant no. 80264) and Landscape and climate interactions in a changing sub-Antarctic environment (Grant no. 93075). Professor Paul Sumner is thanked for providing comments on the manuscript. The reviewers and associate editor are thanked for providing comments that improved the quality of the manuscript. Any opinions expressed are those of the authors and the NRF does not accept any liability in regard thereto.</t>
  </si>
  <si>
    <t>10.1657/AAAR0015-005</t>
  </si>
  <si>
    <t>DF4MI</t>
  </si>
  <si>
    <t>WOS:000371322100001</t>
  </si>
  <si>
    <t>Emerman, SH; Adhikari, S; Panday, S; Bhattarai, TN; Gautam, T; Fellows, SA; Anderson, RB; Adhikari, N; Karki, K; Palmer, MA</t>
  </si>
  <si>
    <t>Emerman, Steven H.; Adhikari, Santosh; Panday, Suman; Bhattarai, Tara N.; Gautam, Tara; Fellows, Steven A.; Anderson, Ryan B.; Adhikari, Narayan; Karki, Kabita; Palmer, Mallory A.</t>
  </si>
  <si>
    <t>The integration of the direct and indirect methods in lichenometry for dating Buddhist sacred walls in Langtang Valley, Nepal Himalaya</t>
  </si>
  <si>
    <t>TSERGO RI LANDSLIDE; GROWTH-RATES; GARHWAL HIMALAYA; SLOPE FAILURE; GLACIER; GEOMORPHOLOGY; FLUCTUATIONS; GLACIATION; MOVEMENTS; LICHENS</t>
  </si>
  <si>
    <t>Buddhist sacred walls, called mani walls, are common between Langtang Village and Kyanjin Gompa in Langtang Valley, Nepal Himalaya. The objective of this study was to interview local informants about the mani wall traditions and to use lichenometry to resolve discrepancies regarding the maintenance of the mani walls. The maximum diameters of the lichen Rhizocarpon geographicum were measured on each of 24 mani walls. An apparent lichen growth curve was developed using five sources of indirect data, including the foundation of one stupa (sacred monument) and two locations of former ice cover, for which ages were obtained from local informants, and two debris ridges that had been dated by Be-10. The direct method was pursued by measuring the maximum diameters of 20 lichens in remote locations in both 2009 and 2014. Based on the indirect method, the mani walls are cleaned on a geometric mean cycle time of 13 years. The direct and indirect methods yield equivalent ages when the minimum direct growth rate (geometric mean divided by geometric standard deviation) is used for older ages (&gt;400 years), while the maximum direct growth rate (geometric mean multiplied by geometric standard deviation) is used for younger ages (&lt;50 years).</t>
  </si>
  <si>
    <t>[Emerman, Steven H.; Fellows, Steven A.; Anderson, Ryan B.; Palmer, Mallory A.] Utah Valley Univ, Dept Earth Sci, 800 West Univ Pkwy, Orem, UT 84058 USA; [Adhikari, Santosh; Panday, Suman; Bhattarai, Tara N.; Gautam, Tara; Adhikari, Narayan; Karki, Kabita] Tri Chandra Multiple Campus, Dept Geol, Kathmandu, Nepal</t>
  </si>
  <si>
    <t>Utah System of Higher Education; Utah Valley University</t>
  </si>
  <si>
    <t>Emerman, SH (corresponding author), Utah Valley Univ, Dept Earth Sci, 800 West Univ Pkwy, Orem, UT 84058 USA.</t>
  </si>
  <si>
    <t>StevenE@uvu.edu</t>
  </si>
  <si>
    <t>American Alpine Club Research Grant; Grants for Engaged Learning, Department of Earth Science, College of Science and Health Scholarly Activities Committee; Volunteer and Service-Learning Center at Utah Valley University</t>
  </si>
  <si>
    <t>This research was funded by an American Alpine Club Research Grant and a grant from William Robert Johnson. Additional funding was received from Grants for Engaged Learning, Department of Earth Science, College of Science and Health Scholarly Activities Committee, and Volunteer and Service-Learning Center at Utah Valley University. We are grateful to Prof. Larry St. Clair (Brigham Young University) for advice on lichen identification. We are grateful to Prof. Johannes Weidinger for a careful review and for bringing to our attention the literature on Langtang Valley in the German language.</t>
  </si>
  <si>
    <t>10.1657/AAAR0015-026</t>
  </si>
  <si>
    <t>Science Citation Index Expanded (SCI-EXPANDED); Arts &amp; Humanities Citation Index (A&amp;HCI)</t>
  </si>
  <si>
    <t>WOS:000371322100002</t>
  </si>
  <si>
    <t>Pflitsch, A; Schörghofer, N; Smith, SM; Holmgren, D</t>
  </si>
  <si>
    <t>Pflitsch, Andreas; Schoerghofer, Norbert; Smith, Stephen M.; Holmgren, David</t>
  </si>
  <si>
    <t>Massive ice loss from the Mauna Loa Icecave, Hawaii</t>
  </si>
  <si>
    <t>CAVES; MARS</t>
  </si>
  <si>
    <t>We provide the first detailed documentation of a lava tube cave with permanent ice on the Hawaiian Islands. Mauna Loa Icecave had been surveyed in 1978; we periodically visited the cave and monitored temperature, humidity, and ice levels from 2011 to 2014. Perennial ice still blocks the lava tube at the terminal end, but a previously present large ice floor (estimated 260 m(2)) has disappeared. A secondary mineral deposited on the cave walls is interpreted as the result of past sustained ice levels. Airflow measurements, scallop patterns in the ice, strong temperature and humidity variations, and ice volume fluctuations indicate ventilation of the cave, which suggests that additional ice loss could occur rapidly. The scientific potential of the ice record remains to be explored, before it is lost.</t>
  </si>
  <si>
    <t>[Pflitsch, Andreas; Holmgren, David] Ruhr Univ Bochum, Dept Geog, Univ Str 150, D-44780 Bochum, Germany; [Schoerghofer, Norbert] Univ Hawaii, NASA, Astrobiol Inst, 2680 Woodlawn Dr, Honolulu, HI 96822 USA; [Schoerghofer, Norbert] Univ Hawaii, Inst Astron, 2680 Woodlawn Dr, Honolulu, HI 96822 USA; [Smith, Stephen M.] Hawaii Speleol Survey, 1190 Waianuenue Ave, Hilo, HI 96720 USA</t>
  </si>
  <si>
    <t>Ruhr University Bochum; National Aeronautics &amp; Space Administration (NASA); University of Hawaii System; University of Hawaii System</t>
  </si>
  <si>
    <t>Schörghofer, N (corresponding author), Univ Hawaii, NASA, Astrobiol Inst, 2680 Woodlawn Dr, Honolulu, HI 96822 USA.;Schörghofer, N (corresponding author), Univ Hawaii, Inst Astron, 2680 Woodlawn Dr, Honolulu, HI 96822 USA.</t>
  </si>
  <si>
    <t>norbert@hawaii.edu</t>
  </si>
  <si>
    <t>Schorghofer, Norbert/A-1194-2007</t>
  </si>
  <si>
    <t>Pflitsch, Andreas/0000-0001-5597-2980; Schorghofer, Norbert/0000-0002-5821-4066</t>
  </si>
  <si>
    <t>National Aeronautics and Space Administration through the NASA Astrobiology Institute through the Office of Space Science [NNA09DA77A]</t>
  </si>
  <si>
    <t>National Aeronautics and Space Administration through the NASA Astrobiology Institute through the Office of Space Science</t>
  </si>
  <si>
    <t>We are grateful to Lyman Perry and the Department of Land and Natural Resources of the State of Hawaii for permits to conduct this research. We thank John Barnes, Peter Bosted, Stephan Kempe, Jack Lockwood, John Mackey, Scott Rowland, and Kim Teehera for insightful discussions, assistance, and help with logistics. This material is based in part upon work supported by the National Aeronautics and Space Administration through the NASA Astrobiology Institute under Cooperative Agreement No. NNA09DA77A issued through the Office of Space Science.</t>
  </si>
  <si>
    <t>10.1657/AAAR0014-095</t>
  </si>
  <si>
    <t>WOS:000371322100003</t>
  </si>
  <si>
    <t>Michaelson, GJ; Wang, B; Ping, CL</t>
  </si>
  <si>
    <t>Michaelson, G. J.; Wang, B.; Ping, C. L.</t>
  </si>
  <si>
    <t>Fertility of the early post-eruptive surfaces of Kasatochi Island volcano</t>
  </si>
  <si>
    <t>MOUNT-ST-HELENS; 2008 ERUPTION; PRIMARY SUCCESSION; ALEUTIAN ISLANDS; ALASKA; SOILS; COLONIZATION; WASHINGTON; NITROGEN; TERRESTRIAL</t>
  </si>
  <si>
    <t>In the four years after the 2008 eruption and burial of Kasatochi Island volcano, erosion and the return of bird activity have resulted in new and altered land surfaces and initiation of ecosystem recovery. We examined fertility characteristics of the recently deposited pyroclastic surfaces, patches of legacy pre-eruptive surface soil (LS), and a post-eruptive surface with recent bird roosting activity. Pyroclastic materials were found lacking in N, but P, K, and other macronutrients were in sufficient supply for plants. Erosion and leaching are moving mobile P and Fe downslope to deposition fan areas. Legacy soil patches that currently support plants have available-N at levels (10-22 mg N kg(-1)) similar to those added by birds in a recent bird roosting area. Roosting increased surface available N from &lt;1 mg N kg-1 in the new pyroclastic surfaces to up to 42 mg N kg(-1) and increased soil biological respiration of CO2 from essentially zero to a level about 40% that of the LS surface. Laboratory plant growth trials using Lupinus nootkatensis and Leymus mollis indicated that the influence of eroded and redeposited LS in amounts as little as 10% by volume mixed with new pyroclastic materials could aid plant recovery by supplying vital N and soil biota to plants as propagules are introduced to the new surface. Erosion-exposure of fertile pre-eruptive soils and erosion-mixing of pre-eruptive soils with newly erupted materials, along with inputs of nutrients from bird activities, each will exert significant influences on the surface fertility and recovery pattern of the new post-eruptive Kasatochi volcano. For this environment, these influences could help to speed recovery of a more diverse plant community by providing N (LS and bird inputs) as alternatives to relying most heavily on N-fixing plants to build soil fertility.</t>
  </si>
  <si>
    <t>[Michaelson, G. J.; Ping, C. L.] Univ Alaska Fairbanks, Sch Nat Resources &amp; Extens, Palmer Res Ctr, 1509 South Georgeson, Palmer, AK 99645 USA; [Wang, B.] US Geol Survey, Alaska Sci Ctr, 4210 Univ Dr, Anchorage, AK 99508 USA</t>
  </si>
  <si>
    <t>University of Alaska System; University of Alaska Fairbanks; United States Department of the Interior; United States Geological Survey</t>
  </si>
  <si>
    <t>Michaelson, GJ (corresponding author), Univ Alaska Fairbanks, Sch Nat Resources &amp; Extens, Palmer Res Ctr, 1509 South Georgeson, Palmer, AK 99645 USA.</t>
  </si>
  <si>
    <t>gjmichaelson@alaska.edu</t>
  </si>
  <si>
    <t>USDA Hatch project; North Pacific Research Board [932]; U.S. Geological Survey (USGS); U.S. Fish and Wildlife Service</t>
  </si>
  <si>
    <t>USDA Hatch project; North Pacific Research Board; U.S. Geological Survey (USGS)(United States Geological Survey); U.S. Fish and Wildlife Service(US Fish &amp; Wildlife Service)</t>
  </si>
  <si>
    <t>This study was funded by the North Pacific Research Board (Project #932), U.S. Geological Survey (USGS), U.S. Fish and Wildlife Service, and the USDA Hatch project. The authors wish to express their special thanks for the assistance of Tony De-Gange of USGS, Laurie Wilson and Melissa Dick of the UAF-AFES Palmer Plant and Soils Laboratory, Kathy Van Zant and Sue Lincoln of the State of Alaska DNR Plant Materials Center, Captain William Pepper and crew of the research vessel Tiglax, and Jeff Williams of the USFWS Alaska Maritime National Wildlife Refuge. We appreciate the helpful reviews of Larry Gough and Lydia Zeglin. Any use of trade, firm, or product names is for descriptive purposes only and does not imply endorsement by the U.S. Government.</t>
  </si>
  <si>
    <t>10.1657/AAAR0014-089</t>
  </si>
  <si>
    <t>WOS:000371322100004</t>
  </si>
  <si>
    <t>Sklenár, P; Kucerová, A; Macková, J; Romoleroux, K</t>
  </si>
  <si>
    <t>Sklenar, Petr; Kucerova, Andrea; Mackova, Jana; Romoleroux, Katya</t>
  </si>
  <si>
    <t>Temperature microclimates of plants in a tropical alpine environment: How much does growth form matter?</t>
  </si>
  <si>
    <t>LEAF TEMPERATURES; FREEZING TOLERANCE; PARAMO; RESISTANCE; FROST; PUBESCENCE; FREQUENCY; HABITAT; CLIMATE</t>
  </si>
  <si>
    <t>In the aseasonal tropical alpine environment, plants experience frequent oscillations of air temperature around zero, but little is known about the leaf temperatures of different plant growth forms in dry versus humid climatic conditions. During July-August 2007, we measured air temperature at 100 cm and 20 cm above the ground, soil temperature at 1 cm and 10 cm depth, and temperatures of leaves and stems of tropical alpine plants on the eastern (windward and cloudy) and western (leeward and sunny) sides of the Antisana volcano (Ecuador) between 4100 m and 4600 m, with the aim of examining the effects of climate and growth forms on leaf temperature. The sunnier climate on the western side of the mountain provided a much broader thermal envelope, in which only leaves of low-statured plants showed significant departure from air temperature during the day. In contrast, most plants had warmer leaves than was the air temperature on the eastern side, and except for cushion plants, the difference in temperature was progressively greater in leaves of taller plants. Plants warmed up significantly faster on the western side and at higher elevations, with the fastest warming rates of 13-15 K h(-1) observed in erect herbs. Night cooling rates did not differ between the opposite mountain sides or between elevations. Erect herbs cooled at the fastest rates (3 K h(-1)), whereas cushion plants cooled at the slowest rates (about 1 K h(-1)). Height aboveground along with aspect (west vs. east) were the most significant determinants of the leaf thermal microclimate during the day, with elevation having no effect. Low-statured plants experienced more extreme and more variable microclimates than taller plants in sunnier and drier conditions, but the effect of plant height was almost negligible in humid and cloudy climates. In all climatic conditions, cushion plants performed better than any other growth form by achieving higher temperature during the day and preventing rapid cooling during the night.</t>
  </si>
  <si>
    <t>[Sklenar, Petr] Charles Univ Prague, Dept Bot, Benatska 2, Prague 12801, Czech Republic; [Kucerova, Andrea] Acad Sci Czech Republ, Inst Bot, Dukelska 135, CS-37982 Trebon, Czech Republic; [Mackova, Jana] Acad Sci Czech Republ, Inst Soil Biol, Ctr Biol, Na Sadkach 7, CR-37005 Ceske Budejovice, Czech Republic; [Romoleroux, Katya] Pontificia Univ Catolica Ecuador, Escuela Ciencias Biol, Ave 12 Octubre Roca Apdo 1701, Quito 2184, Ecuador</t>
  </si>
  <si>
    <t>Charles University Prague; Czech Academy of Sciences; Institute of Botany of the Czech Academy of Sciences; Czech Academy of Sciences; Biology Centre of the Czech Academy of Sciences; Pontificia Universidad Catolica del Ecuador</t>
  </si>
  <si>
    <t>Sklenár, P (corresponding author), Charles Univ Prague, Dept Bot, Benatska 2, Prague 12801, Czech Republic.</t>
  </si>
  <si>
    <t>petr.sklenar@natur.cuni.cz</t>
  </si>
  <si>
    <t>Sklenář, Petr/IYS-5753-2023; Macková, Jana/G-2091-2014; Kucerova, Andrea/K-4937-2014</t>
  </si>
  <si>
    <t>Sklenář, Petr/0000-0003-0429-2621; Kucerova, Andrea/0000-0001-7729-1596</t>
  </si>
  <si>
    <t>Grant Agency of the Academy of Sciences, Czech Republic [IAA601110702]; Ministry of Education of the Czech Republic [MSMT 0021620828]; [RVO 67985939]</t>
  </si>
  <si>
    <t>Grant Agency of the Academy of Sciences, Czech Republic(Grant Agency of the Czech RepublicCzech Republic Government); Ministry of Education of the Czech Republic(Ministry of Education, Youth &amp; Sports - Czech Republic);</t>
  </si>
  <si>
    <t>The research was supported by the Grant Agency of the Academy of Sciences, Czech Republic (IAA601110702) and by the Ministry of Education of the Czech Republic (MSMT 0021620828). The study was part of the long-term research development project no. RVO 67985939. Hugo Navarrete (PUCE, Quito) is thanked for providing research facilities in Ecuador, and Ministerio del Ambiente is acknowledged for the research permit. Petr Macek helped in the field.</t>
  </si>
  <si>
    <t>10.1657/AAAR0014-084</t>
  </si>
  <si>
    <t>WOS:000371322100005</t>
  </si>
  <si>
    <t>Rydberg, J; Lindborg, T; Sohlenius, G; Reuss, N; Olsen, J; Laudon, H</t>
  </si>
  <si>
    <t>Rydberg, Johan; Lindborg, Tobias; Sohlenius, Gustav; Reuss, Nina; Olsen, Jesper; Laudon, Hjalmar</t>
  </si>
  <si>
    <t>The importance of eolian input on lake-sediment geochemical composition in the dry proglacial landscape of western Greenland</t>
  </si>
  <si>
    <t>ORGANIC-CARBON; ICE-SHEET; CATCHMENT; EVOLUTION; CLIMATE; RECORD; DEGLACIATION; VARIABILITY; ECOSYSTEMS; GLACIER</t>
  </si>
  <si>
    <t>In proglacial landscapes, such as western Greenland, eolian transport plays an important role for the influx of particulate material to lakes. On the basis of an analysis of a sediment profile and surface sediments from several lakes, we show that eolian activity has a strong influence on sediment deposition in time and space. Principal component analysis revealed that sediments that accumulated during periods with high eolian activity were enriched in zirconium-originating from coarse silt and sand fractions preferentially transported by wind- and depleted in rubidium. In addition, zirconium to rubidium ratios in the surface sediment of four additional lakes decreased with distance from the ice sheet. Finally, previously published data show that pH and alkalinity tend to be higher in lakes close to the front of the ice sheet, which we speculate is coupled to a larger supply of fresh eolian material. These findings demonstrate that lakes in proglacial landscapes may receive a substantial part of their sediment load through eolian deposition, and that this is especially true close to the glacial outwash plains along the ice margin.</t>
  </si>
  <si>
    <t>[Rydberg, Johan; Lindborg, Tobias; Laudon, Hjalmar] Swedish Agr Univ, Dept Forest Ecol &amp; Management, SE-90183 Umea, Sweden; [Lindborg, Tobias] Swedish Nucl Fuel &amp; Waste Management Co SKB, Box 250, SE-10124 Stockholm, Sweden; [Sohlenius, Gustav] Geol Survey Sweden SGU, POB 670, SE-75128 Uppsala, Sweden; [Reuss, Nina] Univ Copenhagen, Dept Biol, Freshwater Biol Lab, Univ Pk 4, DK-2100 Copenhagen, Denmark; [Olsen, Jesper] Aarhus Univ, Dept Phys &amp; Astron, AMS Dating Ctr 14C, Ny Munkegade 120, DK-8000 Aarhus C, Denmark</t>
  </si>
  <si>
    <t>Swedish University of Agricultural Sciences; Swedish Nuclear Fuel &amp; Waste Management Company (SKB); University of Copenhagen; Aarhus University</t>
  </si>
  <si>
    <t>Rydberg, J (corresponding author), Swedish Agr Univ, Dept Forest Ecol &amp; Management, SE-90183 Umea, Sweden.</t>
  </si>
  <si>
    <t>johan.rydberg@emg.umu.se</t>
  </si>
  <si>
    <t>Lindborg, Tobias/AAD-4423-2019; Olsen, Jesper/F-1656-2013; Laudon, Hjalmar/J-3074-2013</t>
  </si>
  <si>
    <t>Olsen, Jesper/0000-0002-4445-5520; Laudon, Hjalmar/0000-0001-6058-1466</t>
  </si>
  <si>
    <t>Swedish Nuclear Fuel and Waste Management Co. (SKB)</t>
  </si>
  <si>
    <t>This study was conducted within the Greenland analog surface project (GRASP) funded by the Swedish Nuclear Fuel and Waste Management Co. (SKB). We also thank Professor N.J.Anderson and two anonymous reviewers for providing constructive comments that significantly improved the text.</t>
  </si>
  <si>
    <t>10.1657/AAAR0015-009</t>
  </si>
  <si>
    <t>WOS:000371322100007</t>
  </si>
  <si>
    <t>Diáková, K; Biasi, C; Capek, P; Martikainen, PJ; Marushchak, ME; Patova, EN; Santruckova, H</t>
  </si>
  <si>
    <t>Diakova, Katerina; Biasi, Christina; Capek, Petr; Martikainen, Pertti J.; Marushchak, Maija E.; Patova, Elena N.; Santruckova, Hana</t>
  </si>
  <si>
    <t>Variation in N2 fixation in subarctic tundra in relation to landscape position and nitrogen pools and fluxes</t>
  </si>
  <si>
    <t>FREE-LIVING CYANOBACTERIA; ACETYLENE-REDUCTION; MICROBIAL RESPIRATION; TUSSOCK TUNDRA; SOIL BACTERIA; N2O EMISSIONS; PEAT SOIL; MINERALIZATION; VEGETATION; CARBON</t>
  </si>
  <si>
    <t>Biological N-2 fixation in high-latitude ecosystems usually exhibits low rates but can significantly contribute to the local N budget. We studied N-2 fixation in three habitats of East European subarctic tundra differing in soil N stocks and fluxes: N-limited vegetated peat plateau (PP), frost formations of bare peat called peat circles (PC) with high availability of soil N, and vegetated upland tundra (UT) with low to intermediate N-availability. Nitrogen fixation was measured at field conditions twice during summer 2011 by acetylene reduction assay, and N-2 fixation rates were verified by 15N(2) fixation assay. Response to variation in nutrients, carbon, and temperature was studied in complementary laboratory experiments. Further, we aimed to link N-2 fixation rates to N deposition and major N transformation rates (gross and net mineralization, plant N uptake) including high N2O emissions recently found from PC. We hypothesized that N2O emissions in PC were fueled partly by biologically fixed N. Contrary to that hypothesis, N-2 fixation was found solely in PP (0.01-0.76 mg N m(-2) d(-1)), where N-2 was fixed by moss-associated cyanobacteria and heterotrophic soil bacteria. The low N and high P availability corresponded with the occurrence of N-2 fixation in these soils. Nitrogen fixation represented only a small portion of plant N uptake in PP. Conversely, bare PC (as well as vegetated UT) lacked N-2 fixation and thus N2O efflux is most likely fueled by release of mineral N to the soil through internal nutrient cycling.</t>
  </si>
  <si>
    <t>[Diakova, Katerina; Capek, Petr; Santruckova, Hana] Univ South Bohemia, Dept Ecosyst Biol, Fac Sci, Branisovska 31, Ceske Budejovice 37005, Czech Republic; [Biasi, Christina; Martikainen, Pertti J.; Marushchak, Maija E.] Univ Eastern Finland, Dept Environm Sci, POB 1627, Kuopio 70211, Finland; [Patova, Elena N.] Russian Acad Sci, Urals Div, Inst Biol, Komi Res Ctr, Ul Kommunisticheskaya 28, Syktyvkar 167982, Russia</t>
  </si>
  <si>
    <t>University of South Bohemia Ceske Budejovice; University of Eastern Finland; Russian Academy of Sciences; Komi Science Centre of the Ural Branch of the Russian Academy of Sciences; Institute of Biology, Komi Scientific Centre, Ural Branch RAS</t>
  </si>
  <si>
    <t>Diáková, K; Santruckova, H (corresponding author), Univ South Bohemia, Dept Ecosyst Biol, Fac Sci, Branisovska 31, Ceske Budejovice 37005, Czech Republic.</t>
  </si>
  <si>
    <t>katka.diakova@gmail.com; hasan@prf.jcu.cz</t>
  </si>
  <si>
    <t>Santruckova, Hana/D-7365-2016; Patova, Elena E.N./O-1154-2015; Čapek, Petr/I-1518-2016; Biasi, Christina/E-1130-2013</t>
  </si>
  <si>
    <t>Čapek, Petr/0000-0001-9362-6384; Biasi, Christina/0000-0002-7413-3354; Patova, Elena/0000-0002-9418-1601; Marushchak, Maija E./0000-0002-2308-5049</t>
  </si>
  <si>
    <t>Ministry of Education, Youth, and Sports of the Czech Republic [MSM 7E10073-CryoCARB]; Academy of Finland [132045-CryoN]; Grant Agency of University of South Bohemia [GAJU 04-146/2013/P]; Nordic Center of Excellence DEFROST project; University of Eastern Finland; European Union FP7-ENV project PAGE21 [GA282700]</t>
  </si>
  <si>
    <t>Ministry of Education, Youth, and Sports of the Czech Republic(Ministry of Education, Youth &amp; Sports - Czech Republic); Academy of Finland(Research Council of Finland); Grant Agency of University of South Bohemia; Nordic Center of Excellence DEFROST project; University of Eastern Finland; European Union FP7-ENV project PAGE21</t>
  </si>
  <si>
    <t>Financial support was provided by the Ministry of Education, Youth, and Sports of the Czech Republic (MSM 7E10073-CryoCARB), the Academy of Finland (decision No. 132045-CryoN), and the Grant Agency of University of South Bohemia (GAJU 04-146/2013/P). The study was further supported by the Nordic Center of Excellence DEFROST project, by the strategic funding of the University of Eastern Finland, and the European Union FP7-ENV project PAGE21 under contract number GA282700. We wish to thank Michail Sivkov and Asko Simojoki for assistance in processing field gas samples, Jenie Gil for data and sample sharing, Ville Narhi for technical support, Sean Case for revising the language of this manuscript, and the reviewers for their constructive comments.</t>
  </si>
  <si>
    <t>10.1657/AAAR0014-064</t>
  </si>
  <si>
    <t>WOS:000371322100008</t>
  </si>
  <si>
    <t>Peng, XQ; Zhang, TJ; Cao, B; Wang, QF; Wang, K; Shao, WW; Guo, H</t>
  </si>
  <si>
    <t>Peng, Xiaoqing; Zhang, Tingjun; Cao, Bin; Wang, Qingfeng; Wang, Kang; Shao, Wanwan; Guo, Hong</t>
  </si>
  <si>
    <t>Changes in freezing-thawing index and soil freeze depth over the Heihe River Basin, western China</t>
  </si>
  <si>
    <t>ACTIVE-LAYER; VARIABILITY; PERMAFROST</t>
  </si>
  <si>
    <t>Freezing/thawing index is an important indicator of climate change, and can be used to estimate depths of the active layer and seasonally frozen ground (SFG). Using the mean monthly grid air temperature from 2000 to 2009 as well as daily air and ground surface temperatures from 12 meteorological stations across the Heihe River Basin, this study investigated spatial and temporal variability of the freezing/thawing index and seasonal soil freeze depth. The mean annual air temperature increased at a rate of 0.35 degrees C decade(-1) from 1960 to 2013, or approximately 1.9 degrees C for the 54-year period. We found that the freezing index (FI) showed a decreasing trend over the study area, while the thawing index (TI) had an increasing trend. Changes in both FI and TI are consistent with an increasing mean annual air temperature. The TI and freezing n-factor (n(f)) decrease with elevation increase, while FI and thawing n-factor (n(t)) increase with elevation. Soil potential seasonal freezing depth was primarily between 1.5 and 2.5 m in permafrost regions. However, the soil maximum freezing depth is below 2.5 m in SFG region.</t>
  </si>
  <si>
    <t>[Peng, Xiaoqing; Zhang, Tingjun; Cao, Bin; Wang, Kang; Shao, Wanwan; Guo, Hong] Lanzhou Univ, Coll Earth &amp; Environm Sci, Minist Educ, Key Lab Western Chinas Environm Syst, Lanzhou 730000, Gansu, Peoples R China; [Wang, Qingfeng] Chinese Acad Sci, Cold &amp; Arid Reg Environm &amp; Engn Res Inst, Lanzhou 730000, Gansu, Peoples R China</t>
  </si>
  <si>
    <t>Lanzhou University; Chinese Academy of Sciences; Cold &amp; Arid Regions Environmental &amp; Engineering Research Institute, CAS</t>
  </si>
  <si>
    <t>Zhang, TJ (corresponding author), Lanzhou Univ, Coll Earth &amp; Environm Sci, Minist Educ, Key Lab Western Chinas Environm Syst, Lanzhou 730000, Gansu, Peoples R China.</t>
  </si>
  <si>
    <t>tjzhang@lzu.edu.cn</t>
  </si>
  <si>
    <t>Cao, Bin/AAH-7172-2019; ZHANG, TINGJUN/AAX-3662-2020; peng, xiaoqing/ABE-1509-2021; Wang, Kang/J-7351-2019</t>
  </si>
  <si>
    <t>Cao, Bin/0000-0003-2473-2276; peng, xiaoqing/0000-0002-1789-7809; Wang, Kang/0000-0003-3416-572X; ZHANG, Tingjun/0000-0001-6974-9501</t>
  </si>
  <si>
    <t>Natural Science Foundation of China [91325202]; National Key Scientific Research Program of China [2013CBA01802]; Fundamental Research Funds for the Central Universities [lzujbky-2015-217]</t>
  </si>
  <si>
    <t>Natural Science Foundation of China(National Natural Science Foundation of China (NSFC)); National Key Scientific Research Program of China; Fundamental Research Funds for the Central Universities(Fundamental Research Funds for the Central Universities)</t>
  </si>
  <si>
    <t>This study was supported by the Natural Science Foundation of China (grant 91325202), the National Key Scientific Research Program of China (grant 2013CBA01802), and the Fundamental Research Funds for the Central Universities (grant lzujbky-2015-217). We appreciate the thoughtful suggestions and comments from two anonymous reviewers, whose comments help to improve the manuscript. The 5-km-grid air temperature, 30-m DEM, and land cover data were obtained from the Environmental and Ecological Science Data Center for West China (http://westdc.westgis.ac.cn/). We acknowledge computing resources and time at the Supercomputing Center of Cold and Arid Region Environment and Engineering Research Institute of Chinese Academy of Sciences</t>
  </si>
  <si>
    <t>10.1657/AAAR00C-13-127</t>
  </si>
  <si>
    <t>WOS:000371322100011</t>
  </si>
  <si>
    <t>Sinickas, A; Jamieson, B</t>
  </si>
  <si>
    <t>Sinickas, Alexandra; Jamieson, Bruce</t>
  </si>
  <si>
    <t>Validating the Space-Time model for infrequent snow avalanche events using field observations from the Columbia and Rocky Mountains, Canada</t>
  </si>
  <si>
    <t>RUNOUT DISTANCES; BRITISH-COLUMBIA; TREE-RINGS; FREQUENCY; HAZARD; COMBINATION; MAGNITUDE; DYNAMICS; TERRAIN; COVER</t>
  </si>
  <si>
    <t>Avalanche runout distance and return period estimates are essential to snow avalanche risk assessment for hazard mapping and mitigation design. We present a validation of the Space-Time (ST) model, a statistical model that expresses runout distance as a function of return period. The validation is based on field observations of tree damage and tree ring data of infrequent (1:5 to 1:100 year return period) avalanches from 34 paths in the Canadian Rocky and Columbia Mountains. While the ST model has been applied successfully for a longer return period (&gt;100 year) runouts in one path, our validation showed that it does not independently estimate infrequent runout distances with sufficient accuracy for hazard mapping and mitigation design. As with estimating extreme runouts, it should be used in combination with other methods. The model was found to perform differently across mountain ranges, and tended to estimate runout distance downslope of those observed in the field.</t>
  </si>
  <si>
    <t>[Sinickas, Alexandra; Jamieson, Bruce] Univ Calgary, Dept Civil Engn, 2500 Univ Dr NW, Calgary, AB T2N 1N4, Canada</t>
  </si>
  <si>
    <t>University of Calgary</t>
  </si>
  <si>
    <t>Sinickas, A (corresponding author), Univ Calgary, Dept Civil Engn, 2500 Univ Dr NW, Calgary, AB T2N 1N4, Canada.</t>
  </si>
  <si>
    <t>alexandra.sinickas@gmail.com</t>
  </si>
  <si>
    <t>National Sciences and Engineering Research Council; Parks Canada; HeliCat Canada; Canadian Avalanche Association; Mike Wiegele Helicopter Skiing; Canada West Ski Areas Association; Backcountry Lodges of British Columbia Association; Association of Canadian Mountain Guides; Teck Mining Company; Canadian Ski Guide Association; Backcountry Access; B.C. Ministry of Transportation and Infrastructure Avalanche and Weather Programs; Canadian Avalanche Foundation; Tecterra</t>
  </si>
  <si>
    <t>National Sciences and Engineering Research Council(Natural Sciences and Engineering Research Council of Canada (NSERC)); Parks Canada; HeliCat Canada; Canadian Avalanche Association; Mike Wiegele Helicopter Skiing; Canada West Ski Areas Association; Backcountry Lodges of British Columbia Association; Association of Canadian Mountain Guides; Teck Mining Company; Canadian Ski Guide Association; Backcountry Access; B.C. Ministry of Transportation and Infrastructure Avalanche and Weather Programs; Canadian Avalanche Foundation; Tecterra</t>
  </si>
  <si>
    <t>Thank you to National Sciences and Engineering Research Council, Parks Canada, HeliCat Canada, the Canadian Avalanche Association, Mike Wiegele Helicopter Skiing, Canada West Ski Areas Association, Backcountry Lodges of British Columbia Association, the Association of Canadian Mountain Guides, Teck Mining Company, the Canadian Ski Guide Association, Backcountry Access, the B.C. Ministry of Transportation and Infrastructure Avalanche and Weather Programs, the Canadian Avalanche Foundation, and Tecterra for their support of the Applied Snow and Avalanche Research group at the University of Calgary. Special thanks to Chris Argue, Andrew Mason, and Christine Sinickas for volunteering to assist with fieldwork. Thank you to David McClung, Walter Steinkogler, Katherine Johnston, and Alan Jones for in-depth discussions of the model and research approaches. Thank you to Ryan Buhler, Mike Conlan, Shane Haladuick, Simon Horton, Michael Schirmer, and Scott Thumlert for assisting with fieldwork. Thanks to the following avalanche forecasters for sharing their local knowledge: Doug Wilson, Mike Koppang, Marc Deschenes, Phil Hein, Mark Vesely, Brad White, Jim Phillips, Dave Healey, and Jay Chrysafidis. Thanks to Doug Feely and Rick Kunelius for suggesting study sites, and Lisa Larson (Teck Coal Ltd.) for providing LiDAR DEMs of the Elk Valley.</t>
  </si>
  <si>
    <t>10.1657/AAAR0014-047</t>
  </si>
  <si>
    <t>WOS:000371322100012</t>
  </si>
  <si>
    <t>Mysterud, I</t>
  </si>
  <si>
    <t>Mysterud, Ivar</t>
  </si>
  <si>
    <t>Range extensions of some boreal owl species: comments on snow cover, ice crusts, and climate change</t>
  </si>
  <si>
    <t>GREAT GREY OWLS; DYNAMICS; DETERMINANTS; NEBULOSA</t>
  </si>
  <si>
    <t>[Mysterud, Ivar] Univ Oslo, Dept Biosci, N-0316 Oslo, Norway</t>
  </si>
  <si>
    <t>University of Oslo</t>
  </si>
  <si>
    <t>Mysterud, I (corresponding author), Univ Oslo, Dept Biosci, N-0316 Oslo, Norway.</t>
  </si>
  <si>
    <t>ivar.mysterud@ibv.uio.no</t>
  </si>
  <si>
    <t>10.1657/AAAR0015-041</t>
  </si>
  <si>
    <t>WOS:000371322100014</t>
  </si>
  <si>
    <t>Rastorgueff, PA; Arnal, V; Montgelard, C; Monsanto, DM; Groenewald, CW; Haddad, WA; Dubois, MP; van Vuuren, BJ</t>
  </si>
  <si>
    <t>Rastorgueff, Pierre-Alexandre; Arnal, Veronique; Montgelard, Claudine; Monsanto, Daniela M.; Groenewald, Catharina W.; Haddad, William A.; Dubois, Marie-Pierre; van Vuuren, Bettine Jansen</t>
  </si>
  <si>
    <t>Characterization of 21 polymorphic microsatellite loci for the collembolan Cryptopygus antarcticus travei from the sub-Antarctic Prince Edward Islands</t>
  </si>
  <si>
    <t>BIOCHEMICAL SYSTEMATICS AND ECOLOGY</t>
  </si>
  <si>
    <t>Collembola; SSR; Multiplex; Marion island; Southern ocean; Springtail</t>
  </si>
  <si>
    <t>MARION ISLAND; SOUTHERN-OCEAN; PHYLOGEOGRAPHY; CLIMATE; POPULATIONS; SPRINGTAIL; REFLECTS; GENETICS</t>
  </si>
  <si>
    <t>Twenty-one microsatellite locus were characterized for the collembolan Cryptopygus antarcticus travei (Deharveng, 1981) of the sub-Antarctic Marion Island of South Africa. For the analyzed samples (67 individuals distributed in 19 populations), we observed an average of 7.2 alleles per locus, an observed and expected heterozygosity ranging from 0.104 to 0.750 and from 0.123 to 0.820, respectively. This high nuclear genetic diversity is in accordance with previous studies however based on mitochondrial data. Eventually, these microsatellite markers appear particularly useful to explore the influence of evolutionary and ecological processes, which shape the population structure of C. a. travei at different spatial scales across Marion Island and the sub-Antarctic domain. (C) 2015 Elsevier Ltd. All rights reserved.</t>
  </si>
  <si>
    <t>[Rastorgueff, Pierre-Alexandre; Montgelard, Claudine; Monsanto, Daniela M.; Groenewald, Catharina W.; Haddad, William A.; van Vuuren, Bettine Jansen] Univ Johannesburg, Dept Zool, Mol Zool Lab, Johannesburg, South Africa; [Arnal, Veronique; Montgelard, Claudine] Univ Montpellier 3, Univ Montpellier, EPHE Lab Biogeog &amp; Ecol Vertebres, CEFE,UMR 5175,CNRS, 1919 Route Mende, F-34293 Montpellier 5, France; [Dubois, Marie-Pierre] CNRS, SMGE, CEFE, UMR 5175, 1919 Route Mende, F-34293 Montpellier 5, France</t>
  </si>
  <si>
    <t>University of Johannesburg; Universite PSL; Ecole Pratique des Hautes Etudes (EPHE); Institut Agro; Montpellier SupAgro; CIRAD; Centre National de la Recherche Scientifique (CNRS); Institut de Recherche pour le Developpement (IRD); Universite Paul-Valery; Universite de Montpellier; Universite PSL; Ecole Pratique des Hautes Etudes (EPHE); Institut Agro; Montpellier SupAgro; CIRAD; Centre National de la Recherche Scientifique (CNRS); Institut de Recherche pour le Developpement (IRD); Universite Paul-Valery; Universite de Montpellier</t>
  </si>
  <si>
    <t>Rastorgueff, PA (corresponding author), Univ Johannesburg, Dept Zool, Mol Zool Lab, Johannesburg, South Africa.</t>
  </si>
  <si>
    <t>pierre-alex.rastorgueff@gmx.fr</t>
  </si>
  <si>
    <t>Jansen van Vuuren, Bettine/E-6227-2013</t>
  </si>
  <si>
    <t>Jansen van Vuuren, Bettine/0000-0002-5334-5358; ARNAL, VERONIQUE/0000-0002-4037-490X</t>
  </si>
  <si>
    <t>National Research Foundation of South Africa; South African National Antarctic Programme; Analytical Facility at the University of Johannesburg</t>
  </si>
  <si>
    <t>National Research Foundation of South Africa(National Research Foundation - South Africa); South African National Antarctic Programme; Analytical Facility at the University of Johannesburg</t>
  </si>
  <si>
    <t>This work was financially supported by the National Research Foundation of South Africa, the South African National Antarctic Programme, and the Analytical Facility at the University of Johannesburg.</t>
  </si>
  <si>
    <t>0305-1978</t>
  </si>
  <si>
    <t>1873-2925</t>
  </si>
  <si>
    <t>BIOCHEM SYST ECOL</t>
  </si>
  <si>
    <t>Biochem. Syst. Ecol.</t>
  </si>
  <si>
    <t>10.1016/j.bse.2015.12.003</t>
  </si>
  <si>
    <t>DE8MY</t>
  </si>
  <si>
    <t>WOS:000370891300020</t>
  </si>
  <si>
    <t>Schram, JB; Schoenrock, KM; McClintock, JB; Amsler, CD; Angus, RA</t>
  </si>
  <si>
    <t>Schram, Julie B.; Schoenrock, Kathryn M.; McClintock, James B.; Amsler, Charles D.; Angus, Robert A.</t>
  </si>
  <si>
    <t>Testing Antarctic resilience: the effects of elevated seawater temperature and decreased pH on two gastropod species</t>
  </si>
  <si>
    <t>climate change; growth; Margarella antarctica; Nacella concinna; net calcification; shell morphology; western Antarctic Peninsula</t>
  </si>
  <si>
    <t>LIMPET NACELLA-CONCINNA; SOUTH SHETLAND ISLANDS; KING GEORGE ISLAND; CLIMATE-CHANGE; OCEAN ACIDIFICATION; PATELLOGASTROPODA NACELLIDAE; STERECHINUS-NEUMAYERI; SUBTIDAL MACROALGAE; THERMAL TOLERANCE; FOOD AVAILABILITY</t>
  </si>
  <si>
    <t>Ocean acidification has been hypothesized to increase stress and decrease shell calcification in gastropods, particularly in cold water habitats like the western Antarctic Peninsula (WAP). There is limited information on how calcified marine benthic invertebrates in this region will respond to these rapidly changing conditions. The present study investigated the effects of elevated seawater temperature and decreased pH on growth (wet mass and shell morphometrics), net calcification, and proximate body composition (protein and lipid) of body tissues in two common benthic gastropods. Individuals of the limpet Nacella concinna and the snail Margarella antarctica collected from the WAP were exposed to seawater in one of four treatment combinations: current ambient conditions (1.5 degrees C, pH 8.0), near-future decreased pH (1.5 degrees C, pH 7.8), near-future elevated temperature (3.5 degrees C, pH 8.0), or combination of decreased pH and elevated temperature (3.5 degrees C, pH 7.8). Following a 6-week exposure, limpets showed no temperature or pH effects on whole body mass or net calcification. Despite no significant differences in whole body mass, the shell length and width of limpets at elevated temperature tended to grow less than those at ambient temperature. There was a significant interaction between the sex of limpets and pH. There were no significant temperature or pH effects on growth, net calcification, shell morphologies, or proximate body composition of snails. Our findings suggest that both gastropod species demonstrate resilience to initial exposure to temperature and pH changes predicted to occur over the next several hundred years globally and perhaps sooner along the WAP. Despite few significant impacts of elevated temperature or decreased pH, any response to either abiotic variable in species with relatively slow growth and long lifespan is of note. In particular, we detected modest impacts of reduced pH on lipid allocation in the reproductive organs of the limpet N. concinna that warrants further study.</t>
  </si>
  <si>
    <t>[Schram, Julie B.; Schoenrock, Kathryn M.; McClintock, James B.; Amsler, Charles D.; Angus, Robert A.] Univ Alabama Birmingham, Dept Biol, 1300 Univ Blvd,CH 464, Birmingham, AL 35294 USA</t>
  </si>
  <si>
    <t>Schram, JB (corresponding author), Univ Alabama Birmingham, Dept Biol, 1300 Univ Blvd,CH 464, Birmingham, AL 35294 USA.</t>
  </si>
  <si>
    <t>Schoenrock, Kathryn/0000-0002-0407-3173; Schram, Julie/0000-0002-1556-6483</t>
  </si>
  <si>
    <t>NSF from the Antarctic Organisms and Ecosystems programme [ANT-1041022]; UAB Department of Biology; Endowed Professorship in Polar and Marine Biology; Office of Polar Programs (OPP); Directorate For Geosciences [1041022] Funding Source: National Science Foundation</t>
  </si>
  <si>
    <t>NSF from the Antarctic Organisms and Ecosystems programme(National Science Foundation (NSF)NSF - Directorate for Geosciences (GEO)); UAB Department of Biology; Endowed Professorship in Polar and Marine Biology; Office of Polar Programs (OPP); Directorate For Geosciences(National Science Foundation (NSF)NSF - Directorate for Geosciences (GEO))</t>
  </si>
  <si>
    <t>The authors gratefully acknowledge the outstanding science and logistical support staff of Raytheon Polar Services Company and Antarctic Support Contract for their invaluable help and support of the United States Antarctic Program. In particular, we recognize the field and dive support provided by Nell Herrmann, Jeff Otten, Lily Glass, Paul Queior, Steve Sweet, and Neil Schiebe. Margaret Amsler and Jerry Sewell of the UAB Departments of Biology and Physics provided valuable assistance. Winfried Engl helped us to identify the Antarctic topshell snail included in the present experiment. Casey Philips provided invaluable help in the lab at UAB analysing gastropod shell morphometrics. Thanks are due to Kenan Matterson for his assistance with protein analyses. Comments provided by Jennifer Greer and Samantha Giordano helped improve this manuscript. The present study was supported by NSF award ANT-1041022 (JBM, CDA, RAA) from the Antarctic Organisms and Ecosystems programme. The UAB Department of Biology and an Endowed Professorship in Polar and Marine Biology provided additional support to JBM.</t>
  </si>
  <si>
    <t>FEB-MAR</t>
  </si>
  <si>
    <t>10.1093/icesjms/fsv233</t>
  </si>
  <si>
    <t>DF2AR</t>
  </si>
  <si>
    <t>WOS:000371142000023</t>
  </si>
  <si>
    <t>Mellin, C; Mouillot, D; Kulbicki, M; McClanahan, TR; Vigliola, L; Bradshaw, CJA; Brainard, RE; Chabanet, P; Edgar, GJ; Fordham, DA; Friedlander, AM; Parravicini, V; Sequeira, AMM; Stuart-Smith, RD; Wantiez, L; Caley, MJ</t>
  </si>
  <si>
    <t>Mellin, C.; Mouillot, D.; Kulbicki, M.; McClanahan, T. R.; Vigliola, L.; Bradshaw, C. J. A.; Brainard, R. E.; Chabanet, P.; Edgar, G. J.; Fordham, D. A.; Friedlander, A. M.; Parravicini, V.; Sequeira, A. M. M.; Stuart-Smith, R. D.; Wantiez, L.; Caley, M. J.</t>
  </si>
  <si>
    <t>Humans and seasonal climate variability threaten large-bodied coral reef fish with small ranges</t>
  </si>
  <si>
    <t>MARINE PROTECTED AREAS; EXTINCTION RISK; GLOBAL PATTERNS; HUMAN IMPACT; SIZE; ABUNDANCE; DIVERSITY; VULNERABILITY; BIODIVERSITY; PREDICTORS</t>
  </si>
  <si>
    <t>Coral reefs are among the most species-rich and threatened ecosystems on Earth, yet the extent to which human stressors determine species occurrences, compared with biogeography or environmental conditions, remains largely unknown. With ever-increasing human-mediated disturbances on these ecosystems, an important question is not only how many species can inhabit local communities, but also which biological traits determine species that can persist (or not) above particular disturbance thresholds. Here we show that human pressure and seasonal climate variability are disproportionately and negatively associated with the occurrence of large-bodied and geographically small-ranging fishes within local coral reef communities. These species are 67% less likely to occur where human impact and temperature seasonality exceed critical thresholds, such as in the marine biodiversity hotspot: the Coral Triangle. Our results identify the most sensitive species and critical thresholds of human and climatic stressors, providing opportunity for targeted conservation intervention to prevent local extinctions.</t>
  </si>
  <si>
    <t>[Mellin, C.; Caley, M. J.] Australian Inst Marine Sci, PMB 3, Townsville, Qld 4810, Australia; [Mellin, C.; Bradshaw, C. J. A.; Fordham, D. A.] Univ Adelaide, Inst Environm, Adelaide, SA 5005, Australia; [Mellin, C.; Bradshaw, C. J. A.; Fordham, D. A.] Univ Adelaide, Sch Biol Sci, Adelaide, SA 5005, Australia; [Mouillot, D.] Univ Montpellier, IRD CNRS IFREMER UM, UMR MARBEC 9190, F-34095 Montpellier, France; [Mouillot, D.; Parravicini, V.] James Cook Univ, Australian Res Council Ctr Excellence Coral Reef, Townsville, Qld 4811, Australia; [Kulbicki, M.] Univ Perpignan, LABEX Corail, UMR Entropie, Inst Rech Dev, F-66000 Perpignan, France; [McClanahan, T. R.] Wildlife Conservat Soc, Marine Programs, Bronx, NY 10460 USA; [Vigliola, L.] Inst Rech Dev, UMR Entropie, LABEX Corail, BP A5, Noumea 98848, New Caledonia; [Brainard, R. E.] NOAA, Natl Marine Fisheries Serv, Pacific Isl Fisheries Sci Ctr, 1125B Ala Moana Blvd, Honolulu, HI 96814 USA; [Chabanet, P.] IRD, UMR Entropie, LABEX Corail, BP 50172,CS 41095, FR-97495 Ste Clotilde, Reunion, France; [Edgar, G. J.; Stuart-Smith, R. D.] Univ Tasmania, Inst Marine &amp; Antarctic Studies, Private Bag 49, Hobart, Tas 7001, Australia; [Friedlander, A. M.] Natl Geog Soc, Pristine Seas, Washington, DC 20036 USA; [Friedlander, A. M.] Univ Hawaii Manoa, Fisheries Ecol Res Lab, Honolulu, HI USA; [Parravicini, V.] Fdn Rech Biodiversite, Ctr Synth &amp; Anal Biodiversite, F-13100 Aix En Provence, France; [Parravicini, V.] Univ Perpignan, LABEX Corail, USR CNRS EPHE UPVD 3278, CRIOBE, F-66860 Perpignan, France; [Sequeira, A. M. M.] Univ Western Australia, Sch Anim Biol, IOMRC, M470,35 Stirling Highway, Crawley, WA 6009, Australia; [Sequeira, A. M. M.] Univ Western Australia, Sch Anim Biol, UWA Oceans Inst, M470,35 Stirling Highway, Crawley, WA 6009, Australia; [Sequeira, A. M. M.] Univ Western Australia, Ctr Marine Futures, M470,35 Stirling Highway, Crawley, WA 6009, Australia; [Wantiez, L.] Univ New Caledonia, Res Unit LIVE EA4243, Noumea, New Caledonia</t>
  </si>
  <si>
    <t>Australian Institute of Marine Science; University of Adelaide; University of Adelaide; Ifremer; Universite de Montpellier; James Cook University; Institut de Recherche pour le Developpement (IRD); Universite Perpignan Via Domitia; Wildlife Conservation Society; Institut de Recherche pour le Developpement (IRD); National Aeronautics &amp; Space Administration (NASA); National Oceanic Atmospheric Admin (NOAA) - USA; Institut de Recherche pour le Developpement (IRD); University of Tasmania; National Geographic Society; University of Hawaii System; University of Hawaii Manoa; Universite Perpignan Via Domitia; Universite PSL; Ecole Pratique des Hautes Etudes (EPHE); Centre National de la Recherche Scientifique (CNRS); CNRS - Institute of Ecology &amp; Environment (INEE); University of Western Australia; University of Western Australia; University of Western Australia; Universite Nouvelle Caledonie</t>
  </si>
  <si>
    <t>Mellin, C (corresponding author), Australian Inst Marine Sci, PMB 3, Townsville, Qld 4810, Australia.;Mellin, C (corresponding author), Univ Adelaide, Inst Environm, Adelaide, SA 5005, Australia.;Mellin, C (corresponding author), Univ Adelaide, Sch Biol Sci, Adelaide, SA 5005, Australia.</t>
  </si>
  <si>
    <t>camille.mellin@adelaide.edu.au</t>
  </si>
  <si>
    <t>Edgar, Graham/AAY-3797-2020; Mellin, Camille/X-9161-2019; Sequeira, Ana M M/AAE-9741-2021; Stuart-Smith, Rick D/M-1829-2013; Chabanet, Pascale/L-9470-2017; Stuart-Smith, Rick/I-5214-2019; Vigliola, Laurent/J-7107-2016; Mellin, Camille/AAB-1768-2019; Wantiez, Laurent/L-3343-2013; Bradshaw, Corey J. A./A-1311-2008; Parravicini, Valeriano/A-8539-2011; Fordham, Damien/E-9255-2013</t>
  </si>
  <si>
    <t>Edgar, Graham/0000-0003-0833-9001; Mellin, Camille/0000-0002-7369-2349; Sequeira, Ana M M/0000-0001-6906-799X; Stuart-Smith, Rick D/0000-0002-8874-0083; Stuart-Smith, Rick/0000-0002-8874-0083; Vigliola, Laurent/0000-0003-4715-7470; Mellin, Camille/0000-0002-7369-2349; Wantiez, Laurent/0000-0001-5024-2057; Bradshaw, Corey J. A./0000-0002-5328-7741; Fordham, Damien/0000-0003-2137-5592; Chabanet, Pascale/0000-0001-7600-943X; Parravicini, Valeriano/0000-0002-3408-1625</t>
  </si>
  <si>
    <t>ARC Grant [DE140100701]; Indian Ocean Marine Research Centre; Australian Government's National Environmental Research Program (NERP); European Development Funds (EDF); Western Indian Ocean Marine Science Association (WIOMSA); John D. and Catherine T. MacArthur Foundation; Fondation pour la Recherche en Biodiversite (FRB) within the CESAB structure; Australian Research Council [DE140100701] Funding Source: Australian Research Council</t>
  </si>
  <si>
    <t>ARC Grant(Australian Research Council); Indian Ocean Marine Research Centre; Australian Government's National Environmental Research Program (NERP)(Australian Government); European Development Funds (EDF); Western Indian Ocean Marine Science Association (WIOMSA); John D. and Catherine T. MacArthur Foundation; Fondation pour la Recherche en Biodiversite (FRB) within the CESAB structure(Fondation pour la Recherche Medicale); Australian Research Council(Australian Research Council)</t>
  </si>
  <si>
    <t>We thank C. Mora, B. Halpern and A. MacNeil for sharing ideas, and many staff from the authors' institutions for contributing to data collection, in particular R. Galzin and M. Harmelin-Vivien. CM was funded by an ARC Grant (DE140100701). AMMS was supported by a Collaborative Post-doctoral Fellowship (AIMS, CSIRO and UWA) from the Indian Ocean Marine Research Centre. This work was done within the Marine Biodiversity Hub, a collaborative partnership supported through funding from the Australian Government's National Environmental Research Program (NERP) (www.nerpmarine.edu.au). The PROCFish data set was collected under the COFish and PROCFish-C programs implemented by the Secretariat of the Pacific Community (SPC) through funding by European Development Funds (EDF). TRM and the Western Indian Ocean data collection were supported by the Western Indian Ocean Marine Science Association (WIOMSA) and the John D. and Catherine T. MacArthur Foundation. Life-history traits and species distributions were accessed through the GASPAR programme financed by the Fondation pour la Recherche en Biodiversite (FRB) within the CESAB structure.</t>
  </si>
  <si>
    <t>10.1038/ncomms10491</t>
  </si>
  <si>
    <t>DF0EP</t>
  </si>
  <si>
    <t>Green Submitted, Green Published, gold, Green Accepted</t>
  </si>
  <si>
    <t>WOS:000371012100003</t>
  </si>
  <si>
    <t>Purich, A; Cai, WJ; England, MH; Cowan, T</t>
  </si>
  <si>
    <t>Purich, Ariaan; Cai, Wenju; England, Matthew H.; Cowan, Tim</t>
  </si>
  <si>
    <t>Evidence for link between modelled trends in Antarctic sea ice and underestimated westerly wind changes</t>
  </si>
  <si>
    <t>SOUTHERN ANNULAR MODE; CMIP5 MODELS; OVERTURNING CIRCULATION; DECADAL CHANGES; OCEAN; VARIABILITY; ATMOSPHERE; EXTENT; CONVECTION; REANALYSIS</t>
  </si>
  <si>
    <t>Despite global warming, total Antarctic sea ice coverage increased over 1979-2013. However, the majority of Coupled Model Intercomparison Project phase 5 models simulate a decline. Mechanisms causing this discrepancy have so far remained elusive. Here we show that weaker trends in the intensification of the Southern Hemisphere westerly wind jet simulated by the models may contribute to this disparity. During austral summer, a strengthened jet leads to increased upwelling of cooler subsurface water and strengthened equatorward transport, conducive to increased sea ice. As the majority of models underestimate summer jet trends, this cooling process is underestimated compared with observations and is insufficient to offset warming in the models. Through the sea ice-albedo feedback, models produce a high -latitude surface ocean warming and sea ice decline, contrasting the observed net cooling and sea ice increase. A realistic simulation of observed wind changes may be crucial for reproducing the recent observed sea ice increase.</t>
  </si>
  <si>
    <t>[Purich, Ariaan; Cai, Wenju; Cowan, Tim] CSIRO Oceans &amp; Atmosphere, Aspendale, Vic 3195, Australia; [Purich, Ariaan; England, Matthew H.] Univ New S Wales, Climate Change Res Ctr, Sydney, NSW 2052, Australia; [Purich, Ariaan; England, Matthew H.] Univ New S Wales, ARC Ctr Excellence Climate Syst Sci, Sydney, NSW 2052, Australia; [Cowan, Tim] Univ Edinburgh, Sch Geosci, Edinburgh EH9 3FE, Midlothian, Scotland</t>
  </si>
  <si>
    <t>Commonwealth Scientific &amp; Industrial Research Organisation (CSIRO); University of New South Wales Sydney; ARC Centre of Excellence for Climate System Science; University of New South Wales Sydney; University of Edinburgh</t>
  </si>
  <si>
    <t>Purich, A (corresponding author), CSIRO Oceans &amp; Atmosphere, Aspendale, Vic 3195, Australia.;Purich, A (corresponding author), Univ New S Wales, Climate Change Res Ctr, Sydney, NSW 2052, Australia.;Purich, A (corresponding author), Univ New S Wales, ARC Ctr Excellence Climate Syst Sci, Sydney, NSW 2052, Australia.</t>
  </si>
  <si>
    <t>ariaan.purich@csiro.au</t>
  </si>
  <si>
    <t>England, Matthew/A-7539-2011; Cowan, Timothy D/AAA-7372-2019; Cai, Wenju/C-2864-2012</t>
  </si>
  <si>
    <t>England, Matthew/0000-0001-9696-2930; Cowan, Timothy D/0000-0002-8376-4879; Cai, Wenju/0000-0001-6520-0829; Purich, Ariaan/0000-0003-2248-5937</t>
  </si>
  <si>
    <t>CSIRO Oceans and Atmosphere; Australian Research Council (ARC); ARC Centre of Excellence in Climate System Science; Australian Postgraduate Award; CSIRO Office of the Chief Executive Science Leader scholarship; Australian Climate Change Science Programme; CSIRO Office of the Chief Executive Science Leader award; ARC Laureate Fellowship</t>
  </si>
  <si>
    <t>CSIRO Oceans and Atmosphere; Australian Research Council (ARC)(Australian Research Council); ARC Centre of Excellence in Climate System Science(Australian Research Council); Australian Postgraduate Award(Australian Government); CSIRO Office of the Chief Executive Science Leader scholarship; Australian Climate Change Science Programme; CSIRO Office of the Chief Executive Science Leader award; ARC Laureate Fellowship(Australian Research Council)</t>
  </si>
  <si>
    <t>This work was supported by CSIRO Oceans and Atmosphere, and the Australian Research Council (ARC) including the ARC Centre of Excellence in Climate System Science. A.P. was supported by an Australian Postgraduate Award and a CSIRO Office of the Chief Executive Science Leader scholarship. W.C. was supported by the Australian Climate Change Science Programme and a CSIRO Office of the Chief Executive Science Leader award. M.H.E. was supported by an ARC Laureate Fellowship. We thank Steve Rintoul for the thumbnail image. We acknowledge the World Climate Research Programme's Working Group on Coupled Modelling, which is responsible for CMIP, and thank the climate modelling groups (listed in Fig. 2 of this paper) for producing and making available their model output.</t>
  </si>
  <si>
    <t>10.1038/ncomms10409</t>
  </si>
  <si>
    <t>DF1XK</t>
  </si>
  <si>
    <t>WOS:000371132700001</t>
  </si>
  <si>
    <t>Li, ZJ; Li, RL; Wang, ZP; Haas, C; Dieckmann, G</t>
  </si>
  <si>
    <t>Li Zhijun; Li Runling; Wang Zipan; Haas, Christian; Dieckmann, Gerhard</t>
  </si>
  <si>
    <t>Upper limits for chlorophyll a changes with brine volume in sea ice during the austral spring in the Weddell Sea, Antarctica</t>
  </si>
  <si>
    <t>Antarctic; brine volume; chlorophyll a; ice crystal; mode; sea ice</t>
  </si>
  <si>
    <t>ARCTIC-OCEAN; ALGAE; COMMUNITIES; LIGHT</t>
  </si>
  <si>
    <t>During the winter and spring of 2006, we investigated the sea ice physics and marine biology in the northwest Weddell Sea, Antarctica aboard R/V Polarstern. We determined the texture of each ice core and 71 ice crystal thin sections from 27 ice cores. We analyzed 393 ice cores, their temperatures, 348 block density and salinity samples, and 311 chlorophyll a (Chl a) and phaeophytin samples along the cruise route during the investigation. Based on the vertical distributions of 302 groups of data for the ice porosity and Chl a content in the ice at the same position, we obtained new evidence that ice physical parameters influence the Chl a content in ice. We collected snow and ice thickness data, and established the effects of the snow and ice thickness on the Chl a blooms under the ice, as well as the relationships between the activity of ice algae cells and the brine volume in ice according to the principle of environmental control of the ecological balance. We determined the upper limits for Chl a in the brine volume of granular and columnar ice in the Antarctica, thereby demonstrating the effects of ice crystals on brine drainage, and the contributions of the physical properties of sea ice to Chl a blooms near the ice bottom and on the ice-water interface in the austral spring. Moreover, we found that the physical properties of sea ice affect ice algae and they are key control elements that modulate marine phytoplankton blooms in the ice-covered waters around Antarctica.</t>
  </si>
  <si>
    <t>[Li Zhijun; Li Runling] Dalian Univ Technol, State Key Lab Coastal &amp; Offshore Engn, Dalian 116024, Peoples R China; [Wang Zipan] State Ocean Adm, Inst Oceanog 2, Hangzhou 310012, Zhejiang, Peoples R China; [Haas, Christian] York Univ, Dept Earth &amp; Space Sci &amp; Engn, Toronto, ON M3J 1P3, Canada; [Dieckmann, Gerhard] Alfred Wegener Inst, Helmholtz Ctr Polar &amp; Marine Res, D-27570 Bremerhaven, Germany</t>
  </si>
  <si>
    <t>Dalian University of Technology; York University - Canada; Helmholtz Association; Alfred Wegener Institute, Helmholtz Centre for Polar &amp; Marine Research</t>
  </si>
  <si>
    <t>Li, ZJ (corresponding author), Dalian Univ Technol, State Key Lab Coastal &amp; Offshore Engn, Dalian 116024, Peoples R China.</t>
  </si>
  <si>
    <t>lizhijun@dlut.edu.cn</t>
  </si>
  <si>
    <t>Li, Zhijun/A-5299-2019; Haas, Christian/L-5279-2016</t>
  </si>
  <si>
    <t>Li, Zhijun/0000-0002-2897-0450; Haas, Christian/0000-0002-7674-3500</t>
  </si>
  <si>
    <t>National Natural Science Foundation of China [51221961, 41376186]; Chinese Arctic and Antarctic Administration for expedition and external cooperation foundations [IC201209]; foundation of State Key Laboratory of Coastal and Offshore Engineering, Dalian University of Technology, China [SL14-5-3]</t>
  </si>
  <si>
    <t>National Natural Science Foundation of China(National Natural Science Foundation of China (NSFC)); Chinese Arctic and Antarctic Administration for expedition and external cooperation foundations; foundation of State Key Laboratory of Coastal and Offshore Engineering, Dalian University of Technology, China</t>
  </si>
  <si>
    <t>Foundation item: The National Natural Science Foundation of China under contract Nos 51221961 and 41376186; Chinese Arctic and Antarctic Administration for expedition and external cooperation foundations under contract No. IC201209; the foundation of State Key Laboratory of Coastal and Offshore Engineering, Dalian University of Technology, China under contract No. SL14-5-3.</t>
  </si>
  <si>
    <t>10.1007/s13131-015-0740-6</t>
  </si>
  <si>
    <t>DE4QM</t>
  </si>
  <si>
    <t>WOS:000370614700008</t>
  </si>
  <si>
    <t>Narcisi, B; Petit, JR; Langone, A; Stenni, B</t>
  </si>
  <si>
    <t>Narcisi, Biancamaria; Petit, Jean Robert; Langone, Antonio; Stenni, Barbara</t>
  </si>
  <si>
    <t>A new Eemian record of Antarctic tephra layers retrieved from the Talos Dome ice core (Northern Victoria Land)</t>
  </si>
  <si>
    <t>Tephra layers; Antarctic ice cores; Last Interglacial; Glass shard microanalysis; Tephrostratigraphy; Northern Victoria Land volcanism</t>
  </si>
  <si>
    <t>EAST ANTARCTICA; VOLCANIC ACTIVITY; WEST ANTARCTICA; SIPLE-DOME; EXPLOSIVE ERUPTIONS; CHRONOLOGY AICC2012; FRONTIER MOUNTAIN; EREBUS VOLCANO; AEOLIAN DUST; ROSS SEA</t>
  </si>
  <si>
    <t>Polar ice sheets are remarkable repositories of tephra layers. The Talos Dome ice core (72 degrees 49'5, 159 degrees 11'E), drilled at the edge of the East Antarctic Plateau, close to Late Quaternary volcanoes, offers considerable potential to extend the current tephra time-stratigraphic framework. A tephrochronological study was undertaken of the ice core sections related to the Last Interglacial and the transition to the subsequent glacial period. Thirteen macroscopically visible layers, interpreted to be related to primary deposition of fallout tephra, have been analysed for quantitative grain size and glass shard geochemistry. The layers, precisely framed within the climate (6180) record for the core, span in age from 111.6 +/- 1.9 to 123.3 +/- 22 ka. Coarse particle size suggests origin from regional sources. Indeed, the vast majority of the samples display an alkaline affinity and trachytic composition that are both typical geochemical features of rifting Antarctic volcanism. Using subtle differences in the geochemical signatures and the comparison with data from previous studies, a few layers are attributed to known coeval Mt. Melbourne eruptions. Another sample subset is consistent with derivation from The Pleiades and Mt. Rittmann volcanoes. One peculiar trachytic glass population appears to be related to activity of the more distant Marie Byrd land volcanoes. The newly detected tephras provide stratigraphic markers that could facilitate future synchronisation and dating of palaeoclimatic records. The Talos Dome tephra inventory also contributes significantly to the reconstruction of the Northern Victoria Land explosive volcanism, for which chronostratigraphic data for the last Interglacial temporal segment are poor. (C) 2015 Elsevier B.V. All rights reserved.</t>
  </si>
  <si>
    <t>[Narcisi, Biancamaria] ENEA, CR Casaccia, Rome, Italy; [Petit, Jean Robert] CNRS UJF, LGGE, Grenoble, France; [Langone, Antonio] UOS Pavia, IGG CNR, Pavia, Italy; [Stenni, Barbara] Univ Ca Foscari, Venice, Italy</t>
  </si>
  <si>
    <t>Italian National Agency New Technical Energy &amp; Sustainable Economics Development; Centre National de la Recherche Scientifique (CNRS); Communaute Universite Grenoble Alpes; Universite Grenoble Alpes (UGA); Consiglio Nazionale delle Ricerche (CNR); Istituto di Geoscienze e Georisorse (IGG-CNR); Universita Ca Foscari Venezia</t>
  </si>
  <si>
    <t>Narcisi, B (corresponding author), ENEA, CR Casaccia, Rome, Italy.</t>
  </si>
  <si>
    <t>biancamaria.narcisi@enea.it; petit@lgge.obs.ujf-grenoble.fr; langone@crystal.unipv.it; barbara.stenni@unive.it</t>
  </si>
  <si>
    <t>Langone, Antonio/HLQ-1346-2023</t>
  </si>
  <si>
    <t>Langone, Antonio/0000-0002-7346-2922; Stenni, Barbara/0000-0003-4950-3664</t>
  </si>
  <si>
    <t>Italy; France; Germany; Switzerland; United Kingdom; Italian Programma Nazionale di Ricerche in Antartide (PNRA)</t>
  </si>
  <si>
    <t>TALos Dome Ice CorE (TALDICE) is a joint European programme lead by Italy and funded by national contributions from Italy, France, Germany, Switzerland and the United Kingdom. This work was funded by the Italian Programma Nazionale di Ricerche in Antartide (PNRA). We thank the logistic and drilling TALDICE team, M. Tonelli (CIGS, Modena), V. Batanova and V. Magnin (ISTerre, Grenoble) for assistance during tephra preparation and microanalysis. Thanks are also due to P. Shane (University of Auckland, Auckland) for his useful advice and to the reviewers for their thoughtful comments. This is TALDICE publication no? 42.</t>
  </si>
  <si>
    <t>10.1016/j.gloplacha.2015.12.016</t>
  </si>
  <si>
    <t>DE2JX</t>
  </si>
  <si>
    <t>WOS:000370454700006</t>
  </si>
  <si>
    <t>Kocot, KM; Jeffery, N; Mulligan, K; Halanych, KM; Gregory, TR</t>
  </si>
  <si>
    <t>Kocot, Kevin M.; Jeffery, NicholasW.; Mulligan, Kelly; Halanych, Kenneth M.; Gregory, T. Ryan</t>
  </si>
  <si>
    <t>Genome size estimates for Aplacophora, Polyplacophora and Scaphopoda: small solenogasters and sizeable scaphopods</t>
  </si>
  <si>
    <t>JOURNAL OF MOLLUSCAN STUDIES</t>
  </si>
  <si>
    <t>CHITON; EVOLUTION; MOLLUSKS</t>
  </si>
  <si>
    <t>[Kocot, Kevin M.] Univ Queensland, Sch Biol Sci, Brisbane, Qld 4072, Australia; [Jeffery, NicholasW.; Mulligan, Kelly; Gregory, T. Ryan] Univ Guelph, Dept Integrat Biol, Guelph, ON N1G 2W1, Canada; [Halanych, Kenneth M.] Auburn Univ, Dept Biol Sci, Auburn, AL 36849 USA; [Halanych, Kenneth M.] Auburn Univ, Molette Biol Lab Environm &amp; Climate Change Studie, Auburn, AL 36849 USA</t>
  </si>
  <si>
    <t>University of Queensland; University of Guelph; Auburn University System; Auburn University; Auburn University System; Auburn University</t>
  </si>
  <si>
    <t>Kocot, KM (corresponding author), Univ Queensland, Sch Biol Sci, Brisbane, Qld 4072, Australia.</t>
  </si>
  <si>
    <t>k.kocot@uq.edu.au</t>
  </si>
  <si>
    <t>Kocot, Kevin/K-9087-2016; Gregory, T. Ryan/JHS-5149-2023; Halanych, Ken M/A-9480-2009; Jeffery, Nicholas W/J-5859-2019</t>
  </si>
  <si>
    <t>Jeffery, Nicholas W/0000-0003-4242-5712</t>
  </si>
  <si>
    <t>U.S. National Science Foundation International Postdoctoral Fellowship [DBI-1306538]; National Science and Engineering Research Council (NSERC) Canada; National Science Foundation [ANT-1043745, OPP-0338218]</t>
  </si>
  <si>
    <t>U.S. National Science Foundation International Postdoctoral Fellowship(National Science Foundation (NSF)); National Science and Engineering Research Council (NSERC) Canada(Natural Sciences and Engineering Research Council of Canada (NSERC)); National Science Foundation(National Science Foundation (NSF))</t>
  </si>
  <si>
    <t>KMK was supported by a U.S. National Science Foundation International Postdoctoral Fellowship (DBI-1306538). NWJ and TRG were supported by a National Science and Engineering Research Council (NSERC) Canada Graduate Scholarship and Discovery Grant, respectively. Collection of Antarctic specimens was supported by National Science Foundation Grants (ANT-1043745 and OPP-0338218). We thank Akiko Okusu for providing the specimen of Epimenia babai and Christiane Todt for identifying our specimen of Neomenia permagna. We thank four anonymous reviewers for providing feedback that helped us improve this manuscript. This work represents contributions no. 135 to the Auburn University Marine Biology Program and no. 43 to the Auburn University Molette Biology Laboratory for Environmental and Climate Change Studies.</t>
  </si>
  <si>
    <t>0260-1230</t>
  </si>
  <si>
    <t>1464-3766</t>
  </si>
  <si>
    <t>J MOLLUS STUD</t>
  </si>
  <si>
    <t>J. Molluscan Stud.</t>
  </si>
  <si>
    <t>10.1093/mollus/eyv054</t>
  </si>
  <si>
    <t>DE0FU</t>
  </si>
  <si>
    <t>WOS:000370301100027</t>
  </si>
  <si>
    <t>Papetti, C; Windisch, HS; La Mesa, M; Lucassen, M; Marshall, C; Lamare, MD</t>
  </si>
  <si>
    <t>Papetti, Chiara; Windisch, Heidrun S.; La Mesa, Mario; Lucassen, Magnus; Marshall, Craig; Lamare, Miles D.</t>
  </si>
  <si>
    <t>Non-Antarctic notothenioids: Past phylogenetic history and contemporary phylogeographic implications in the face of environmental changes</t>
  </si>
  <si>
    <t>Sub-Antarctic; Cryonotothenioidea; Pseudaphritidae; Eleginopsidae; Bovichtidae; Global warming</t>
  </si>
  <si>
    <t>FISH ELEGINOPS-MACLOVINUS; SENSE ORGAN ANATOMY; TRISTAN-DA-CUNHA; CLIMATE-CHANGE; LIFE-HISTORY; GENE FLOW; TRANSCRIPTOME; PERCIFORMES; COLD; ANTIFREEZE</t>
  </si>
  <si>
    <t>The non-Antarctic Notothenioidei families, Bovichtidae, Pseudaphritidae and Eleginopsidae, diverged early from the main notothenioid lineage. They are important in clarifying the early evolutionary processes that triggered notothenioid evolution in the Antarctic. The early-diverged group represents 8% of all notothenioid species and never established themselves on the Antarctic shelf. Most attention has been paid to the Antarctic notothenioids and their limited physiological tolerance to climate change and increased temperatures. In this review, we discuss key life history traits that are characteristic of the non-Antarctic early-diverged notothenioid taxa as well as the genetic resources and population differentiation information available for this group. We emphasise the population fitness and dynamics of these species and indicate how resource management and conservation of the group can be strengthened through an integrative approach. Both Antarctic waters and the non-Antarctic regions face rapid temperature rises combined with strong anthropogenic exploitation. While it is expected that early-diverged notothenioid species may have physiological advantages over high Antarctic species, it is difficult to predict how climate changes might alter the geographic range, behaviour, phenology and ultimately genetic variability of these species. It is possible, however, that their high degree of endemism and dependence on local environmental specificities to complete their life cycles might enhance their vulnerability. (C) 2015 Elsevier B.V. All rights reserved.</t>
  </si>
  <si>
    <t>[Papetti, Chiara; Lucassen, Magnus] Alfred Wegener Inst Polar &amp; Marine Res, Sect Integrat Ecophysiol, Handelshafen 12, D-27570 Bremerhaven, Germany; [Windisch, Heidrun S.] Univ Dusseldorf, Inst Cell Biol &amp; Zool, Univ Str 1, D-40225 Dusseldorf, Germany; [La Mesa, Mario] Ist Sci Marine, ISMAR CNR, I-60125 Ancona, Italy; [Marshall, Craig] Univ Otago, Dept Biochem &amp; Genet, POB 56, Dunedin 9054, New Zealand; [Lamare, Miles D.] Univ Otago, Dept Marine Sci, POB 56, Dunedin 9054, New Zealand</t>
  </si>
  <si>
    <t>Helmholtz Association; Alfred Wegener Institute, Helmholtz Centre for Polar &amp; Marine Research; Heinrich Heine University Dusseldorf; Consiglio Nazionale delle Ricerche (CNR); Istituto di Scienze Marine (ISMAR-CNR); University of Otago; University of Otago</t>
  </si>
  <si>
    <t>Papetti, C (corresponding author), Alfred Wegener Inst Polar &amp; Marine Res, Sect Integrat Ecophysiol, Handelshafen 12, D-27570 Bremerhaven, Germany.</t>
  </si>
  <si>
    <t>chiara.papetti@awi.de; Heidrun.Windisch@hhu.de; mario.lamesa@an.ismar.cnr.it; magnus.lucassen@awi.de; craig.marshall@otago.ac.nz; miles.lamare@otago.ac.nz</t>
  </si>
  <si>
    <t>Lucassen, Magnus/ABA-8396-2021; Windisch, Heidrun S/H-9505-2014; Marshall, Craig J./C-6668-2009; Lucassen, Magnus/E-8433-2011</t>
  </si>
  <si>
    <t>Lucassen, Magnus/0000-0003-4276-4781; Marshall, Craig J./0000-0003-4186-0368; Lamare, Miles/0000-0001-8656-7240; Papetti, Chiara/0000-0002-4567-459X</t>
  </si>
  <si>
    <t>European Marie Curie project Polarexpress [622320]; New Zealand Antarctic Research Institute</t>
  </si>
  <si>
    <t>European Marie Curie project Polarexpress(European Union (EU)Marie Curie Actions); New Zealand Antarctic Research Institute</t>
  </si>
  <si>
    <t>We are very grateful to Cinzia Verde for inviting this review. We also acknowledge the valuable comments of FC Mark and JA Caccavo on an early paper draft. This work was supported by the European Marie Curie project Polarexpress grant n. 622320 to CP, and by New Zealand Antarctic Research Institute for MDL. This paper is a contribution to the research programme PACES II, Topic 1, workpackage 6 of the Alfred Wegener Institute, Helmholtz Centre for Polar and Marine Research (AWI). Funding bodies had no role in the writing of the manuscript or in the decision to submit the manuscript for publication.</t>
  </si>
  <si>
    <t>10.1016/j.margen.2015.11.007</t>
  </si>
  <si>
    <t>DE2LR</t>
  </si>
  <si>
    <t>WOS:000370459300001</t>
  </si>
  <si>
    <t>Rong, JC; Liu, M; Li, Y; Sun, TY; Xie, BB; Shi, M; Chen, XL; Qin, QL</t>
  </si>
  <si>
    <t>Rong, Jin-Cheng; Liu, Min; Li, Yi; Sun, Tian-Yong; Xie, Bin-Bin; Shi, Mei; Chen, Xiu-Lan; Qin, Qi-Long</t>
  </si>
  <si>
    <t>Insight into the genome sequence of a sediment-adapted marine bacterium Neptunomonas antarctica S3-22T from Antarctica</t>
  </si>
  <si>
    <t>Neptunomonas antarctica; Marine sediment; Antarctica; Metabolic features</t>
  </si>
  <si>
    <t>POLYCYCLIC AROMATIC-HYDROCARBONS; DISSIMILATORY NITRATE REDUCTION; ALIPHATIC-HYDROCARBONS; SP NOV.; COLD; ADJACENT; GULF</t>
  </si>
  <si>
    <t>Neptunomonas antarctica S3-22(T). was isolated from marine sediment of the Nella Fjord, Antarctica. Here we report the draft genome sequence of N. antarctica, which comprises 4,568,828 bp with a mean G + C content of 45.7%. We found numerous genes related to resistance, motility and chemotaxis, nitrogen metabolism, aromatic compound metabolism and stress response. These metabolic features and related genes revealed genetic basis for the adaptation to the marine sediment environment in Antarctica. The genome sequence of N. antarctica S3-22(T). may also provide further insights into the ecological role of the genus Neptunomonas. (C) 2015 Elsevier B.V. All rights reserved.</t>
  </si>
  <si>
    <t>[Rong, Jin-Cheng; Liu, Min; Li, Yi; Sun, Tian-Yong; Xie, Bin-Bin; Shi, Mei; Chen, Xiu-Lan; Qin, Qi-Long] Shandong Univ, State Key Lab Microbial Technol, Marine Biotechnol Res Ctr, Jinan 250100, Peoples R China</t>
  </si>
  <si>
    <t>Qin, QL (corresponding author), Shandong Univ, State Key Lab Microbial Technol, Marine Biotechnol Res Ctr, Jinan 250100, Peoples R China.</t>
  </si>
  <si>
    <t>qinqilong@sdu.edu.cn</t>
  </si>
  <si>
    <t>Rong, Jin-Cheng/JRW-4323-2023; liu, peiyao/KFT-1810-2024; sun, jiamin/JPY-2155-2023</t>
  </si>
  <si>
    <t>National Science Foundation of China [31470001, 31470541, 31370056, 41276149]; Hi-Tech Research and Development Program of China [2012AA092105, 2014AA093509]; Fundamental Research Funds of Shandong University [2014QY006, 2015JC001]; 29th and 31th Chinese National Antarctic Research Expedition [2012GW04004, 2014GW07007]</t>
  </si>
  <si>
    <t>National Science Foundation of China(National Natural Science Foundation of China (NSFC)); Hi-Tech Research and Development Program of China(National High Technology Research and Development Program of China); Fundamental Research Funds of Shandong University; 29th and 31th Chinese National Antarctic Research Expedition</t>
  </si>
  <si>
    <t>The work was supported by the National Science Foundation of China (grants 31470001, 31470541, 31370056 and 41276149), the Hi-Tech Research and Development Program of China (grants 2012AA092105 and 2014AA093509), the Fundamental Research Funds of Shandong University (2014QY006, 2015JC001) and the 29th and 31th Chinese National Antarctic Research Expedition (Project No.: 2012GW04004, 2014GW07007).</t>
  </si>
  <si>
    <t>10.1016/j.margen.2015.11.006</t>
  </si>
  <si>
    <t>WOS:000370459300007</t>
  </si>
  <si>
    <t>Simmons, CT; Matthews, HD; Mysak, LA</t>
  </si>
  <si>
    <t>Simmons, C. T.; Matthews, H. D.; Mysak, L. A.</t>
  </si>
  <si>
    <t>Deglacial climate, carbon cycle and ocean chemistry changes in response to a terrestrial carbon release</t>
  </si>
  <si>
    <t>Earth system modeling; Deglacial carbon cycle; Alkalinity; Permafrost; Glacial-interglacial change; Carbon dioxide</t>
  </si>
  <si>
    <t>ATMOSPHERIC CO2; INTERMEDIATE COMPLEXITY; ISOTOPE CONSTRAINTS; ANTARCTIC ICE; TAYLOR-DOME; DEEP-SEA; HOLOCENE; MODEL; CIRCULATION; ATLANTIC</t>
  </si>
  <si>
    <t>Researchers have proposed that a significant portion of the post-glacial rise in atmospheric CO2 could be due to the respiration of permafrost carbon stocks that formed over the course of glaciation. In this paper, we used the University of Victoria Earth System Climate Model v. 2.9 to simulate the deglacial and interglacial carbon cycle from the last glacial maximum to the present. The model's sensitivity to mid and high latitude terrestrial carbon storage is evaluated by including a 600 Pg C carbon pool parameterized to respire in concert with decreases in ice sheet surface area. The respiration of this stored carbon during the early stages of deglaciation had a large effect on the carbon cycle in these simulations, allowing atmospheric CO2 to increase by 40 ppmv in the model, with an additional 20 ppmv increase occurring in the case of a more realistic, prescribed CO2 radiative warming. These increases occurred prior to large-scale carbon uptake due to the reestablishment of boreal forests and peatlands in the proxy record (beginning in the early Holocene). Surprisingly, the large external carbon input to the atmosphere and oceans did not increase sediment dissolution and mean ocean alkalinity relative to a control simulation without the high latitude carbon reservoir. In addition, our simulations suggest that an early deglacial terrestrial carbon release may come closer to explaining some observed deglacial changes in deep-ocean carbonate concentrations than simulations without such a release. We conclude that the respiration of glacial soil carbon stores may have been an important contributor to the deglacial CO2 rise, particularly in the early stages of deglaciation.</t>
  </si>
  <si>
    <t>[Simmons, C. T.; Matthews, H. D.] Concordia Univ, Dept Geog Planning &amp; Environm, 1445 Rue Maisonneuve Ouest,H1255-26, Montreal, PQ H3G 1M8, Canada; [Mysak, L. A.] McGill Univ, Dept Atmospher &amp; Ocean Sci, Montreal, PQ, Canada</t>
  </si>
  <si>
    <t>Concordia University - Canada; McGill University</t>
  </si>
  <si>
    <t>Simmons, CT (corresponding author), Concordia Univ, Dept Geog Planning &amp; Environm, 1445 Rue Maisonneuve Ouest,H1255-26, Montreal, PQ H3G 1M8, Canada.</t>
  </si>
  <si>
    <t>christophesimmons@gmail.com</t>
  </si>
  <si>
    <t>/AAD-2430-2020</t>
  </si>
  <si>
    <t>/0000-0003-3625-390X</t>
  </si>
  <si>
    <t>Natural Sciences and Engineering Research Council (NSERC) of Canada; Global Environmental and Climate Change Centre [GEC3]</t>
  </si>
  <si>
    <t>Natural Sciences and Engineering Research Council (NSERC) of Canada(Natural Sciences and Engineering Research Council of Canada (NSERC)); Global Environmental and Climate Change Centre</t>
  </si>
  <si>
    <t>This work has been supported by the Natural Sciences and Engineering Research Council (NSERC) of Canada through discovery grants awarded to H. Damon Matthews and Lawrence A. Mysak, as well as funding from the Global Environmental and Climate Change Centre (GEC3). We also gratefully acknowledge Marc-Olivier Brault, Michael Eby, Eric Galbraith, Jean-Sebastien Landry, Katrin Meissner, and Nigel Roulet for their helpful input and suggestions for this paper and Jimin Yu for providing us with data for several ocean sediment cores. All model results used in this project can be obtained freely by contacting the corresponding author. Finally, we thank the anonymous reviewers for their helpful comments.</t>
  </si>
  <si>
    <t>10.1007/s00382-015-2646-6</t>
  </si>
  <si>
    <t>DD6JQ</t>
  </si>
  <si>
    <t>WOS:000370030900036</t>
  </si>
  <si>
    <t>Lee, SR; Lee, JH; Kim, AR; Kim, S; Park, H; Baek, HJ; Kim, HW</t>
  </si>
  <si>
    <t>Lee, Soo Rin; Lee, Ji-Hyun; Kim, Ah Ran; Kim, Sanghee; Park, Hyun; Baek, Hea Ja; Kim, Hyun-Woo</t>
  </si>
  <si>
    <t>Three cDNAs encoding vitellogenin homologs from Antarctic copepod, Tigriopus kingsejongensis: Cloning and transcriptional analysis in different maturation stages, temperatures, and putative reproductive hormones</t>
  </si>
  <si>
    <t>COMPARATIVE BIOCHEMISTRY AND PHYSIOLOGY B-BIOCHEMISTRY &amp; MOLECULAR BIOLOGY</t>
  </si>
  <si>
    <t>Vitellogenin; Copepod; Antarctic; Ecdysone; Farnesoic acid</t>
  </si>
  <si>
    <t>SHRIMP METAPENAEUS-ENSIS; METHYL FARNESOATE; EXPRESSION ANALYSIS; ECDYSONE RECEPTOR; MOLECULAR-CLONING; JUVENILE-HORMONE; PENAEUS-MONODON; GENE-EXPRESSION; TIGER SHRIMP; INHIBITING HORMONE</t>
  </si>
  <si>
    <t>Three full-length cDNAs encoding lipoprotein homologs were identified in Tigriopus kingsejongensis, a newly identified copepod from Antarctica. Structural and transcriptional analyses revealed homology with two vitellogenin-like proteins, Tik-Vg1 and Tik-Vg2, which were 1855 and 1795 amino acids in length, respectively, along with a third protein, Tik-MEP, which produced a 1517-residue protein with similarity to a melanin engaging protein (MEP) in insects Phylogenetic analysis showed that Vgs in Maxillopods including two Tik-Vgs belong to the arthropod vitellogenin-like Glade, which includes clottable proteins (CPs) in decapod crustaceans and vitellogenins in insects. Tik-MEP clustered together with insect MEPs, which appear to have evolved before the apoB-like and arthropod Vg-like clades. Interestingly, no genes orthologous to those found in the apoB Glade were identified in Maxillopoda, suggesting that functions of large lipid transfer proteins (LLTPs) in reproduction and lipid metabolism may be different from those in insect and decapod crustaceans. As suggested by phylogenetic analyses, the two Tik-Vgs belonging to the arthropod Vg-like Glade appear to play major roles in oocyte maturation, while Vgs belonging to the apoB Glade function primarily in the reproduction of decapod crustaceans. Transcriptional analysis of Tik-Vg expression revealed a 24-fold increase in mature and ovigerous females compared with immature female, whereas expression of Tik-MEP remained low through all reproductive stages. Acute temperature changes did not affect the transcription of Tik-Vg genes, whereas Tik-MEP appeared to be affected by temperature change. Among the three hormones thought to be involved in molting and reproduction in arthropods, only famesoic acid (FA) induced transcription of the two Tik-Vg genes. Regardless of developmental stage and hormone treatment, Tik-Vg1 and Tik-Vg2 exhibited a strong positive correlation in expression, suggesting that expression of these genes may be regulated by the same transcriptional machinery. (C) 2015 Elsevier Inc All rights reserved.</t>
  </si>
  <si>
    <t>[Lee, Soo Rin; Lee, Ji-Hyun; Kim, Ah Ran; Kim, Hyun-Woo] Pukyong Natl Univ, Interdisciplinary Program Biomed Mech &amp; Elect Eng, Busan 608737, South Korea; [Baek, Hea Ja; Kim, Hyun-Woo] Pukyong Natl Univ, Dept Marine Biol, Busan 608737, South Korea; [Kim, Sanghee; Park, Hyun] Korea Ocean Res &amp; Dev Inst, Korea Polar Res Inst, Inchon 406840, South Korea</t>
  </si>
  <si>
    <t>Pukyong National University; Pukyong National University; Korea Institute of Ocean Science &amp; Technology (KIOST); Korea Polar Research Institute (KOPRI)</t>
  </si>
  <si>
    <t>Kim, HW (corresponding author), Pukyong Natl Univ, Dept Marine Biol, Busan 608737, South Korea.</t>
  </si>
  <si>
    <t>Kimhw@pknu.ac.kr</t>
  </si>
  <si>
    <t>Kim, Hyun-Woo/AFN-9184-2022; Lee, Soo Rin/D-8790-2019</t>
  </si>
  <si>
    <t>Kim, Hyun-Woo/0000-0003-1357-5893; Kim, Ah ran/0000-0003-2903-6800; Park, Hyun/0000-0002-8055-2010</t>
  </si>
  <si>
    <t>Antarctic organisms: Cold-Adaptation Mechanisms and its application grant - Korea Polar Research Institute [PE15070]</t>
  </si>
  <si>
    <t>Antarctic organisms: Cold-Adaptation Mechanisms and its application grant - Korea Polar Research Institute(Korea Polar Research Institute of Marine Research Placement (KOPRI))</t>
  </si>
  <si>
    <t>This work was supported by the Antarctic organisms: Cold-Adaptation Mechanisms and its application grant (PE15070) funded by the Korea Polar Research Institute.</t>
  </si>
  <si>
    <t>1096-4959</t>
  </si>
  <si>
    <t>1879-1107</t>
  </si>
  <si>
    <t>COMP BIOCHEM PHYS B</t>
  </si>
  <si>
    <t>Comp. Biochem. Physiol. B-Biochem. Mol. Biol.</t>
  </si>
  <si>
    <t>10.1016/j.cbpb.2015.11.008</t>
  </si>
  <si>
    <t>Biochemistry &amp; Molecular Biology; Zoology</t>
  </si>
  <si>
    <t>DD4FT</t>
  </si>
  <si>
    <t>WOS:000369878600005</t>
  </si>
  <si>
    <t>Fiddes, SL; Pezza, AB; Renwick, J</t>
  </si>
  <si>
    <t>Fiddes, Sonya L.; Pezza, Alexandre B.; Renwick, James</t>
  </si>
  <si>
    <t>Significant extra-tropical anomalies in the lead up to the Black Saturday fires</t>
  </si>
  <si>
    <t>INTERNATIONAL JOURNAL OF CLIMATOLOGY</t>
  </si>
  <si>
    <t>Australian; fires; extremes; synoptic; climatology; heatwaves</t>
  </si>
  <si>
    <t>SEA-SURFACE TEMPERATURE; HEAT WAVES; SOUTHEASTERN AUSTRALIA; METEOROLOGY; CYCLONE</t>
  </si>
  <si>
    <t>Black Saturday (BS), 7 February 2009, is recognized as Australia's most severe bushfire event on record. The meteorology that day, although extreme, was typical of southeast Australian bushfire events, characterized by gusty northerly winds before a cool change brought strong southerly winds and a dramatic temperature drop. This study investigates a range of extra-tropical atmospheric (pressure, temperatures) and oceanic temperature anomalies that occurred on or leading up to BS. Results show several parameters were within the top 5% or were record breaking for the satellite era. Of particular note are the anomalies that occurred over the Antarctic region, having the strongest signal and appearing in unison with the pre-BS heatwave. We suggest that a combination of a warm polar ocean and an enhanced mid-latitude thermal contrast in the Indian Ocean aided in triggering sub-polar blocking and an intense cyclone, which brought the catastrophic cold front on BS.</t>
  </si>
  <si>
    <t>[Fiddes, Sonya L.; Pezza, Alexandre B.] Univ Melbourne, Sch Earth Sci, Parkville, Vic 3010, Australia; [Renwick, James] Victoria Univ Wellington, Sch Geog Environm &amp; Earth Sci, Wellington, New Zealand</t>
  </si>
  <si>
    <t>University of Melbourne; Victoria University Wellington</t>
  </si>
  <si>
    <t>Fiddes, SL (corresponding author), Univ Melbourne, Sch Earth Sci, Parkville, Vic 3010, Australia.</t>
  </si>
  <si>
    <t>sonya.fiddes@unimelb.edu.au</t>
  </si>
  <si>
    <t>Fiddes, Sonya/ABA-7818-2020; Fiddes, Sonya L./HKM-5559-2023</t>
  </si>
  <si>
    <t>Fiddes, Sonya/0000-0002-2752-0845; Fiddes, Sonya L./0000-0002-2752-0845; Renwick, James/0000-0002-9141-2486</t>
  </si>
  <si>
    <t>Australian Research Council [DP120103950]</t>
  </si>
  <si>
    <t>The authors thank Katherine Sadler for providing the Melbourne University Tracking Scheme data and advice. A. B. Pezza acknowledges the Australian Research Council for funding parts of this work through the Discovery Grant DP120103950.</t>
  </si>
  <si>
    <t>0899-8418</t>
  </si>
  <si>
    <t>1097-0088</t>
  </si>
  <si>
    <t>INT J CLIMATOL</t>
  </si>
  <si>
    <t>Int. J. Climatol.</t>
  </si>
  <si>
    <t>10.1002/joc.4387</t>
  </si>
  <si>
    <t>DD5VC</t>
  </si>
  <si>
    <t>WOS:000369991700035</t>
  </si>
  <si>
    <t>Chown, SL; Haupt, TM; Sinclair, BJ</t>
  </si>
  <si>
    <t>Chown, Steven L.; Haupt, Tanya M.; Sinclair, Brent J.</t>
  </si>
  <si>
    <t>Similar metabolic rate-temperature relationships after acclimation at constant and fluctuating temperatures in caterpillars of a sub-Antarctic moth</t>
  </si>
  <si>
    <t>JOURNAL OF INSECT PHYSIOLOGY</t>
  </si>
  <si>
    <t>Fluctuating temperatures; Lepidoptera; Metabolic rate; Polar environments; Temperature compensation</t>
  </si>
  <si>
    <t>PRINGLEOPHAGA-MARIONI LEPIDOPTERA; COLD ADAPTATION; GAS-EXCHANGE; PHYSIOLOGICAL PERFORMANCE; LATITUDINAL COMPENSATION; RESPIRATORY METABOLISM; JENSENS INEQUALITY; WATER-LOSS; INSECTS; HYPOTHESIS</t>
  </si>
  <si>
    <t>Temperature compensation in whole-animal metabolic rate is one of the responses thought, controversially, to characterize insects from low temperature environments. Temperature compensation may either involve a change in absolute values of metabolic rates or a change in the slope of the metabolic rate-temperature relationship. Moreover, assessments of compensation may be complicated by animal responses to fluctuating temperatures. Here we examined whole animal metabolic rates, at 0 degrees C, 5 degrees C, 10 degrees C and 15 degrees C, in caterpillars of the sub-Antarctic moth, Pringleophaga marioni Viette (Tineidae), following one week acclimations to 5 degrees C, 10 degrees C and 15 degrees C, and fluctuating temperatures of 0-10 degrees C, 5-15 degrees C, and 10-20 degrees C. Over the short term, temperature compensation was found following acclimation to 5 degrees C, but the effect size was small (3-14%). By comparison with caterpillars of 13 other lepidopteran species, no effect of temperature compensation was present, with the relationship between metabolic rate and temperature having a Q(10) of 2 among species, and no effect of latitude on temperature-corrected metabolic rate. Fluctuating temperature acclimations for the most part had little effect compared with constant temperatures of the same mean value. Nonetheless, fluctuating temperatures of 5-15 degrees C resulted in lower metabolic rates at all test temperatures compared with constant 10 degrees C acclimation, in keeping with expectations from the literature. Absence of significant responses, or those of large effect, in metabolic rates in response to acclimation, may be a consequence of the unpredictable temperature variation over the short-term on sub-Antarctic Marion Island, to which P. marioni is endemic. (C) 2015 Elsevier Ltd. All rights reserved.</t>
  </si>
  <si>
    <t>[Chown, Steven L.] Monash Univ, Sch Biol Sci, Clayton, Vic 3800, Australia; [Haupt, Tanya M.] Univ Stellenbosch, Dept Bot &amp; Zool, Ctr Invas Biol, Private Bag X1, ZA-7602 Matieland, South Africa; [Sinclair, Brent J.] Univ Western Ontario, Dept Biol, London, ON N6A 5B7, Canada; [Haupt, Tanya M.] Dept Environm Affairs, Oceans &amp; Coasts Branch, Marine Biodivers &amp; Ecosystem Res, Private Bag X2, ZA-8012 Cape Town, South Africa</t>
  </si>
  <si>
    <t>Monash University; Stellenbosch University; Western University (University of Western Ontario); Department of Environment, Forestry &amp; Fisheries</t>
  </si>
  <si>
    <t>Chown, Steven/ABD-7646-2021; Sinclair, Brent J/C-6133-2012; Chown, Steven/H-3347-2011</t>
  </si>
  <si>
    <t>National Research Foundation of South Africa [SNA14071475789]; South African National Antarctic Programme</t>
  </si>
  <si>
    <t>National Research Foundation of South Africa(National Research Foundation - South Africa); South African National Antarctic Programme</t>
  </si>
  <si>
    <t>Jennifer Lee, Justine Shaw, Asanda Phiri and Mashudu Mashau assisted with field work. We thank two anonymous reviewers for their helpful comments. This study was supported by National Research Foundation of South Africa Grant SNA14071475789 and the South African National Antarctic Programme.</t>
  </si>
  <si>
    <t>0022-1910</t>
  </si>
  <si>
    <t>1879-1611</t>
  </si>
  <si>
    <t>J INSECT PHYSIOL</t>
  </si>
  <si>
    <t>J. Insect Physiol.</t>
  </si>
  <si>
    <t>10.1016/j.jinsphys.2015.11.010</t>
  </si>
  <si>
    <t>Entomology; Physiology; Zoology</t>
  </si>
  <si>
    <t>DD7MS</t>
  </si>
  <si>
    <t>WOS:000370109300002</t>
  </si>
  <si>
    <t>Heyns, ER; Bernard, ATF; Richoux, NB; Götz, A</t>
  </si>
  <si>
    <t>Heyns, E. R.; Bernard, A. T. F.; Richoux, N. B.; Goetz, A.</t>
  </si>
  <si>
    <t>Depth-related distribution patterns of subtidal macrobenthos in a well-established marine protected area</t>
  </si>
  <si>
    <t>TSITSIKAMMA NATIONAL-PARK; SPECIES-DIVERSITY; ANTARCTIC ASCIDIANS; COMMUNITY STRUCTURE; MOVEMENT PATTERNS; PREY CAPTURE; SOUTH-AFRICA; CORAL; REEF; ASSEMBLAGES</t>
  </si>
  <si>
    <t>Effective marine resource management requires knowledge of the distribution of critical habitats that support resource populations and the processes that maintain them. Reefs that host diverse macrobenthic communities are important habitats for fish. However, detailed information on macrobenthic communities is rarely available and is usually limited to SCUBA diving depths. To establish depth-related distribution patterns and drivers that structure reef communities, the macrobenthos situated in a warm-temperate marine protected area (MPA; 34 degrees 01'24S; 23 degrees 54'09E) was sampled between 2009 and 2012. Comparison of shallow (11-25 m) and deep (45-75 m) sites revealed significantly different communities, sharing only 27.9 % of species. LINKTREE analysis revealed a changeover of species along the depth gradient, resulting in four significantly different assemblage clusters, each associated with particular environmental variables. High light intensity supported benthic algae at shallow depths, and as light availability decreased with depth, algal cover diminished and was eventually absent from the deep reef. Upright growth forms and settled particulate matter were positively related to depth and dominated the deep reef. Reduced wave action and currents on the deep reef can explain the increased settling of suspended particles. Under such conditions, clogging of feeding parts of the encrusting species is expected, and upright growth would be favoured. Considering that most MPAs are restricted to shallow coastal habitats and that macrobenthic communities change significantly with depth, it is probable that many unique deep reef habitats are currently afforded no protection.</t>
  </si>
  <si>
    <t>[Heyns, E. R.; Bernard, A. T. F.; Richoux, N. B.] Rhodes Univ, Dept Zool &amp; Entomol, POB 94, ZA-6140 Grahamstown, South Africa; [Heyns, E. R.; Bernard, A. T. F.] South African Inst Aquat Biodivers, Private Bag 1015, ZA-6140 Grahamstown, South Africa; [Bernard, A. T. F.; Goetz, A.] South African Environm Observat Network, Private Bag 1015, ZA-6140 Grahamstown, South Africa; [Goetz, A.] Rhodes Univ, Dept Ichthyol &amp; Fisheries Sci, POB 94, ZA-6140 Grahamstown, South Africa; [Goetz, A.] Nelson Mandela Metropolitan Univ, Dept Zool, ZA-6031 Port Elizabeth, South Africa</t>
  </si>
  <si>
    <t>Rhodes University; National Research Foundation - South Africa; South African Institute for Aquatic Biodiversity; National Research Foundation - South Africa; South African Environmental Observation Network (SAEON); Rhodes University; Nelson Mandela University</t>
  </si>
  <si>
    <t>Heyns, ER (corresponding author), Rhodes Univ, Dept Zool &amp; Entomol, POB 94, ZA-6140 Grahamstown, South Africa.;Heyns, ER (corresponding author), South African Inst Aquat Biodivers, Private Bag 1015, ZA-6140 Grahamstown, South Africa.</t>
  </si>
  <si>
    <t>elodieheyns@gmail.com</t>
  </si>
  <si>
    <t>Bernard, Anthony/M-8292-2019</t>
  </si>
  <si>
    <t>Bernard, Anthony/0000-0003-0482-6283; Richoux, Nicole/0000-0002-9501-6368</t>
  </si>
  <si>
    <t>National Research Foundation of South Africa; Elwandle Node of the South African Environmental Observation Network; South African Institute for Aquatic Biodiversity; African Coelacanth Ecosystem Programme; British Ecological Society</t>
  </si>
  <si>
    <t>National Research Foundation of South Africa(National Research Foundation - South Africa); Elwandle Node of the South African Environmental Observation Network; South African Institute for Aquatic Biodiversity(National Research Foundation - South Africa); African Coelacanth Ecosystem Programme; British Ecological Society</t>
  </si>
  <si>
    <t>Funding for this project was provided by the National Research Foundation of South Africa, the Elwandle Node of the South African Environmental Observation Network, the South African Institute for Aquatic Biodiversity, the African Coelacanth Ecosystem Programme and the British Ecological Society. We thank SANParks, in particular Kyle Smith and CapeNature for their assistance in the field, Toufiek Samaai, Kerry Sink, Shirley Parker-Nance, Lara Atkinson and Wayne Florence for assistance in identification of invertebrates and Angus Paterson and Clinton Veale for their constructive comments.</t>
  </si>
  <si>
    <t>10.1007/s00227-016-2816-z</t>
  </si>
  <si>
    <t>DD6RW</t>
  </si>
  <si>
    <t>WOS:000370052700018</t>
  </si>
  <si>
    <t>Seismic stratigraphy along the Amundsen Sea to Ross Sea continental rise: A cross-regional record of pre-glacial to glacial processes of the West Antarctic margin</t>
  </si>
  <si>
    <t>West Antarctica; Seismic stratigraphy; Glacial development; Bottom-currents; Sediment thickness</t>
  </si>
  <si>
    <t>SOUTH-PACIFIC; TECTONIC RECONSTRUCTIONS; CRUSTAL STRUCTURE; EAST ANTARCTICA; HISTORY; DRIVEN; OCEAN; SEDIMENTATION; EMBAYMENT; CURRENTS</t>
  </si>
  <si>
    <t>The seismic sediment record of the Amundsen Sea continental rise provides insight into the sedimentation processes from pre-glacial to glacial times, variations in ocean-bottom circulation, early ice sheet growth, and intensification towards the present icehouse regime. Seismic reflection data acquired during the 2010 RV Polarstem and the 2006 RV Tangaroa expeditions, created a &gt;2000 km long continuous Amundsen Sea to Ross Sea seismic transect. Pre-existing lines linked to this transect, connect key seismic stratigraphy horizons from the Ross Sea shelf to the rise and farther along the West Antarctic margin, up to the Amundsen Sea Embayment Seismic units AS-1 to AS-3 constitute the Cretaceous to Eocene pre-glacial (PG) sequence (79-34 Ma), units AS-4 to AS-6 the Eocene to mid-Miocene transitional (T) sequence (34-15.5 Ma), and units AS-7 to AS-11 the mid-Miocene to Quaternary full glacial (FG) climate sequence (15.5-0 Ma). The top PG sequence boundary horizon AS-u3/uPG-T, links to unconformity RSU6 of the Ross Sea shelf and to the base of Unit II of the eastern Amundsen Sea, and is interpreted as the first arrival of grounded ice on the shelf. The top T sequence boundary AS-u6/uT-FG, links to RSU4 and the base of Unit III, and is interpreted as the onset of the FG regime with intensified ice sheet advances onto the outer shelves. The Amundsen Sea basin accumulated up to 3.9 km thick sediments in its centre. Seismic fades geometry analysis suggests Paleocene-Eocene bottom-current activity, late Eocene shelf grounding of the West Antarctic Ice Sheet, and no apparent difference in the deep-sea sediment transport processes or temporal shift in deposition between the Amundsen Sea and Ross Sea. Implications for a Marie Byrd Land uplift starting at-30 Ma are observed by a progressive change in horizon dip in the central Amundsen Sea seismic sequences. (C) 2015 The Authors. Published by Elsevier B.V.</t>
  </si>
  <si>
    <t>[Lindeque, Ansa; Gohl, Karsten; Wobbe, Florian] Helmholtz Zentrum Polar &amp; Meeresforsch, Alfred Wegener Inst, Alten Hafen 26, D-27568 Bremerhaven, Germany; [Gohl, Karsten; Davy, Bryan] GNS Sci, 1 Fairway Dr, Avalon 5010, Lower Hut, New Zealand</t>
  </si>
  <si>
    <t>Lindeque, A (corresponding author), Helmholtz Zentrum Polar &amp; Meeresforsch, Alfred Wegener Inst, Alten Hafen 26, D-27568 Bremerhaven, Germany.</t>
  </si>
  <si>
    <t>ansa.lindeque@icloud.com; karsten.gohl@awi.de; s.henrys@gns.cri.nz; florian.wobbe@awi.de; B.Davy@gns.cri.nz</t>
  </si>
  <si>
    <t>Deutsche Forschungsgemeinschaft (DFG) [1158, GO 724/10-1]; AWI institutional funds from Work Package 3.2 of the AWI Research Programme PACES; AWI institutional funds from Work Package 3.2 of the AWI Research Programme PACES-II; Government of New Zealand</t>
  </si>
  <si>
    <t>Deutsche Forschungsgemeinschaft (DFG)(German Research Foundation (DFG)); AWI institutional funds from Work Package 3.2 of the AWI Research Programme PACES; AWI institutional funds from Work Package 3.2 of the AWI Research Programme PACES-II; Government of New Zealand</t>
  </si>
  <si>
    <t>The authors are grateful for the support of the masters and crews of RV Polarstern during expedition ANT-XXVI/3 (AWI-2010) and of RV Tangaroa during expedition TAN0602 (TAN-2006). We extend our thanks to the seismic teams on board of both vessels for successful data acquisition. The German component of this project was funded by Priority Program 1158, Antarctic Research, of the Deutsche Forschungsgemeinschaft (DFG) under project number GO 724/10-1, and by AWI institutional funds from Work Package 3.2 of the AWI Research Programmes PACES and PACES-II. The Government of New Zealand funded the 2006 data acquisition by RV Tangaroa. This project contributes to the Research Program Past Antarctic Ice Sheet Dynamics (PAIS) of the Scientific Committee on Antarctic Research (SCAR). Seismic data of the Ross Sea shelf were obtained with thanks from the SCAR Antarctic Seismic Data Library System (SDLS). We thank reviewers Laura De Santis and Doug Wilson for their constructive comments and suggestions, which improved the manuscript.</t>
  </si>
  <si>
    <t>10.1016/j.palaeo.2015.11.017</t>
  </si>
  <si>
    <t>DD7FX</t>
  </si>
  <si>
    <t>WOS:000370090200016</t>
  </si>
  <si>
    <t>Blagoveshchensky, DV; Maltseva, OA; Anishin, MM; Rogov, DD; Sergeeva, MA</t>
  </si>
  <si>
    <t>Blagoveshchensky, D. V.; Maltseva, O. A.; Anishin, M. M.; Rogov, D. D.; Sergeeva, M. A.</t>
  </si>
  <si>
    <t>Modeling of HF propagation at high latitudes on the basis of IRI</t>
  </si>
  <si>
    <t>Ionosphere; High latitude; Radio propagation; Modeling; IRI; TEC</t>
  </si>
  <si>
    <t>PEAK HEIGHT</t>
  </si>
  <si>
    <t>The paper presents the results of comparison between the modeling calculations and ionograms of oblique sounding for high-latitude HF radio paths of Arctic and Antarctic Research Institute (AARI), which was fulfilled for February 13-14, 2014 (quiet conditions). The International Reference Ionosphere 2012 model of the ionosphere (IRI-2012) was used for the study. The comparison results prove that without adaptation to current diagnostics the IRI model does not reflect the real state of high latitude ionosphere even for quiet conditions. It was found that in general the observed maximum usable frequency values (MUF) exceeded the same values obtained from the model. The adaptation of the model to current diagnostics makes the simulated MUF values significantly closer to the observed MUF. The following parameters were used for the study: critical frequencies foF2 measured by ionosondes located near the considered paths, frequencies calculated on the basis of observed TEC values and median values of the equivalent slab thickness of the ionosphere. The relative error of calculation of MUF values averaged for all the cases for one hop was 23.6% by the initial IRI model. This error was decreased by 4% for the calculations on the basis of observed TEC and by 6% for the adaptation to foF2. The higher the latitude of the studied radio path, the more the difference between the observed and simulated MUF values. The conclusion was made that a principal cause of this difference was the deviation of calculated maximum ionospheric height values (hmF2) from the observed hmF2. The additional model update using hmF2 values obtained from Tromso station let to better match between the calculated MUF values and the observed MUF values for all radio paths. The analysis of experimental data showed that the non-predicted events (like traveling ionospheric disturbances, M- and N-modes, lateral modes, triplets, unusual scatter effects, etc.) sometimes took place at high latitude paths even during the quiet conditions. (C) 2015 COSPAR. Published by Elsevier Ltd. All rights reserved.</t>
  </si>
  <si>
    <t>[Blagoveshchensky, D. V.; Sergeeva, M. A.] St Petersburg State Univ Aerosp Instrumentat, 67 Bolshaya Morskaya St, St Petersburg 190000, Russia; [Maltseva, O. A.] Southern Fed Univ, Inst Phys, Stachki 194, Rostov Na Donu 344090, Russia; [Anishin, M. M.] Southern Fed Univ, Dept Phys, Sorge 5, Rostov Na Donu 344090, Russia; [Rogov, D. D.] Arct &amp; Antarct Res Inst, 38 Bering St, St Petersburg 199397, Russia</t>
  </si>
  <si>
    <t>Saint Petersburg State University of Aerospace Instrumentation; Southern Federal University; Southern Federal University</t>
  </si>
  <si>
    <t>Sergeeva, MA (corresponding author), St Petersburg State Univ Aerosp Instrumentat, 67 Bolshaya Morskaya St, St Petersburg 190000, Russia.</t>
  </si>
  <si>
    <t>maria.a.sergeeva@gmail.com</t>
  </si>
  <si>
    <t>Rogov, Denis/AAH-2763-2020</t>
  </si>
  <si>
    <t>Grant of Russian Foundation for Basic Research [15-05-00856]; Southern Federal University Grant [213.01-11/2014-22]</t>
  </si>
  <si>
    <t>Grant of Russian Foundation for Basic Research; Southern Federal University Grant</t>
  </si>
  <si>
    <t>The work of D.V. Blagoveshchensky and M.A. Sergeeva was supported by the Grant of Russian Foundation for Basic Research No. 15-05-00856.r The work of O.A. Maltseva was supported by Southern Federal University Grant No. 213.01-11/2014-22.</t>
  </si>
  <si>
    <t>10.1016/j.asr.2015.11.029</t>
  </si>
  <si>
    <t>DC8FX</t>
  </si>
  <si>
    <t>WOS:000369456400010</t>
  </si>
  <si>
    <t>Ivanova, E; Murdmaa, I; Borisov, D; Dmitrenko, O; Levchenko, O; Emelyanov, E</t>
  </si>
  <si>
    <t>Ivanova, Elena; Murdmaa, Ivar; Borisov, Dmitrii; Dmitrenko, Olga; Levchenko, Oleg; Emelyanov, Emelyan</t>
  </si>
  <si>
    <t>Late Pliocene-Pleistocene stratigraphy and history of formation of the Ioffe calcareous contourite drift, Western South Atlantic</t>
  </si>
  <si>
    <t>MARINE GEOLOGY</t>
  </si>
  <si>
    <t>Contourite drift; Foraminifera; Nannoplankton; AABW; Lysocline</t>
  </si>
  <si>
    <t>RIO-GRANDE RISE; ANTARCTIC BOTTOM WATER; DRILLING-PROJECT HOLE-516A; CIRCUMPOLAR DEEP-WATER; VEMA CHANNEL; QUATERNARY BIOSTRATIGRAPHY; SEA; CIRCULATION; FLOW; LEG-72</t>
  </si>
  <si>
    <t>The high-resolution SES-2000 deep seismic profiles performed by R/V Akademik loffe (2010) recorded a calcareous contourite drift over the Florianopolis fracture zone ridge, South Atlantic, named the Ioffe Drift. Core AI-2436 retrieved from the drift summit recovered calcareous nannofossil-foraminiferal ooze contourites with small amounts of fine-grained terrigenous siliciclastic material. The calcareous ooze is intercalated with foraminiferal sand and more clayey ooze layers in the Upper Pleistocene section. According to planktonic foraminiferal and nannofossil biostratigraphy, the age of the uppermost section of the drift ranges from the Late Pliocene to the Late Pleistocene. It includes several stratigraphic hiatuses due to erosion, especially at the end of Pliocene-Early Pleistocene and in the intervals 1.51-0.81 and 0.44-0.27 Ma. The Ioffe Drift accumulated under the influence of the eastern branch of the Antarctic Bottom Water (AABW) outflow from the Vema Channel. Temporary intensification of the AABW flow, likely due to its increased production in the Weddell Sea, led to deep erosion ultimately resulting in long-term hiatuses and hence contributing to the enormously compressed Upper Pliocene-Middle Pleistocene section of the drift. (C) 2015 Elsevier B.V. All rights reserved.</t>
  </si>
  <si>
    <t>[Ivanova, Elena; Murdmaa, Ivar; Borisov, Dmitrii; Dmitrenko, Olga; Levchenko, Oleg] Russian Acad Sci, PP Shirshov Oceanol Inst, Nakhimovsky Prospekt 36, Moscow 117997, Russia; [Emelyanov, Emelyan] Russian Acad Sci, PP Shirshov Oceanol Inst, Atlantic Branch, Prospekt Mira 1, Kaliningrad 236022, Russia</t>
  </si>
  <si>
    <t>Russian Academy of Sciences; Shirshov Institute of Oceanology; Russian Academy of Sciences; Shirshov Institute of Oceanology</t>
  </si>
  <si>
    <t>Ivanova, E (corresponding author), Russian Acad Sci, PP Shirshov Oceanol Inst, Nakhimovsky Prospekt 36, Moscow 117997, Russia.</t>
  </si>
  <si>
    <t>e_v_ivanova@ocean.ru</t>
  </si>
  <si>
    <t>Ivanova, Elena/AAW-2881-2020; Emelyanov, Emelyan/I-6104-2016; Ivanova, Elena V/B-3775-2016; Borisov, Dmitrii/Y-9194-2019; Murdmaa, Ivar/T-3538-2017</t>
  </si>
  <si>
    <t>Ivanova, Elena/0000-0003-3926-0590; Borisov, Dmitrii/0000-0001-8109-6603;</t>
  </si>
  <si>
    <t>Russian Science Foundation [14-50-00095]; P.P. Shirshov Institute of Oceanology RAS [0149-2014-0027]</t>
  </si>
  <si>
    <t>Russian Science Foundation(Russian Science Foundation (RSF)); P.P. Shirshov Institute of Oceanology RAS</t>
  </si>
  <si>
    <t>The authors are grateful to scientific party, master and crew of RN Akademik Ioffe cruise 32 for their professional support in the discovery and preliminary study of the Ioffe Drift The grain-size and CaCO3/TOC analyses were performed by A.B. Adamovich and I.V. Klement'eva, respectively, at the Atlantic Branch of the P.P. Shirshov Institute of Oceanology RAS. Thomas Cronin and Elizabeth Stover kindly improved the English in the original and revised versions of the manuscript, respectively. We gratefully acknowledge the critical comments from the editor, M. Rebesco, and two anonymous reviewers which helped to improve the manuscript. The study was partially funded by the Russian Science Foundation grant 14-50-00095 (EI, IM and DB) and by the project 0149-2014-0027 (OD) funded by P.P. Shirshov Institute of Oceanology RAS.</t>
  </si>
  <si>
    <t>0025-3227</t>
  </si>
  <si>
    <t>1872-6151</t>
  </si>
  <si>
    <t>MAR GEOL</t>
  </si>
  <si>
    <t>Mar. Geol.</t>
  </si>
  <si>
    <t>10.1016/j.margeo.2015.12.002</t>
  </si>
  <si>
    <t>Geosciences, Multidisciplinary; Oceanography</t>
  </si>
  <si>
    <t>Geology; Oceanography</t>
  </si>
  <si>
    <t>DC8HA</t>
  </si>
  <si>
    <t>WOS:000369459300002</t>
  </si>
  <si>
    <t>Lin, HS; Wang, JJ; Liu, K; He, XB; Lin, JH; Huang, YQ; Zhang, SY; Mou, JF; Zheng, CX; Wang, Y</t>
  </si>
  <si>
    <t>Lin, Heshan; Wang, Jianjun; Liu, Kun; He, Xuebao; Lin, Junhui; Huang, Yaqin; Zhang, Shuyi; Mou, Jianfeng; Zheng, Chengxing; Wang, Yu</t>
  </si>
  <si>
    <t>Benthic macrofaunal production for a typical shelf-slope-basin region in the western Arctic Ocean</t>
  </si>
  <si>
    <t>Benthic macrofaunal production; Western Arctic Ocean; Chukchi Sea; Beaufort Sea; Environmental factors</t>
  </si>
  <si>
    <t>SECONDARY PRODUCTION; COMMUNITY STRUCTURE; CHUKCHI SEAS; BERING-SEA; BOHAI SEA; BIOMASS; MACROBENTHOS; ECOSYSTEM; PATTERNS; FOOD</t>
  </si>
  <si>
    <t>Secondary production by macrofaunal communities in the western Arctic Ocean were quantified during the 4th and 5th Chinese Arctic Scientific Expeditions. The total production and PCB ratio for each sector ranged from 3.8 (+/- 7.9) to 615.6 (+/- 635.5) kJ m(-2) yr(-1) and 0.5 (+/- 0.2) to 0.7 (+/- 0.2) yr(-1), respectively. The shallow shelves in the western Arctic Ocean exhibited particularly high production (178.7-615.6 kJ m(-2) yr(-1)), particularly in the two hotspots - the southern and northeastern (around Barrow Canyon) Chukchi Sea. Benthic macrofaunal production decreased sharply with depth and latitude along a shelf-slope-basin transect, with values of 17.0-269.8 kJ m(-2) yr(-1) in slope regions and 3.8-10.1 kJ m(-2) yr(-1) in basins. Redundancy analysis indicated that hydrological characteristics (depth, bottom temperature and salinity) and granulometric parameters (mean particle size, % sand and % clay) show significant positive/negative correlations with total production. These correlations revealed that the dominant factors influencing benthic production are the habitat type and food supply from the overlying water column. In the Arctic, the extreme environmental conditions and low temperature constrain macrofaunal metabolic processes, such that food and energy are primarily used to increase body mass rather than for reproduction. Hence, energy turnover is relatively low at high latitudes. These data further our understanding of benthic production processes and ecosystem dynamics in the context of rapid climate change in the western Arctic Ocean. (C) 2015 Elsevier Ltd. All rights reserved.</t>
  </si>
  <si>
    <t>[Lin, Heshan; Wang, Jianjun; Liu, Kun; He, Xuebao; Lin, Junhui; Huang, Yaqin; Zhang, Shuyi; Mou, Jianfeng; Zheng, Chengxing; Wang, Yu] State Ocean Adm, Inst Oceanog 3, Lab Marine Biol &amp; Ecol, Xiamen 361005, Peoples R China</t>
  </si>
  <si>
    <t>Third Institute of Oceanography, Ministry of Natural Resources</t>
  </si>
  <si>
    <t>Wang, JJ (corresponding author), State Ocean Adm, Inst Oceanog 3, Lab Marine Biol &amp; Ecol, Xiamen 361005, Peoples R China.</t>
  </si>
  <si>
    <t>linheshan@tio.org.cn; wangjianjun220@tio.org.cn</t>
  </si>
  <si>
    <t>He, Xue-Bao/E-6716-2011; Wang, Yu/HLP-6716-2023; Huang, YQ/JOK-7580-2023; zhang, jinlu/KEE-9374-2024</t>
  </si>
  <si>
    <t>Lin, Heshan/0000-0001-9286-9421</t>
  </si>
  <si>
    <t>National Natural Science Foundation of China [41306116, 415506217]; Polar Science Strategic Research Foundation of China [20140309]; Chinese Polar Environment Comprehensive Investigation and Assessment Programs [CHINARE 2012-2015-04-03, CHINARE 2012-2015-03-05]</t>
  </si>
  <si>
    <t>National Natural Science Foundation of China(National Natural Science Foundation of China (NSFC)); Polar Science Strategic Research Foundation of China; Chinese Polar Environment Comprehensive Investigation and Assessment Programs</t>
  </si>
  <si>
    <t>This work was supported by the National Natural Science Foundation of China under contract Nos. 41306116 and 415506217, the Polar Science Strategic Research Foundation of China under contract No. 20140309 and the Chinese Polar Environment Comprehensive Investigation and Assessment Programs under contract Nos. CHINARE 2012-2015-04-03 and CHINARE 2012-2015-03-05. We extend our appreciation to Liu Yanguang and Wang Weiguo for granulometric parameters and OC and TN data, to Kang Jianhua and Hao Qiang for chlorophyll a data, to Xiao Wupeng, Lin Wuhui and Zhang Congliang for their constructive help, and to anonymous reviewers for their constructive suggestions for the paper. Other sample information and data were issued on the Resource sharing Platform of Polar Samples (http://birds.chinare.org.cn) maintained by the Polar Research Institute of China and the Chinese National Arctic and Antarctic Data Center.</t>
  </si>
  <si>
    <t>10.1016/j.csr.2015.12.001</t>
  </si>
  <si>
    <t>DC1DJ</t>
  </si>
  <si>
    <t>WOS:000368956700004</t>
  </si>
  <si>
    <t>Do, H; Lee, CW; Lee, SG; Kang, H; Park, CM; Kim, HJ; Park, H; Park, H; Lee, JH</t>
  </si>
  <si>
    <t>Do, Hackwon; Lee, Chang Woo; Lee, Sung Gu; Kang, Hara; Park, Chul Min; Kim, Hak Jun; Park, Hyun; Park, HaJeung; Lee, Jun Hyuck</t>
  </si>
  <si>
    <t>Crystal structure and modeling of the tetrahedral intermediate state of methylmalonate-semialdehyde dehydrogenase (MMSDH) from Oceanimonas doudoroffii</t>
  </si>
  <si>
    <t>JOURNAL OF MICROBIOLOGY</t>
  </si>
  <si>
    <t>DddC; dimethylsulfoniopropionate; methylmalonate-semialdehyde dehydrogenase; Oceanimonas doudoroffii; X-ray crystallography</t>
  </si>
  <si>
    <t>MITOCHONDRIAL ALDEHYDE DEHYDROGENASE; DMSP; CATABOLISM; LYASE</t>
  </si>
  <si>
    <t>The gene product of dddC (Uniprot code G5CZI2), from the Gram-negative marine bacterium Oceanimonas doudoroffii, is a methylmalonate-semialdehyde dehydrogenase (OdoMMSDH) enzyme. MMSDH is a member of the aldehyde dehydrogenase superfamily, and it catalyzes the NAD-dependent decarboxylation of methylmalonate semialdehyde to propionyl-CoA. We determined the crystal structure of OdoMMSDH at 2.9 angstrom resolution. Among the twelve molecules in the asymmetric unit, six subunits complexed with NAD, which was carried along the protein purification steps. OdoMMSDH exists as a stable homodimer in solution; each subunit consists of three distinct domains: an NAD-binding domain, a catalytic domain, and an oligomerization domain. Computational modeling studies of the OdoMMSDH structure revealed key residues important for substrate recognition and tetrahedral intermediate stabilisation. Two basic residues (Arg103 and Arg279) and six hydrophobic residues (Phe150, Met153, Val154, Trp157, Met281, and Phe449) were found to be important for tetrahedral intermediate binding. Modeling data also suggested that the backbone amide of Cys280 and the side chain amine of Asn149 function as the oxyanion hole during the enzymatic reaction. Our results provide useful insights into the substrate recognition site residues and catalytic mechanism of OdoMMSDH.</t>
  </si>
  <si>
    <t>[Do, Hackwon; Lee, Chang Woo; Lee, Sung Gu; Park, Hyun; Lee, Jun Hyuck] Korea Polar Res Inst, Div Polar Life Sci, Inchon 406840, South Korea; [Lee, Chang Woo; Lee, Sung Gu; Park, Hyun; Lee, Jun Hyuck] Univ Sci &amp; Technol, Dept Polar Sci, Inchon 406840, South Korea; [Kang, Hara] Incheon Natl Univ, Coll Life Sci &amp; Bioengn, Div Life Sci, Inchon 406772, South Korea; [Park, Chul Min] Korea Res Inst Chem Technol, Med Chem Res Ctr, Div Bioorgan, Daejeon 305600, South Korea; [Kim, Hak Jun] Pukyong Natl Univ, Dept Chem, Busan 608739, South Korea; [Park, HaJeung] Scripps Florida, Scripps Res Inst, Xray Core, 130 Scripps Way 1A1, Jupiter, FL 33458 USA</t>
  </si>
  <si>
    <t>Korea Polar Research Institute (KOPRI); Korea Institute of Ocean Science &amp; Technology (KIOST); Incheon National University; Korea Research Institute of Chemical Technology (KRICT); Pukyong National University; State University System of Florida; University of Florida; Herbert Wertheim UF Scripps Institute for Biomedical Innovation &amp; Technology</t>
  </si>
  <si>
    <t>Park, H; Lee, JH (corresponding author), Korea Polar Res Inst, Div Polar Life Sci, Inchon 406840, South Korea.;Park, H; Lee, JH (corresponding author), Univ Sci &amp; Technol, Dept Polar Sci, Inchon 406840, South Korea.;Park, H (corresponding author), Scripps Florida, Scripps Res Inst, Xray Core, 130 Scripps Way 1A1, Jupiter, FL 33458 USA.</t>
  </si>
  <si>
    <t>hpark@kopri.re.kr; hajpark@scripps.edu; junhyucklee@kopri.re.kr</t>
  </si>
  <si>
    <t>Lee, Chang-Woo/L-5093-2015</t>
  </si>
  <si>
    <t>Park, Hyun/0000-0002-8055-2010; , Hackwon/0000-0001-7663-2010</t>
  </si>
  <si>
    <t>Antarctic organisms: Cold-Adaptation Mechanisms from Korea Polar Research Institute [PE15070, PE16070]</t>
  </si>
  <si>
    <t>Antarctic organisms: Cold-Adaptation Mechanisms from Korea Polar Research Institute</t>
  </si>
  <si>
    <t>We thank the staff at the X-ray core facility of the Korea Basic Science Institute (Ochang, Korea). This work was supported by the Antarctic organisms: Cold-Adaptation Mechanisms and its application grant (PE15070 and PE16070) from the Korea Polar Research Institute.</t>
  </si>
  <si>
    <t>MICROBIOLOGICAL SOCIETY KOREA</t>
  </si>
  <si>
    <t>KOREA SCIENCE &amp; TECHNOLOGY CENTER 803, 635-4 YEOGSAM-DONG, KANGNAM-KU, SEOUL 135-703, SOUTH KOREA</t>
  </si>
  <si>
    <t>1225-8873</t>
  </si>
  <si>
    <t>1976-3794</t>
  </si>
  <si>
    <t>J MICROBIOL</t>
  </si>
  <si>
    <t>J. Microbiol.</t>
  </si>
  <si>
    <t>10.1007/s12275-016-5549-2</t>
  </si>
  <si>
    <t>DC2KT</t>
  </si>
  <si>
    <t>WOS:000369046300005</t>
  </si>
  <si>
    <t>Lavers, JL; Bond, AL</t>
  </si>
  <si>
    <t>Lavers, Jennifer L.; Bond, Alexander L.</t>
  </si>
  <si>
    <t>Selectivity of flesh-footed shearwaters for plastic colour: Evidence for differential provisioning in adults and fledglings</t>
  </si>
  <si>
    <t>MARINE ENVIRONMENTAL RESEARCH</t>
  </si>
  <si>
    <t>Behaviour; Colour preference; Feeding; Plastics; Seabirds; Selection</t>
  </si>
  <si>
    <t>PUFFINUS-CARNEIPES; TAILED SHEARWATERS; INGESTION; SEABIRDS; ISLAND; SOUTH; ACCUMULATION; SIMILARITY; PARTICLES; ABUNDANCE</t>
  </si>
  <si>
    <t>The ingestion of plastic by seabirds has been used as an indicator of population and ocean health. However, few studies have examined adults and juveniles of the same species concurrent with the availability of plastic in the local marine environment. In King George Sound (KGS), Western Australia, 13% of adult flesh-footed shearwaters (Ardenna carneipes) and 90% of fledglings contained plastic items in their digestive tract. On Lord Howe Island (LHI), New South Wales, 75% of adult shearwaters and 100% of fledglings contained plastic. Ingested items were assessed using Jaccard's Index (where J = 0 indicates complete dissimilarity and J = 1 complete similarity). The colour of items ingested by self- and chick-provisioning shearwaters from KGS exhibited broad overlap with plastic available in the local environment (J = 0.78-0.80), and plastic in adults and fledglings from LHI were less similar to those available (J = 0.31-0.58). Additional data on seabird colour selection would improve our understanding of the factors influencing the behaviour of ingesting plastic, and its contribution to the decline of some species. (C) 2015 Elsevier Ltd. All rights reserved.</t>
  </si>
  <si>
    <t>[Lavers, Jennifer L.] Univ Tasmania, Inst Marine &amp; Antarctic Studies, 20 Castray Esplanade, Sandy Bay, Tas 7004, Australia; [Bond, Alexander L.] Royal Soc Protect Birds, RSPB Ctr Conservat Sci, Sandy SG19 2DL, Beds, England</t>
  </si>
  <si>
    <t>University of Tasmania; Royal Society for Protection of Birds</t>
  </si>
  <si>
    <t>Lavers, JL (corresponding author), Univ Tasmania, Inst Marine &amp; Antarctic Studies, 20 Castray Esplanade, Sandy Bay, Tas 7004, Australia.</t>
  </si>
  <si>
    <t>Jennifer.Lavers@utas.edu.au</t>
  </si>
  <si>
    <t>Lavers, Jennifer/IWM-5417-2023; Lavers, Jennifer/O-4831-2017; Bond, Alexander L/A-3786-2010</t>
  </si>
  <si>
    <t>Lavers, Jennifer/0000-0001-7596-6588; Bond, Alexander/0000-0003-2125-7238</t>
  </si>
  <si>
    <t>Toole, Trading Consultants Ltd, Two Hands Project; Western Australian Department of Parks and Wildlife; W.V. Scott Charitable Trust</t>
  </si>
  <si>
    <t>C. &amp; G. Biddulph, P. Collins, N. Dunlop, L M. Fardim, A. Fidler, A. Forrest, S. Gleave, I. Hutton, A. McGilvray, C. Powell, J. Pridham, Save our Shearwaters, P. Sharp, H. Simpson, S. Stuckenbrock, S. Toole, Trading Consultants Ltd, Two Hands Project, V. Wellington, Western Australian Department of Parks and Wildlife, and the W.V. Scott Charitable Trust provided funding or logistical support for this project. Comments from three anonymous reviewers improved earlier drafts.</t>
  </si>
  <si>
    <t>0141-1136</t>
  </si>
  <si>
    <t>1879-0291</t>
  </si>
  <si>
    <t>MAR ENVIRON RES</t>
  </si>
  <si>
    <t>Mar. Environ. Res.</t>
  </si>
  <si>
    <t>10.1016/j.marenvres.2015.10.011</t>
  </si>
  <si>
    <t>Environmental Sciences; Marine &amp; Freshwater Biology; Toxicology</t>
  </si>
  <si>
    <t>Environmental Sciences &amp; Ecology; Marine &amp; Freshwater Biology; Toxicology</t>
  </si>
  <si>
    <t>DC1BM</t>
  </si>
  <si>
    <t>WOS:000368951800001</t>
  </si>
  <si>
    <t>Gugliandolo, C; Michaud, L; Lo Giudice, A; Lentini, V; Rochera, C; Camacho, A; Maugeri, TL</t>
  </si>
  <si>
    <t>Gugliandolo, Concetta; Michaud, Luigi; Lo Giudice, Angelina; Lentini, Valeria; Rochera, Carlos; Camacho, Antonio; Maugeri, Teresa Luciana</t>
  </si>
  <si>
    <t>Prokaryotic Community in Lacustrine Sediments of Byers Peninsula (Livingston Island, Maritime Antarctica)</t>
  </si>
  <si>
    <t>Bacterial diversity; Maritime Antarctic lakes; 454 Pyrosequencing</t>
  </si>
  <si>
    <t>IN-SITU HYBRIDIZATION; MICROBIAL COMMUNITY; SP-NOV.; BACTERIOPLANKTON COMMUNITY; LAKE SEDIMENT; GEN. NOV.; BACTERIAL; FLAVOBACTERIUM; DIVERSITY; IDENTIFICATION</t>
  </si>
  <si>
    <t>Byers Peninsula (Livingston Island, Antarctica), the largest seasonally ice-free region of the Maritime Antarctica, holds a large number of lakes, ponds, and streams. The prokaryotic structure and bacterial diversity in sediment samples collected during the 2008-2009 austral summer from five inland lakes, two coastal lakes, and an estuarine site were analyzed by Catalyzed Reporter Deposition Fluorescence In Situ Hybridization (CARD-FISH) and 16S rRNA 454 tag pyrosequencing techniques, respectively. Differently from inland lakes, which range around the oligotrophic status, coastal lakes are eutrophic environments, enriched by nutrient inputs from marine animals. Although the prokaryotic abundances (estimated as DAPI stained cells) in sediment samples were quite similar among inland and coastal lakes, Bacteria always far dominated over Archaea. Despite the phylogenetic analysis indicated that most of sequences were affiliated to a few taxonomic groups, mainly referred to Proteobacteria, Bacteroidetes, and Actinobacteria, their relative abundances greatly differed from each site. Differences in bacterial composition showed that lacustrine sediments were more phyla rich than the estuarine sediment. Proteobacterial classes in lacustrine samples were dominated by Betaproteobacteria (followed by Alphaproteobacteria, Deltaproteobacteria, and Gammaproteobacteria), while in the estuarine sample, they were mainly related to Gammaproteobacteria (followed by Deltaproteobacteria, Epsilonproteobacteria, Alphaproteobacteria, and Betaproteobacteria). Higher number of sequences of Alphaproteobacteria, Cyanobacteria, Verrucomicrobia, and Planctomycetes were observed in sediments of inland lakes compared to those of coastal lakes, whereas Chloroflexi were relatively more abundant in the sediments of coastal eutrophic lakes. As demonstrated by the great number of dominant bacterial genera, bacterial diversity was higher in the sediments of inland lakes than that in coastal lakes. Ilumatobacter (Actinobacteria), Gp16 (Acidobacteria), and Gemmatimonas (Gemmatimonadetes) were recovered as dominant genera in both inland and coastal lakes, but not in the estuarine sample, indicating that they may be useful markers of Antarctic lakes. The proximity to the sea, the different lake depths and the external or internal origin of the nutrient sources shape the bacterial communities composition in lacustrine sediments of Byers Peninsula.</t>
  </si>
  <si>
    <t>[Gugliandolo, Concetta; Michaud, Luigi; Lo Giudice, Angelina; Lentini, Valeria; Maugeri, Teresa Luciana] Univ Messina, Res Ctr Extreme Environm &amp; Extremophiles, Dept Biol &amp; Environm Sci, Vle F Stagno Alcontres 31, I-98166 Messina, Italy; [Lo Giudice, Angelina] Natl Res Council IAMC CNR, Inst Coastal Marine Environm, Spianata San Raineri 86, I-98122 Messina, Italy; [Rochera, Carlos; Camacho, Antonio] Univ Valencia, Cavanilles Inst Biodivers &amp; Evolutionary Biol, Campus Burjassot, E-46100 Burjassot, Spain; [Rochera, Carlos; Camacho, Antonio] Univ Valencia, Dept Microbiol &amp; Ecol, Campus Burjassot, E-46100 Burjassot, Spain</t>
  </si>
  <si>
    <t>University of Messina; Consiglio Nazionale delle Ricerche (CNR); L'Istituto per l'Ambiente Marino Costiero (IAMC-CNR); University of Valencia; University of Valencia</t>
  </si>
  <si>
    <t>Gugliandolo, C (corresponding author), Univ Messina, Res Ctr Extreme Environm &amp; Extremophiles, Dept Biol &amp; Environm Sci, Vle F Stagno Alcontres 31, I-98166 Messina, Italy.</t>
  </si>
  <si>
    <t>cgugliandolo@unime.it</t>
  </si>
  <si>
    <t>Rochera, Carlos/M-2932-2014; Gugliandolo, Concetta/L-6855-2015; Camacho, Antonio/I-3417-2015</t>
  </si>
  <si>
    <t>Rochera, Carlos/0000-0002-8294-4755; Gugliandolo, Concetta/0000-0002-9125-3999; Camacho, Antonio/0000-0003-0841-2010</t>
  </si>
  <si>
    <t>National Antarctic Research Program (PNRA); Italian Ministry of Education and Research [PNRA 2010/C1.04]; Spanish Ministry of Education and Science [CGL2005-06549-C02-02/ANT]; European FEDER funds; IPY Byers Peninsula/Limnopolar Project - Spanish Ministry of Science and Technology [POL2006-06635]</t>
  </si>
  <si>
    <t>National Antarctic Research Program (PNRA); Italian Ministry of Education and Research(Ministry of Education, Universities and Research (MIUR)); Spanish Ministry of Education and Science(Spanish Government); European FEDER funds(European Union (EU)); IPY Byers Peninsula/Limnopolar Project - Spanish Ministry of Science and Technology</t>
  </si>
  <si>
    <t>This work was supported by grant from the National Antarctic Research Program (PNRA), Italian Ministry of Education and Research (project PNRA 2010/C1.04): Studio della diversita microbica (Batteri ed Archea) nel continente antartico to Dr. Valeria Lentini, and by grant CGL2005-06549-C02-02/ANT from the Spanish Ministry of Education and Science to AC (co-financed by European FEDER funds). We thank Ciro Rappazzo for his help in sediment analyses in our lab at the University of Valencia. Logistics for sample collection was also partly supported by the IPY Byers Peninsula/Limnopolar Project (POL2006-06635) funded by the Spanish Ministry of Science and Technology. We are very grateful to the rest of members of the Limnopolar Research Team for their invaluable help in the field site, as well as to the UTM (Maritime Technology Unit, CSIC) and Las Palmas crew (Spanish Navy) who provided us with strong logistical support to make possible this expedition.</t>
  </si>
  <si>
    <t>10.1007/s00248-015-0666-8</t>
  </si>
  <si>
    <t>DC2QM</t>
  </si>
  <si>
    <t>WOS:000369061400012</t>
  </si>
  <si>
    <t>Yannic, G; Yearsley, JM; Sermier, R; Dufresnes, C; Gilg, O; Aebischer, A; Gavrilo, MV; Strom, H; Mallory, ML; Morrison, RIG; Gilchrist, HG; Broquet, T</t>
  </si>
  <si>
    <t>Yannic, Glenn; Yearsley, Jonathan M.; Sermier, Roberto; Dufresnes, Christophe; Gilg, Olivier; Aebischer, Adrian; Gavrilo, Maria V.; Strom, Hallvard; Mallory, Mark L.; Morrison, R. I. Guy; Gilchrist, H. Grant; Broquet, Thomas</t>
  </si>
  <si>
    <t>High connectivity in a long-lived high-Arctic seabird, the ivory gull Pagophila eburnea</t>
  </si>
  <si>
    <t>Natal dispersal; Breeding dispersal; Effective number of breeders; Population genetic structure; Overlapping generation model</t>
  </si>
  <si>
    <t>POPULATION-SIZE; CLIMATE-CHANGE; GENETIC DIFFERENTIATION; BREEDING DISPERSAL; SURVIVAL; EVOLUTION; CONSERVATION; RECRUITMENT; ADAPTATION; RESPONSES</t>
  </si>
  <si>
    <t>Species may cope with rapid habitat changes by distribution shifts or adaptation to new conditions. A common feature of these responses is that they depend on how the process of dispersal connects populations, both demographically and genetically. We analyzed the genetic structure of a near-threatened high-Arctic seabird, the ivory gull (Pagophila eburnea) in order to infer the connectivity among gull colonies. We analyzed 343 individuals sampled from 16 localities across the circumpolar breeding range of ivory gulls, from northern Russia to the Canadian Arctic. To explore the roles of natal and breeding dispersal, we developed a population genetic model to relate dispersal behavior to the observed genetic structure of worldwide ivory gull populations. Our key finding is the striking genetic homogeneity of ivory gulls across their entire distribution range. The lack of population genetic structure found among colonies, in tandem with independent evidence of movement among colonies, suggests that ongoing effective dispersal is occurring across the Arctic Region. Our results contradict the dispersal patterns generally observed in seabirds where species movement capabilities are often not indicative of dispersal patterns. Model predictions show how natal and breeding dispersal may combine to shape the genetic homogeneity among ivory gull colonies separated by up to 2800 km. Although field data will be key to determine the role of dispersal for the demography of local colonies and refine the respective impacts of natal versus breeding dispersal, conservation planning needs to consider ivory gulls as a genetically homogeneous, Arctic-wide metapopulation effectively connected through dispersal.</t>
  </si>
  <si>
    <t>[Yannic, Glenn] Univ Laval, Dept Biol, Laval, PQ G1V 0A6, Canada; [Yannic, Glenn] Univ Moncton, Dept Biol, Canada Res Chair Polar &amp; Boreal Ecol, Moncton, NB E1A 3E9, Canada; [Yannic, Glenn; Gilg, Olivier] Grp Rech Ecol Arctique, F-21440 Francheville, France; [Yearsley, Jonathan M.] Univ Coll Dublin, Sch Biol &amp; Environm Sci, Dublin 2, Ireland; [Sermier, Roberto; Dufresnes, Christophe] Univ Lausanne, Dept Ecol &amp; Evolut, CH-1015 Lausanne, Switzerland; [Gilg, Olivier] Univ Bourgogne, UMR CNRS 5561, Equipe Ecol Evolut, Lab Biogeosci, 6 Blvd Gabriel, F-21000 Dijon, France; [Aebischer, Adrian] Museum Nat Hist, Chemin Musee 6, CH-1700 Fribourg, Switzerland; [Gavrilo, Maria V.] Natl Pk Russian Arctic, 57 Sovetskikh Kosmonavtov Pr, Arkhangelsk 168000, Russia; [Gavrilo, Maria V.] Joint Directorate Taimyr Nat Reserves, 22 Talnakhskaya, Norilsk 663300, Russia; [Strom, Hallvard] Norwegian Polar Res Inst, Fram Ctr, N-9296 Tromso, Norway; [Mallory, Mark L.] Acadia Univ, Dept Biol, 33 Westwood Ave, Wolfville, NS B4P 2R6, Canada; [Morrison, R. I. Guy] Environm Canada, Natl Wildlife Res Ctr, Ottawa, ON K1A 0H3, Canada; [Gilchrist, H. Grant] Carleton Univ, Natl Wildlife Res Ctr, Environm Canada, Ottawa, ON K1S 5B6, Canada; [Gilchrist, H. Grant] Carleton Univ, Dept Biol, Ottawa, ON K1S 5B6, Canada; [Broquet, Thomas] CNRS, Team Div &amp; Connect Coastal Marine Landscapes, Stn Biol Roscoff, F-29680 Roscoff, France; [Broquet, Thomas] Univ Paris 06, UMR 7144, Stn Biol Roscoff, Sorbonne Univ, F-29680 Roscoff, France; [Yannic, Glenn] Univ Savoie Mont Blanc, CNRS UMR 5553, LECA Lab Ecol Alpine, F-73376 Le Bourget Du Lac, France</t>
  </si>
  <si>
    <t>Laval University; University of Moncton; University College Dublin; University of Lausanne; Centre National de la Recherche Scientifique (CNRS); Universite de Bourgogne; Norwegian Polar Institute; Acadia University; Environment &amp; Climate Change Canada; Canadian Wildlife Service; National Wildlife Research Centre - Canada; Environment &amp; Climate Change Canada; Canadian Wildlife Service; National Wildlife Research Centre - Canada; Carleton University; Carleton University; Centre National de la Recherche Scientifique (CNRS); Sorbonne Universite; Sorbonne Universite; Centre National de la Recherche Scientifique (CNRS); CNRS - Institute of Ecology &amp; Environment (INEE); Centre National de la Recherche Scientifique (CNRS); CNRS - Institute of Ecology &amp; Environment (INEE); Communaute Universite Grenoble Alpes; Universite Grenoble Alpes (UGA); Universite Savoie Mont Blanc</t>
  </si>
  <si>
    <t>Yannic, G (corresponding author), Univ Laval, Dept Biol, Laval, PQ G1V 0A6, Canada.</t>
  </si>
  <si>
    <t>glenn.yannic@gmail.com</t>
  </si>
  <si>
    <t>Dufresnes, Christophe/U-1387-2019; Gavrilo, Maria V/R-7091-2016; YANNIC, Glenn/HDO-0551-2022; GILG, Olivier/C-2588-2008; Yearsley, Jon/H-5301-2011; Mallory, Mark/A-1952-2017</t>
  </si>
  <si>
    <t>Gavrilo, Maria V/0000-0002-3500-9617; YANNIC, Glenn/0000-0002-6477-2312; GILG, Olivier/0000-0002-9083-4492; Broquet, Thomas/0000-0002-2986-2822; Dufresnes, Christophe/0000-0002-8497-8908; Yearsley, Jon/0000-0003-1838-0454; Mallory, Mark/0000-0003-2744-3437</t>
  </si>
  <si>
    <t>foundation Ellis Elliot (Switzerland); Societe vaudoise des Sciences naturelles (Switzerland); Nos Oiseaux (Switzerland); foundation Agassiz (Switzerland); Nicolas Perrin's research group, Department of Ecology and Evolution at University of Lausanne, Switzerland; National Geographic Society; Prix Gore-Tex initiative; Foundation Avenir Finance; Arctic Ocean Diversity Census of Marine Life Project; CNES; CLS; Norwegian Ministry of Environment; Norwegian Polar Institute; Arctic and Antarctic Research Institute; Russian IPY program</t>
  </si>
  <si>
    <t>foundation Ellis Elliot (Switzerland); Societe vaudoise des Sciences naturelles (Switzerland); Nos Oiseaux (Switzerland); foundation Agassiz (Switzerland); Nicolas Perrin's research group, Department of Ecology and Evolution at University of Lausanne, Switzerland; National Geographic Society(National Geographic Society); Prix Gore-Tex initiative; Foundation Avenir Finance; Arctic Ocean Diversity Census of Marine Life Project; CNES(Centre National D'etudes Spatiales); CLS; Norwegian Ministry of Environment; Norwegian Polar Institute; Arctic and Antarctic Research Institute; Russian IPY program</t>
  </si>
  <si>
    <t>This work was supported by grants from foundation Ellis Elliot (Switzerland), Societe vaudoise des Sciences naturelles (Switzerland) and Nos Oiseaux (Switzerland) to G.Y., by a foundation Agassiz (Switzerland) grant to T.B. and by the Nicolas Perrin's research group, Department of Ecology and Evolution at University of Lausanne, Switzerland. Field work in Greenland was supported by the National Geographic Society, Prix Gore-Tex initiative, Foundation Avenir Finance, the Arctic Ocean Diversity Census of Marine Life Project, CNES, CLS and F. Paulsen. The ivory gull project was part of the work plan of the Joint Norwegian-Russian Commission on Environmental Protection, and fieldwork in Norway and Russia was funded by the Norwegian Ministry of Environment, the Norwegian Polar Institute, Arctic and Antarctic Research Institute and Russian IPY 2007/08 program. We are grateful to Emmanuelle Pouive, Brigitte Sabard, Vladimir Sokolov and Oleg Prodan, Vorkuta helicopter crew commanded by Sergey Kiryushkin for logistical assistance, Russian colleagues Mikhail Ivanov, Andrey and Elena Volkov for participating in fieldwork. Constructive comments by Nigel G. Yoccoz and two anonymous referees improved the manuscript.</t>
  </si>
  <si>
    <t>10.1007/s00300-015-1775-z</t>
  </si>
  <si>
    <t>DC2SY</t>
  </si>
  <si>
    <t>WOS:000369067900003</t>
  </si>
  <si>
    <t>Liang, Y; Bai, X; Jiang, Y; Wang, M; He, J; McMinn, A</t>
  </si>
  <si>
    <t>Liang, Y.; Bai, X.; Jiang, Y.; Wang, M.; He, J.; McMinn, A.</t>
  </si>
  <si>
    <t>Distribution of marine viruses and their potential hosts in Prydz Bay and adjacent Southern Ocean, Antarctic</t>
  </si>
  <si>
    <t>Virus; Heterotrophic bacteria; Picoeukaryotes; Antarctic; Prydz Bay</t>
  </si>
  <si>
    <t>LARGE-SCALE DISTRIBUTION; BATHYPELAGIC WATERS; COMMUNITY STRUCTURE; VIRAL-INFECTION; FLOW-CYTOMETRY; MICROBIAL ECOLOGY; DEEP WATERS; GROWTH-RATE; ABUNDANCE; PHYTOPLANKTON</t>
  </si>
  <si>
    <t>Viruses play a key role in all marine ecosystems, and yet little is known of their distribution in Antarctic waters, especially in bathypelagic waters (&gt; 1000 m). In this study, the abundance and distribution of viruses and their potential hosts from the surface to the bottom of Prydz Bay, Antarctic, was investigated using flow cytometry. Viruses and autotrophs were abundant in nearshore and continental shelf waters, while heterotrophic bacteria and picoeukaryotes were abundant in offshore waters. Virus and bacteria abundances generally decreased with increasing depth but increased slightly just above the seafloor. Within the water column, maximum virus numbers coincided with the maximum values of chlorophyll a (when greater than 0.1 mu g l(-1)), in the surface and subsurface (25 m). In the open ocean, however, virus abundance usually correlated with bacterial abundance at greater depths (50, 300 and 500 m) where the surface chlorophyll a concentration was lower than 0.1 mu g l(-1). Viral abundance was correlated with the host cell abundance, and this was different in different pelagic zones (bacteria and autotrophs (i.e., chlorophyll a concentration) in the epipelagic waters, picoeukaryotes and bacteria in mesopelagic waters and bacteria in bathypelagic waters). Principle component analysis and Pearson correlation analysis indicated that there was a close relationship between virus abundance and chlorophyll a, bacteria and nutrients (NO2 + NO3, phosphate and silicate), and picoeukaryote abundance was mainly correlated with water depth and salinity.</t>
  </si>
  <si>
    <t>[Liang, Y.; Bai, X.; Jiang, Y.; Wang, M.] Ocean Univ China, Coll Marine Life Sci, Minist Educ China, Key Lab Marine Genet &amp; Breeding, Qingdao 266003, Peoples R China; [Liang, Y.] Chinese Acad Sci, Qingdao Inst BioEnergy &amp; BioProc Technol, Qingdao 266101, Peoples R China; [Bai, X.; He, J.] Polar Res Inst China, SOA Key Lab Polar Sci, Shanghai 200136, Peoples R China; [Bai, X.] 39 Middle Sch, Qingdao 266003, Shandong, Peoples R China; [Wang, M.] Ocean Univ China, Key Lab Polar Oceanog &amp; Global Ocean Change, Qingdao 266003, Peoples R China; [McMinn, A.] Univ Tasmania, Inst Marine &amp; Antarctic Studies, Hobart, Tas, Australia</t>
  </si>
  <si>
    <t>Ocean University of China; Chinese Academy of Sciences; Qingdao Institute of Bioenergy &amp; Bioprocess Technology, CAS; Polar Research Institute of China; Ocean University of China; University of Tasmania</t>
  </si>
  <si>
    <t>Wang, M (corresponding author), Ocean Univ China, Coll Marine Life Sci, Minist Educ China, Key Lab Marine Genet &amp; Breeding, Qingdao 266003, Peoples R China.;He, J (corresponding author), Polar Res Inst China, SOA Key Lab Polar Sci, Shanghai 200136, Peoples R China.</t>
  </si>
  <si>
    <t>mingwang@ouc.edu.cn; hejianfeng@pric.gov.cn; Andrew.McMinn@utas.edu.au</t>
  </si>
  <si>
    <t>Jiang, Yong/AGK-3016-2022; Wang, Min/AFR-9645-2022; McMinn, Andrew/A-9910-2008</t>
  </si>
  <si>
    <t>Jiang, Yong/0000-0002-4072-1668; Wang, Min/0000-0002-2357-589X; Jiang, Yong/0000-0001-6055-488X</t>
  </si>
  <si>
    <t>Grants from Marine biodiversity in the surrounding waters of Antarctic and investigation of ecological environment [CHINARE-2012-01-05 till 2015-01-05]; National Key Basic Research Program of China [2013CB955700]; SOA Project [GASI-03-01-02-05]</t>
  </si>
  <si>
    <t>Grants from Marine biodiversity in the surrounding waters of Antarctic and investigation of ecological environment; National Key Basic Research Program of China(National Basic Research Program of China); SOA Project</t>
  </si>
  <si>
    <t>We thank the crews of RV Xuelong for their assistance with sample collection during the cruise. This research was supported by the Grants from Marine biodiversity in the surrounding waters of Antarctic and investigation of ecological environment (No. CHINARE-2012-01-05 till 2015-01-05), the National Key Basic Research Program of China (No. 2013CB955700) and the SOA Project (No. GASI-03-01-02-05).</t>
  </si>
  <si>
    <t>10.1007/s00300-015-1787-8</t>
  </si>
  <si>
    <t>WOS:000369067900013</t>
  </si>
  <si>
    <t>Sackett, O; Petrou, K; Reedy, B; Hill, R; Doblin, M; Beardall, J; Ralph, P; Heraud, P</t>
  </si>
  <si>
    <t>Sackett, Olivia; Petrou, Katherina; Reedy, Brian; Hill, Ross; Doblin, Martina; Beardall, John; Ralph, Peter; Heraud, Philip</t>
  </si>
  <si>
    <t>Snapshot prediction of carbon productivity, carbon and protein content in a Southern Ocean diatom using FTIR spectroscopy</t>
  </si>
  <si>
    <t>ISME JOURNAL</t>
  </si>
  <si>
    <t>TRANSFORM INFRARED-SPECTROSCOPY; ANTARCTIC SEA-ICE; FRAGILARIOPSIS-CYLINDRUS; BIOCHEMICAL-COMPOSITION; ALGAL COMMUNITIES; PHYTOPLANKTON; MICROSPECTROSCOPY; WATER; ACCLIMATION; STRESS</t>
  </si>
  <si>
    <t>Diatoms, an important group of phytoplankton, bloom annually in the Southern Ocean, covering thousands of square kilometers and dominating the region's phytoplankton communities. In their role as the major food source to marine grazers, diatoms supply carbon, nutrients and energy to the Southern Ocean food web. Prevailing environmental conditions influence diatom phenotypic traits (for example, photophysiology, macromolecular composition and morphology), which in turn affect the transfer of energy, carbon and nutrients to grazers and higher trophic levels, as well as oceanic biogeochemical cycles. The paucity of phenotypic data on Southern Ocean phytoplankton limits our understanding of the ecosystem and how it may respond to future environmental change. Here we used a novel approach to create a 'snapshot' of cell phenotype. Using mass spectrometry, we measured nitrogen (a proxy for protein), total carbon and carbon-13 enrichment (carbon productivity), then used this data to build spectroscopy-based predictive models. The models were used to provide phenotypic data for samples from a third sample set. Importantly, this approach enabled the first ever rate determination of carbon productivity from a single time point, circumventing the need for time-series measurements. This study showed that Chaetoceros simplex was less productive and had lower protein and carbon content during short-term periods of high salinity. Applying this new phenomics approach to natural phytoplankton samples could provide valuable insight into understanding phytoplankton productivity and function in the marine system.</t>
  </si>
  <si>
    <t>[Sackett, Olivia; Petrou, Katherina; Doblin, Martina; Ralph, Peter] Univ Technol Sydney, Fac Sci, Plant Funct Biol &amp; Climate Change Cluster, Sydney, NSW 2007, Australia; [Sackett, Olivia; Beardall, John; Heraud, Philip] Monash Univ, Sch Biol Sci, Melbourne, Vic 3008, Australia; [Reedy, Brian] Univ Technol Sydney, Sch Chem &amp; Forens Sci, Sydney, NSW 2007, Australia; [Hill, Ross] Univ New S Wales, Ctr Marine Bioinnovat, Sydney, NSW, Australia; [Hill, Ross] Univ New S Wales, Sch Biol Earth &amp; Environm Sci, Sydney Inst Marine Sci, Sydney, NSW, Australia; [Beardall, John] Monash Univ, Ctr Biospectroscopy, Melbourne, Vic 3008, Australia; [Heraud, Philip] Monash Univ, Ctr Biospectroscopy, Sch Chem, Melbourne, Vic 3008, Australia</t>
  </si>
  <si>
    <t>University of Technology Sydney; Monash University; Melbourne Genomics Health Alliance; University of Technology Sydney; University of New South Wales Sydney; University of New South Wales Sydney; Sydney Institute of Marine Science; Monash University; Melbourne Genomics Health Alliance; Monash University; Melbourne Genomics Health Alliance</t>
  </si>
  <si>
    <t>Heraud, P (corresponding author), Monash Univ, Sch Biol Sci, Melbourne, Vic 3008, Australia.</t>
  </si>
  <si>
    <t>phil.heraud@monash.edu</t>
  </si>
  <si>
    <t>Hill, Ross/E-6075-2013; Ralph, Peter/L-1527-2019; Doblin, Martina/L-1804-2019; Beardall, John/L-5262-2019</t>
  </si>
  <si>
    <t>Hill, Ross/0000-0002-4623-1563; Ralph, Peter/0000-0002-3103-7346; Doblin, Martina/0000-0001-8750-3433; Beardall, John/0000-0001-7684-446X; Petrou, Katherina/0000-0002-2703-0694; Heraud, Philip/0000-0003-4377-9184</t>
  </si>
  <si>
    <t>UTS</t>
  </si>
  <si>
    <t>We thank Dr Scarlett Trimborn or the identification of C. simplex by electron microscopy at the Alfred Wegener Institute for Polar and Marine Research. We thank Finlay Shanks at the Monash Centre for Biospectroscopy for continued instrument technical support. OS was supported by a UTS Doctoral Scholarship.</t>
  </si>
  <si>
    <t>1751-7362</t>
  </si>
  <si>
    <t>1751-7370</t>
  </si>
  <si>
    <t>ISME J</t>
  </si>
  <si>
    <t>ISME J.</t>
  </si>
  <si>
    <t>10.1038/ismej.2015.123</t>
  </si>
  <si>
    <t>Ecology; Microbiology</t>
  </si>
  <si>
    <t>DB5NO</t>
  </si>
  <si>
    <t>WOS:000368561100012</t>
  </si>
  <si>
    <t>Subt, C; Fangman, KA; Wellner, JS; Rosenheim, BE</t>
  </si>
  <si>
    <t>Subt, Cristina; Fangman, Kimberly A.; Wellner, Julia S.; Rosenheim, Brad E.</t>
  </si>
  <si>
    <t>Sediment chronology in Antarctic deglacial sediments: Reconciling organic carbon 14C ages to carbonate 14C ages using Ramped PyrOx</t>
  </si>
  <si>
    <t>Antarctic; bulk acid insoluble organic fraction; deglacial sediment; radiocarbon dating; Ramped PyrOx</t>
  </si>
  <si>
    <t>LAST GLACIAL MAXIMUM; ICE-SHEET; PENINSULA REGION; ROSS SEA; PYROLYSIS; HISTORY; RETREAT; SHELF</t>
  </si>
  <si>
    <t>We present the first study which directly compares carbonate radiocarbon (C-14) dates with the Ramped PyrOx (RP) radiocarbon dating technique within a single sediment core, and we confirm the utility for the latter constructing chronologies of high latitude, Holocene marine margin sediment successions. Historically, the heavily detrital nature of Antarctic margin sedimentary organic material and lack of carbonate preservation have made these sediments difficult to date accurately. Here, we use archived cores with existing foraminiferal ages to compare with RP dates at equal or similar depth intervals. The lowest temperature RP splits were integrated over narrower intervals than in previous studies to reduce the amount of mixing with older, more thermochemically stable end-members during pyrolytic decomposition. Ages of the low-temperature RP splits coincide with their corresponding carbonate counterparts, suggesting that the RP C-14 dating method is a reliable alternative to carbonate dates in sediments where carbonates are absent or not sufficiently preserved for C-14 dating. The rarity of calcareous material in most Antarctic sediments often obligates the use of the bulk acid insoluble organic (AIO) fraction of the sediment, which can be problematic because of contamination by older carbon. The bulk AIO C-14 ages, which are calculated using the weighted arithmetic mean of all RP splits of individual samples, show that age reversals and biases can occur using bulk AIO dates for age models because of variable proportions of pre-aged organic matter down-core. The application of the RP dating method can reduce these effects to produce a more reliable chronology that is statistically identical to the foraminiferal dating chronology.</t>
  </si>
  <si>
    <t>[Subt, Cristina; Rosenheim, Brad E.] Univ S Florida, Coll Marine Sci, St Petersburg, FL 33701 USA; [Fangman, Kimberly A.; Wellner, Julia S.] Univ Houston, Dept Earth &amp; Atmospher Sci, Houston, TX 77004 USA</t>
  </si>
  <si>
    <t>State University System of Florida; University of South Florida; University of Houston System; University of Houston</t>
  </si>
  <si>
    <t>Rosenheim, BE (corresponding author), Univ S Florida, Coll Marine Sci, 140 7th St South,MSL 217, St Petersburg, FL 33701 USA.</t>
  </si>
  <si>
    <t>brosenheim@usf.edu</t>
  </si>
  <si>
    <t>Rosenheim, Brad/F-6349-2012</t>
  </si>
  <si>
    <t>Rosenheim, Brad/0000-0001-6141-4651</t>
  </si>
  <si>
    <t>Division of Earth Sciences, USA National Science Foundation [NSF-EAR0929753, NSF-EAR1058517]</t>
  </si>
  <si>
    <t>Division of Earth Sciences, USA National Science Foundation</t>
  </si>
  <si>
    <t>This study was funded in part by grants NSF-EAR0929753 and NSF-EAR1058517 from the Division of Earth Sciences, USA National Science Foundation to BER.</t>
  </si>
  <si>
    <t>10.1177/0959683615608688</t>
  </si>
  <si>
    <t>DB2IT</t>
  </si>
  <si>
    <t>WOS:000368332200008</t>
  </si>
  <si>
    <t>Emery, TJ; Hartmann, K; Gardner, C</t>
  </si>
  <si>
    <t>Emery, Timothy J.; Hartmann, Klaas; Gardner, Caleb</t>
  </si>
  <si>
    <t>Management issues and options for small scale holobenthic octopus fisheries</t>
  </si>
  <si>
    <t>Octopus pallidus; Tasmania; Fisheries management; Holobenthic; Input controls; Minimum size limits; Fishery closures</t>
  </si>
  <si>
    <t>CEPHALOPODA FISHERY; STOCK ASSESSMENT; POPULATION-STRUCTURE; ARTISANAL FISHERY; VULGARIS MOLLUSCA; ELEDONE-CIRRHOSA; UNIT EFFORT; OCTOPODIDAE; ABUNDANCE; EXPLOITATION</t>
  </si>
  <si>
    <t>Octopuses are a difficult resource to manage due to their short life span, rapid growth, high natural mortality and sensitivity to environmental conditions. These biological traits result in seasonal fluctuations in abundance and subsequent landings. Twenty two octopus fisheries were reviewed from 17 countries to examine the application and effectiveness of different management measures for consideration in the Tasmanian Octopus pallidus fishery in Australia. While the most commonly used measures in these fisheries were input controls, particularly seasonal closures and minimum size limits, these controls are poorly suited to semelparous, holobenthic octopuses such as Octopus pallidus. A semelparous reproductive strategy means that minimum size limits don't allow animals to reproduce prior to capture. A holobenthic life history strategy means that fishery-wide seasonal closures are unable to address variation in biological characteristics (e.g. size at maturity) across sub-stocks and collectively reduce effort on vulnerable life stages. Seasonal closures and minimum size limits also reduce the economic efficiency of the fleet and may diminish fishery productivity through effort displacement and serial depletion. A rotational system of effort or cap on total effort that provides flexibility to fishers and effectively spreads fishing effort, allowing different areas or sub-stocks to recover, could be a more effective option for achieving the objectives of most octopus fisheries. (C) 2015 Elsevier Ltd. All rights reserved.</t>
  </si>
  <si>
    <t>[Emery, Timothy J.; Hartmann, Klaas; Gardner, Caleb] Univ Tasmania, Inst Marine &amp; Antarctic Studies, Hobart, Tas 7001, Australia</t>
  </si>
  <si>
    <t>Timothy.Emery@utas.edu.au; Klaas.Hartmann@utas.edu.au; Caleb.Gardner@utas.edu.au</t>
  </si>
  <si>
    <t>Hartmann, Klaas/B-3991-2008; Gardner, Caleb/I-7086-2013</t>
  </si>
  <si>
    <t>Emery, Timothy/0000-0002-4203-671X; Gardner, Caleb/0000-0003-0324-4337</t>
  </si>
  <si>
    <t>10.1016/j.ocecoaman.2015.12.004</t>
  </si>
  <si>
    <t>DB0TN</t>
  </si>
  <si>
    <t>WOS:000368220500017</t>
  </si>
  <si>
    <t>Foo, D; Semmens, JM; Arnould, JPY; Dorville, N; Hoskins, AJ; Abernathy, K; Marshall, GJ; Hindell, MA</t>
  </si>
  <si>
    <t>Foo, Dahlia; Semmens, Jayson M.; Arnould, John P. Y.; Dorville, Nicole; Hoskins, Andrew J.; Abernathy, Kyler; Marshall, Greg J.; Hindell, Mark A.</t>
  </si>
  <si>
    <t>Testing optimal foraging theory models on benthic divers</t>
  </si>
  <si>
    <t>accelerometry; Arctocephalus pusillus doriferus; benthic foragers; biologging; marine predators</t>
  </si>
  <si>
    <t>AUSTRALIAN FUR SEALS; BREATH-HOLD DIVERS; ANIMAL-BORNE VIDEO; TIME ALLOCATION; ACCELERATION DATA; WEDDELL SEALS; STRATEGIES; BEHAVIOR; SUCCESS; TEMPERATURE</t>
  </si>
  <si>
    <t>Empirical testing of optimal foraging models on diving air-breathing animals is limited due to difficulties in quantifying the prey field through direct observations. Here we used accelerometers to detect rapid head movements during prey encounter events (PEE) of free-ranging benthic-divers, Australian fur seals, Arctocephalus pusillus doriferus. PEE signals from accelerometer data were validated by simultaneous video data. We then used PEES as a measure of patch quality to test several optimal foraging model predictions. Seals had longer bottom durations in unfruitful dives (no PEE) than those with some foraging success (PEE &gt;= 1). However, when examined in greater detail, seals had longer bottom durations in dives with more PEES, but shorter bottom durations in bouts (sequences of dives) with more PEES. Our results suggest that seals were generally maximizing bottom durations in all foraging dives, characteristic of benthic divers. However, successful foraging dives might be more energetically costly (e.g. digestive costs), thus resulting in shorter bottom durations at the larger scale of bouts. Our study provides a case study of how the foraging behaviour of a central place forager foraging in a fairly homogeneous environment, with relatively high travel costs, may deviate from current foraging models under different situations. Future foraging models should aim to integrate other aspects (e.g. diet) of the foraging process for more accurate predictions. (C) 2015 The Association for the Study of Animal Behaviour. Published by Elsevier Ltd. All rights reserved.</t>
  </si>
  <si>
    <t>[Foo, Dahlia; Semmens, Jayson M.; Hindell, Mark A.] Univ Tasmania, Inst Marine &amp; Antarctic Studies, Private Bag 1, Hobart, Tas 7001, Australia; [Arnould, John P. Y.; Dorville, Nicole; Hoskins, Andrew J.] Deakin Univ, Sch Life &amp; Environm Sci, Burwood, Vic, Australia; [Abernathy, Kyler; Marshall, Greg J.] Natl Geog Televis, Remote Imaging Dept, Washington, DC USA</t>
  </si>
  <si>
    <t>University of Tasmania; Deakin University; National Geographic Society</t>
  </si>
  <si>
    <t>Foo, D (corresponding author), Univ Tasmania, Inst Marine &amp; Antarctic Studies, Private Bag 1, Hobart, Tas 7001, Australia.</t>
  </si>
  <si>
    <t>xhdfoo@utas.edu.au</t>
  </si>
  <si>
    <t>Hoskins, Andrew/T-2694-2019; Dorville, Nicole/IQX-1084-2023; Hindell, Mark A/K-1131-2013</t>
  </si>
  <si>
    <t>Hoskins, Andrew/0000-0001-8907-6682; Foo, Dahlia/0000-0002-4983-9208; Hindell, Mark/0000-0002-7823-7185; Semmens, Jayson/0000-0003-1742-6692</t>
  </si>
  <si>
    <t>10.1016/j.anbehav.2015.11.028</t>
  </si>
  <si>
    <t>DD0NX</t>
  </si>
  <si>
    <t>WOS:000369617800015</t>
  </si>
  <si>
    <t>Johnston, NM; Murphy, EJ; Cavanagh, RD</t>
  </si>
  <si>
    <t>Johnston, Nadine M.; Murphy, Eugene J.; Cavanagh, Rachel D.</t>
  </si>
  <si>
    <t>Unlocking the past to understand the future</t>
  </si>
  <si>
    <t>murphy, eugene/GZL-1620-2022</t>
  </si>
  <si>
    <t>Johnston, Nadine M/0000-0003-2211-1492</t>
  </si>
  <si>
    <t>10.1017/S0954102015000619</t>
  </si>
  <si>
    <t>WOS:000372521000001</t>
  </si>
  <si>
    <t>Haupt, TM; Sinclair, BJ; Shaw, JD; Chown, SL</t>
  </si>
  <si>
    <t>Haupt, Tanya M.; Sinclair, Brent J.; Shaw, Justine D.; Chown, Steven L.</t>
  </si>
  <si>
    <t>Further support for thermal ecosystem engineering by wandering albatross</t>
  </si>
  <si>
    <t>abundance; detritivore; development; microclimate; soil biology; survival; thermal biology</t>
  </si>
  <si>
    <t>PRINCE-EDWARD-ISLANDS; SUB-ANTARCTIC MARION; PRINGLEOPHAGA-MARIONI; LEPIDOPTERA; DYNAMICS; SEABIRDS; IMPACT</t>
  </si>
  <si>
    <t>On sub-Antarctic Marion Island, wandering albatross (Diomedea exulans) nests support high abundances of tineid moth, Pringleophaga marioni, caterpillars. Previous work proposed that the birds serve as thermal ecosystem engineers by elevating nest temperatures relative to ambient, thereby promoting growth and survival of the caterpillars. However, only 17 days of temperature data were presented previously, despite year-long nest occupation by birds. Previous sampling was also restricted to old and recently failed nests, though nests from which chicks have recently fledged are key to understanding how the engineering effect is realized. Here we build on previous work by providing nest temperature data for a full year and by sampling all three nest types. For the full duration of nest occupancy, temperatures within occupied nests are significantly higher, consistently by c. 7 degrees C, than those in surrounding soils and abandoned nests, declining noticeably when chicks fledge. Caterpillar abundance is significantly higher in new nests compared to nests from which chicks have fledged, which in turn have higher caterpillar abundances than old nests. Combined with recent information on the life history of P. marioni, our data suggest that caterpillars are incidentally added to the nests during nest construction, and subsequently benefit from an engineering effect.</t>
  </si>
  <si>
    <t>[Haupt, Tanya M.] Univ Stellenbosch, Dept Bot &amp; Zool, Ctr Invas Biol, Private Bag X1, ZA-7602 Matieland, South Africa; [Sinclair, Brent J.] Univ Western Ontario, Dept Biol, London, ON N6A 5B7, Canada; [Shaw, Justine D.] Univ Queensland, Sch Biol Sci, St Lucia, Qld 4072, Australia; [Shaw, Justine D.] Australian Antarctic Div, Terr &amp; Nearshore Ecosyst, Channel Highway, Kingston, Tas 7050, Australia; [Chown, Steven L.] Monash Univ, Sch Biol Sci, Clayton, Vic 3800, Australia; [Haupt, Tanya M.] Marine Biodivers &amp; Ecosyst Res, Oceans &amp; Coasts Branch, Dept Environm Affairs Oceans, Private Bag X2, ZA-8012 Cape Town, South Africa</t>
  </si>
  <si>
    <t>Stellenbosch University; Western University (University of Western Ontario); University of Queensland; Australian Antarctic Division; Monash University</t>
  </si>
  <si>
    <t>Sinclair, Brent J/C-6133-2012; Chown, Steven/ABD-7646-2021; Chown, Steven/H-3347-2011</t>
  </si>
  <si>
    <t>Chown, Steven/0000-0001-6069-5105; Shaw, Justine/0000-0002-9603-2271</t>
  </si>
  <si>
    <t>National Research Foundation through South African National Antarctic Programme [SNA14071475789]</t>
  </si>
  <si>
    <t>National Research Foundation through South African National Antarctic Programme</t>
  </si>
  <si>
    <t>We thank two anonymous reviewers for their helpful comments on the manuscript, Asanda Phiri for her dedicated assistance to the project, and Stephen Kirkman and Fhatani Ramwashe for assistance with Fig. 2. Mashudu Mashau, Kersti Hickley and Charlene Janion-Scheepers assisted with the sampling, and the albatross programme researchers, Maelle Connan and Mia Cerfonteyn, assisted with logger deployment. This work was supported by a National Research Foundation grant (SNA14071475789) through the South African National Antarctic Programme.</t>
  </si>
  <si>
    <t>10.1017/S0954102015000383</t>
  </si>
  <si>
    <t>WOS:000372521000005</t>
  </si>
  <si>
    <t>Zablocki, O; Adriaenssens, EM; Cowan, D</t>
  </si>
  <si>
    <t>Zablocki, Olivier; Adriaenssens, Evelien M.; Cowan, Don</t>
  </si>
  <si>
    <t>Diversity and Ecology of Viruses in Hyperarid Desert Soils</t>
  </si>
  <si>
    <t>STRANDED-DNA VIRUSES; ANTARCTIC DRY VALLEY; MARINE VIRUSES; MORPHOLOGICAL DIVERSITY; METAGENOMIC ANALYSIS; GENETIC DIVERSITY; VIRAL DIVERSITY; NAMIB DESERT; AMPLIFICATION; COMMUNITIES</t>
  </si>
  <si>
    <t>In recent years, remarkable progress has been made in the field of virus environmental ecology. In marine ecosystems, for example, viruses are now thought to play pivotal roles in the biogeochemical cycling of nutrients and to be mediators of microbial evolution through horizontal gene transfer. The diversity and ecology of viruses in soils are poorly understood, but evidence supports the view that the diversity and ecology of viruses in soils differ substantially from those in aquatic systems. Desert biomes cover similar to 33% of global land masses, and yet the diversity and roles of viruses in these dominant ecosystems remain poorly understood. There is evidence that hot hyperarid desert soils are characterized by high levels of bacterial lysogens and low extracellular virus counts. In contrast, cold desert soils contain high extracellular virus titers. We suggest that the prevalence of microbial biofilms in hyperarid soils, combined with extreme thermal regimens, exerts strong selection pressures on both temperate and virulent viruses. Many desert soil virus sequences show low values of identity to virus genomes in public databases, suggesting the existence of distinct and as-yet-uncharacterized soil phylogenetic lineages (e.g., cyanophages). We strongly advocate for amplification-free metavirome analyses while encouraging the classical isolation of phages from dominant and culturable microbial isolates in order to populate sequence databases. This review provides an overview of recent advances in the study of viruses in hyperarid soils and of the factors that contribute to viral abundance and diversity in hot and cold deserts and offers technical recommendations for future studies.</t>
  </si>
  <si>
    <t>[Zablocki, Olivier; Adriaenssens, Evelien M.; Cowan, Don] Univ Pretoria, Ctr Microbial Ecol &amp; Genom, ZA-0002 Pretoria, South Africa</t>
  </si>
  <si>
    <t>Cowan, D (corresponding author), Univ Pretoria, Ctr Microbial Ecol &amp; Genom, ZA-0002 Pretoria, South Africa.</t>
  </si>
  <si>
    <t>Adriaenssens, Evelien/E-8004-2013; Zablocki, Olivier/I-3337-2015; Cowan, Donald A/E-3991-2012</t>
  </si>
  <si>
    <t>Adriaenssens, Evelien/0000-0003-4826-5406; Zablocki, Olivier/0000-0001-7561-1373; Cowan, Donald A/0000-0001-8059-861X</t>
  </si>
  <si>
    <t>South African National Research Foundation; University of Pretoria Genomics Research Institute; Claude Leon Foundation Postdoctoral Fellowship program</t>
  </si>
  <si>
    <t>South African National Research Foundation(National Research Foundation - South Africa); University of Pretoria Genomics Research Institute; Claude Leon Foundation Postdoctoral Fellowship program</t>
  </si>
  <si>
    <t>This work was funded by the South African National Research Foundation and the University of Pretoria Genomics Research Institute. E.M.A. is funded by the Claude Leon Foundation Postdoctoral Fellowship program.</t>
  </si>
  <si>
    <t>10.1128/AEM.02651-15</t>
  </si>
  <si>
    <t>DC7BR</t>
  </si>
  <si>
    <t>WOS:000369373800001</t>
  </si>
  <si>
    <t>Current bycatch levels in Auckland Islands trawl fisheries unlikely to be driving New Zealand sea lion (Phocarctos hookeri)population decline</t>
  </si>
  <si>
    <t>ocean; endangered species; modelling; sustainability; mammals; fishing; trawling</t>
  </si>
  <si>
    <t>PHOCARCTOS-HOOKERI; PUP PRODUCTION; MORTALITY; IHUPUKU; AGE</t>
  </si>
  <si>
    <t>1. New Zealand sea lions are incidentally killed in trawl fisheries around the Auckland Islands with most mortality having been attributed to the Auckland Islands squid fishery. Fishery management measures include the establishment of a 12 nautical mile marine reserve around the Auckland Islands excluding all fishing within that range, the instigation of mortality limits that can trigger spatio-temporal closures, and widespread use of a Sea Lion Excluder Device' (SLED) that allows sea lions to escape from a trawl net. Although there has been controversy regarding SLED efficacy, the evidence from numerous research trials and assessments is that SLEDs have contributed to reduced rates of sea lion bycatch in the Auckland Islands squid fishery. 2. Population viability analysis (PVA) modelling, using VORTEX, of the Auckland Islands New Zealand sea lion population was undertaken to ascertain if the reported levels of bycatch of sea lions in trawl fisheries around the Auckland Islands are sustainable following substantial and effective mitigation to reduce bycatch, particularly in the Auckland Islands squid fishery. 3. Modelling indicated slow population growth of the Auckland Islands New Zealand sea lion population with current bycatch estimates from all Auckland Islands trawl fisheries. Additional modelling seeking explanations for observed population declines over the last decade indicated that epizootic events that reduce pup production may have a greater impact on population growth, especially if these events are more frequent than previously assumed. 4. Modelling results suggest that sea lion bycatch in the squid fishery and other trawl fisheries around the Auckland Islands is unlikely to be currently having a significant impact on the Auckland Islands New Zealand sea lion population. Therefore, resources should be directed towards other hypotheses for any continued sea lion population decline as well as continued refinement of mitigation techniques to reduce fisheries-related mortality. Copyright (c) 2014 John Wiley &amp; Sons, Ltd.</t>
  </si>
  <si>
    <t>[Hamilton, Sheryl; Baker, G. Barry] Latitude 42 Environm Consultants Pty Ltd, Kettering, Tas 7155, Australia; [Baker, G. Barry] Univ Tasmania, Inst Marine &amp; Antarctic Studies, Hobart, Tas, Australia</t>
  </si>
  <si>
    <t>Baker, GB (corresponding author), Latitude 42 Environm Consultants Pty Ltd, Kettering, Tas 7155, Australia.</t>
  </si>
  <si>
    <t>Deepwater Group Ltd</t>
  </si>
  <si>
    <t>Thanks to the Deepwater Group Ltd (Richard Wells and George Clement) who provided funding for this work and comments on earlier drafts of the manuscript. Daryl MacKenzie and Louise Chilvers provided clarification on estimated survival analyses from their 2010 study. Thanks to Simon Childerhouse and Aleks Terauds who provided comments which greatly enhanced early drafts of this paper. Thanks also to the two anonymous reviewers whose review comments significantly improved this paper.</t>
  </si>
  <si>
    <t>10.1002/aqc.2524</t>
  </si>
  <si>
    <t>DC1VH</t>
  </si>
  <si>
    <t>WOS:000369005100010</t>
  </si>
  <si>
    <t>Yue, K; Yang, WQ; Peng, Y; Zhang, C; Huang, CP; Wu, FZ</t>
  </si>
  <si>
    <t>Yue, Kai; Yang, Wanqin; Peng, Yan; Zhang, Chuan; Huang, Chunping; Wu, Fuzhong</t>
  </si>
  <si>
    <t>Chromium, cadmium, and lead dynamics during winter foliar litter decomposition in an alpine forest river</t>
  </si>
  <si>
    <t>SUBALPINE/ALPINE FORESTS; HEADWATER STREAMS; DRINKING-WATER; GROWING-SEASON; HEAVY-METALS; MICROORGANISMS; RATES; ZN; MN; CU</t>
  </si>
  <si>
    <t>Little information is currently available about heavy metal dynamics during litter decomposition in areas receiving few inputs of exotic metals. A field litter decomposition experiment was conducted during the winter in an alpine forest river on the eastern Tibetan Plateau. Concentrations, release rates, and release rate per day of chromium (Cr), cadmium (Cd), and lead (Pb) were investigated in the foliar litter of willow (Salix paraplesia), azalea (Rhododendron lapponicum), cypress (Sabina saltuaria), and larch (Larix mastersiana) during the prefreezing, freezing, and thawing periods. Concentrations of Cr in willow, cypress, and larch; Cd in all foliar litter types; and Pb in azalea foliar litter increased following incubation over an entire winter. Both Cr and Pb showed patterns of accumulation during the prefreezing period and patterns of release in the freezing and thawing periods, but Cd showed accumulation in all three periods. Water temperature, pH, flow velocity, conductivity, and nutrient availability in the river were significantly related to the dynamics of these heavy metals in the decomposing foliar litter. The heavy metal accumulation pattern in running water suggested an absolute increase in metal mass, indicating that litter may act as an efficient metal cleaner and contribute to an ecosystem's capacity for self-purification.</t>
  </si>
  <si>
    <t>[Yue, Kai; Yang, Wanqin; Peng, Yan; Zhang, Chuan; Huang, Chunping; Wu, Fuzhong] Sichuan Agr Univ, Inst Ecol &amp; Forestry, Key Lab Ecol Forestry Engn, Long Term Res Stn Alpine Forest Ecosyst, 211 Huimin Rd, Chengdu 611130, Peoples R China; [Huang, Chunping] Sichuan Normal Univ, Coll Life Sci, 1819,2nd Sect,Chenglong Ave, Chengdu 610101, Peoples R China</t>
  </si>
  <si>
    <t>Sichuan Agricultural University; Sichuan Normal University</t>
  </si>
  <si>
    <t>Wu, FZ (corresponding author), Sichuan Agr Univ, Inst Ecol &amp; Forestry, Key Lab Ecol Forestry Engn, Long Term Res Stn Alpine Forest Ecosyst, 211 Huimin Rd, Chengdu 611130, Peoples R China.</t>
  </si>
  <si>
    <t>wufzchina@163.com</t>
  </si>
  <si>
    <t>Yue, Kai/N-6962-2017</t>
  </si>
  <si>
    <t>Yue, Kai/0000-0002-7709-8523</t>
  </si>
  <si>
    <t>National Natural Science Foundation of China [31170423, 31270498]; National Key Technologies R D of China [2011BAC09B05]; Sichuan Youth Sci-tech Foundation [2012JQ0008, 2012JQ0059]</t>
  </si>
  <si>
    <t>National Natural Science Foundation of China(National Natural Science Foundation of China (NSFC)); National Key Technologies R D of China(National Key Technology R&amp;D Program); Sichuan Youth Sci-tech Foundation</t>
  </si>
  <si>
    <t>We thank three anonymous reviewers and the editors for their kind reviews, insightful comments, and constructive suggestions for improving the manuscript. We are indebted to Prof. Zhengfeng Xu, Dr. Bo Tan, Mr. Bin Wang, Mr. Ruilong Liu, and Mr. Xiangyin Ni for their kind help in the field. We are also indebted to Miss Yamei Chen and Mr. Wei He for their help with the laboratory analyses. This study was financially supported by the National Natural Science Foundation of China (31170423 and 31270498), the National Key Technologies R &amp; D of China (2011BAC09B05), and the Sichuan Youth Sci-tech Foundation (2012JQ0008 and 2012JQ0059).</t>
  </si>
  <si>
    <t>10.1657/AAAR0014-066</t>
  </si>
  <si>
    <t>WOS:000371322100006</t>
  </si>
  <si>
    <t>Margesin, R; Minerbi, S; Schinner, F</t>
  </si>
  <si>
    <t>Margesin, Rosa; Minerbi, Stefano; Schinner, Franz</t>
  </si>
  <si>
    <t>Litter decomposition at two forest sites in the Italian Alps: a field study</t>
  </si>
  <si>
    <t>MICROBIAL COMMUNITIES; ALPINE; CLIMATE; GROWTH; RATES; FAUNA</t>
  </si>
  <si>
    <t>We studied in situ litter decomposition at a subalpine (1737 ma.s.l.) and a submontane (570 m) long-term monitoring forest site in the Italian Alps in the period 2000-2003 and 10 years later (2010-2013). Litter bags filled with site-specific (pine needles) and standard (cellulose) litter were exposed in autumn 2000 and 2010 on the soil surface. Cellulose was additionally exposed in litter bags buried at 2 cm soil depth to monitor the effect of soil microclimate. Decomposition rates were calculated after 1, 2, and 3 years of exposition from litter mass loss. Mass loss of litter exposed on soil surface was significantly affected by the site (altitude) and the litter type, while the decade of exposition (2000-2003, 2010-2013) had no significant impact. Litter decomposition was significantly lower at the site at the higher altitude, which was related to the colder climate, and pine needles were decomposed to a significantly lower extent than surface-exposed cellulose. Decomposition of cellulose buried in soil was neither influenced by the decade nor by the site. Cellulose mass loss was higher in soil than on soil surface, which is attributed to the favorable soil microclimate conditions in soil. The better adaptation of the soil population at the submontane site compared to that at the site at the higher altitude for accelerated degradation of easily decomposable compounds (cellulose) was confirmed by a laboratory study.</t>
  </si>
  <si>
    <t>[Margesin, Rosa; Schinner, Franz] Univ Innsbruck, Inst Microbiol, Tech Str 25, A-6020 Innsbruck, Austria; [Minerbi, Stefano] Autonomous Prov Bozen Bolzano, Div Forestry, Brennerstr 6, I-39100 Bozen Bolzano, Italy</t>
  </si>
  <si>
    <t>University of Innsbruck</t>
  </si>
  <si>
    <t>Margesin, R (corresponding author), Univ Innsbruck, Inst Microbiol, Tech Str 25, A-6020 Innsbruck, Austria.</t>
  </si>
  <si>
    <t>Rosa.Margesin@uibk.ac.at</t>
  </si>
  <si>
    <t>Forests, ICP/F-7626-2019</t>
  </si>
  <si>
    <t>Autonomous Province of Bozen/Bolzano, Section Forestry</t>
  </si>
  <si>
    <t>This study was financed within the ICP IM Programme by the Autonomous Province of Bozen/Bolzano, Section Forestry. We thank P. Thurnbichler and K. Weber for technical assistance and the reviewers for their valuable comments. Data on air temperature and precipitation were kindly provided by Umweltagentur-Chemisches Landeslabor (site IT01) and Hydrographisches Amt (site IT02) of the Autonomous Province of Bozen/Bolzano, Section Forestry.</t>
  </si>
  <si>
    <t>10.1657/AAAR0015-012</t>
  </si>
  <si>
    <t>WOS:000371322100009</t>
  </si>
  <si>
    <t>Whiteford, EJ; McGowan, S; Barry, CD; Anderson, NJ</t>
  </si>
  <si>
    <t>Whiteford, Erika J.; McGowan, Suzanne; Barry, Chris D.; Anderson, N. John</t>
  </si>
  <si>
    <t>Seasonal and regional controls of phytoplankton production along a climate gradient in South-West Greenland during ice-cover and ice-free conditions</t>
  </si>
  <si>
    <t>NUTRIENT LIMITATION; ARCTIC LAKES; CHEMICAL LIMNOLOGY; NITROGEN DEPOSITION; WATER TEMPERATURE; DYNAMICS; COMMUNITIES; PLANKTON; PONDS; VARIABILITY</t>
  </si>
  <si>
    <t>Across a small geographic area (&lt; 180 km), the region of South-West Greenland covers a natural climate gradient. Variation in temperature and precipitation result in marked differences in limnology at three discrete locations: ice sheet margin, inland, and the coast. Replicate lakes from each location were sampled for physical (temperature, light), chemical (dissolved oxygen, pH, conductivity, nutrients), and biological (chlorophyll a [Chl a], photosynthetic pigments) variables on three occasions within a 12-month period: July-August 2010, April-May 2011, and June-July 2011 spanning ice cover. Variation in ice phenology was linked to the climate gradient; however, phytoplankton production and community composition did not differ regionally. Large-scale seasonal fluctuations in temperature and nutrient availability were the strongest predictors of phytoplankton production, with a shift from nitrate to phosphorus controlled production between ice-cover and ice-free conditions. Underlying seasonal drivers, variables predicting production were unique to each location-ice sheet margin (soluble reactive phosphorus), inland (temperature), and coast (silicate)-and reflect local differences in nutrient availability. Results from the current study have important consequences when controls over phytoplankton production in Arctic lakes are inferred from a limited number of sites, but up-scaled to represent pan-Arctic trends.</t>
  </si>
  <si>
    <t>[Whiteford, Erika J.; Anderson, N. John] Univ Loughborough, Dept Geog, Loughborough LE11 3TU, Leics, England; [McGowan, Suzanne] Univ Nottingham, Sch Geog, Nottingham NG7 2RD, England; [McGowan, Suzanne] Univ Nottingham Malaysia Campus, Sch Geog, Selangor 43500, Darul Ehsan, Malaysia; [Barry, Chris D.] Agrifood &amp; Biosci Inst, Newforge Lane, Belfast BT9 5PX, Antrim, North Ireland</t>
  </si>
  <si>
    <t>Loughborough University; University of Nottingham; University of Nottingham Malaysia; Agri-Food &amp; Biosciences Institute</t>
  </si>
  <si>
    <t>Whiteford, EJ (corresponding author), Univ Loughborough, Dept Geog, Loughborough LE11 3TU, Leics, England.</t>
  </si>
  <si>
    <t>E.J.Whiteford@lboro.ac.uk</t>
  </si>
  <si>
    <t>McGowan, Suzanne/GZB-0118-2022</t>
  </si>
  <si>
    <t>Natural Environmental Research Council [NE/G019622/1]; Natural Environment Research Council [NE/G020027/1, NE/G019622/1] Funding Source: researchfish; NERC [NE/G019622/1, NE/G020027/1] Funding Source: UKRI</t>
  </si>
  <si>
    <t>Natural Environmental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</si>
  <si>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This work was funded by the Natural Environmental Research Council NE/G019622/1. We thank Chris Curtis, Hazel Gunn, Ladislav Hamerlik, Viv Jones, Rachael Lem, Simon Patrick, Nina Reuss, Jasmine Saros, Daniel Scott, Gavin Simpson, Kristin Strock, Gaute Velle, and James Whiteford for their help with fieldwork and sampling. Thank you to Jeff Joensen, Kent Joensen, Rikka Moller, and Basse Vaengtoft for their logistical help in Greenland. Thank you to Stuart Ashby and Barry Kenny for help with shipping limnological equipment and Graham Morris and Teresa Needham for their help in the HPLC lab. We thank two anonymous reviewers for their helpful comments on an earlier draft.</t>
  </si>
  <si>
    <t>10.1657/AAAR0015-003</t>
  </si>
  <si>
    <t>WOS:000371322100010</t>
  </si>
  <si>
    <t>Dial, RJ; Becker, M; Hope, AG; Dial, CR; Thomas, J; Slobodenko, KA; Golden, TS; Shain, DH</t>
  </si>
  <si>
    <t>Dial, Roman J.; Becker, Melissa; Hope, Andrew G.; Dial, Cody R.; Thomas, Joseph; Slobodenko, Katarina A.; Golden, Trevor S.; Shain, Daniel H.</t>
  </si>
  <si>
    <t>The role of temperature in the distribution of the glacier ice worm, Mesenchytraeus solifugus (Annelida: Oligochaeta: Enchytraeidae)</t>
  </si>
  <si>
    <t>ALEXANDER ARCHIPELAGO; BRITISH-COLUMBIA; BIOGEOGRAPHY; CLITELLATA; PHYLOGENY; ICEFIELD; ECOLOGY; CANADA; ALASKA</t>
  </si>
  <si>
    <t>The North American glacier ice worm, Mesenchytraeus solifugus (Emery, 1898), is restricted to coastal glaciers in the American Pacific Northwest with a puzzling 400 km distribution gap along the Alaska-British Columbia border and several disjunct populations of northern clades in southern latitudes. We illustrate the role of minimum temperatures in ice worm behavior, abundance, and distribution. The study included 200 glaciers and 25 mitochondrial CO1 haplotypes from the species' 5 x 105 km(2) geographic range. Minimum winter temperatures on the previous summer surface appear to determine: (1) the elevations ice worms occupy, (2) the glaciers that can support them, and (3) the mountain ranges they inhabit. Ice worms do not inhabit glaciers with over-winter temperatures below -7 degrees C on the previous summer surface. An annelid molecular clock in a Bayesian phylogeny suggests ice worms diverged from an aquatic ancestor 2.23 Ma, emerging as three clades 1.6-1.7 Ma. Cold sensitivity, together with southeast Alaska's geography and past climate, likely created the distribution gap, a hypothesis supported by their phylogeography.</t>
  </si>
  <si>
    <t>[Dial, Roman J.; Becker, Melissa; Dial, Cody R.; Thomas, Joseph; Golden, Trevor S.] Alaska Pacific Univ, Dept Environm Sci, 4101 Univ Dr, Anchorage, AK 99508 USA; [Becker, Melissa] NANA Reg Corp, 909 West 9th Ave, Anchorage, AK 99501 USA; [Hope, Andrew G.] Kansas State Univ, Div Biol, 116 Ackert Hall, Manhattan, KS 66506 USA; [Thomas, Joseph] Bethel Environm Solut LLC, 2605 Denali St,Suite 100, Anchorage, AK 99503 USA; [Slobodenko, Katarina A.; Shain, Daniel H.] Rutgers State Univ, Dept Biol, 315 Penn St, Camden, NJ 08102 USA</t>
  </si>
  <si>
    <t>Kansas State University; Rutgers University System; Rutgers University New Brunswick; Rutgers University Camden</t>
  </si>
  <si>
    <t>Dial, RJ (corresponding author), Alaska Pacific Univ, Dept Environm Sci, 4101 Univ Dr, Anchorage, AK 99508 USA.</t>
  </si>
  <si>
    <t>roman@alaskapacific.edu</t>
  </si>
  <si>
    <t>Dial, Roman/I-3517-2019</t>
  </si>
  <si>
    <t>Dial, Roman/0000-0002-8189-7248</t>
  </si>
  <si>
    <t>National Science Foundation (NSF) [IOS-0820505]</t>
  </si>
  <si>
    <t>We thank B. Aho, P. Anderson, M. Barga, A. Dethlefs, J. L. Dial, P. M. Dial, K. Goodwin, T. Katzmar, S. Larson, M. Loso, K. Manly, L. Sass, L. Takacs, C. Tobin, T. Tumolo, and N. Webb for field assistance; R. March for unpublished data; P. Wimberger, N. Takeuchi, S. O'Neel, P. Twardock, M. Tetrau, and G. Ganey for ice worm locations; P. Fowler for Baranof Island samples; Kenai Fjords NP, Kenai NWR, Chugach NF, and Chugach State Park for research permission; Adventurers and Scientists for Conservation; and two reviewers. Research was supported by National Science Foundation (NSF) Grant IOS-0820505 to Shain and Dial.</t>
  </si>
  <si>
    <t>10.1657/AAAR0015-042</t>
  </si>
  <si>
    <t>WOS:000371322100013</t>
  </si>
  <si>
    <t>Bracegirdle, TJ; Bertler, NAN; Carleton, AM; Ding, Q; Fogwill, CJ; Fyfe, JC; Hellmer, HH; Karpechko, AY; Kusahara, K; Larour, E; Mayewski, PA; Meier, WN; Polvani, LM; Russell, JL; Stevenson, SL; Turner, J; van Wessem, JM; van de Berg, WJ; Wainer, I</t>
  </si>
  <si>
    <t>Bracegirdle, T. J.; Bertler, N. A. N.; Carleton, A. M.; Ding, Q.; Fogwill, C. J.; Fyfe, J. C.; Hellmer, H. H.; Karpechko, A. Y.; Kusahara, K.; Larour, E.; Mayewski, P. A.; Meier, W. N.; Polvani, L. M.; Russell, J. L.; Stevenson, S. L.; Turner, J.; van Wessem, J. M.; van de Berg, W. J.; Wainer, I.</t>
  </si>
  <si>
    <t>A MULTIDISCIPLINARY PERSPECTIVE ON CLIMATE MODEL EVALUATION FOR ANTARCTICA</t>
  </si>
  <si>
    <t>[Bracegirdle, T. J.] British Antarctic Survey, Madingley Rd, Cambridge CB3 0ET, England; [Bertler, N. A. N.] Victoria Univ, Wellington, New Zealand; [Bertler, N. A. N.] GNS Sci, Wellington, New Zealand; [Carleton, A. M.] Penn State Univ, University Pk, PA 16802 USA; [Ding, Q.] Univ Washington, Seattle, WA 98195 USA; [Fogwill, C. J.] Univ New S Wales, Climate Change Res Ctr, Sydney, NSW, Australia; [Fyfe, J. C.] Univ Victoria, Canadian Ctr Climate Modelling &amp; Anal, Victoria, BC, Canada; [Hellmer, H. H.] Helmholtz Ctr Polar &amp; Marine Res, Alfred Wegener Inst, Bremerhaven, Germany; [Karpechko, A. Y.] Finnish Meteorol Inst, FIN-00101 Helsinki, Finland; [Kusahara, K.] Hokkaido Univ, Inst Low Temp Sci, Sapporo, Hokkaido 060, Japan; [Kusahara, K.] Antarctic Climate &amp; Ecosyst Cooperat Res Ctr, Hobart, Tas, Australia; [Larour, E.] CALTECH, Jet Prop Lab, Pasadena, CA USA; [Mayewski, P. A.] Univ Maine, Climate Change Inst, Orono, ME USA; [Meier, W. N.] NASA, Goddard Space Flight Ctr, Greenbelt, MD USA; [Polvani, L. M.] Columbia Univ, New York, NY USA; [Russell, J. L.] Univ Arizona, Tucson, AZ USA; [Stevenson, S. L.] Univ Hawaii Manoa, Honolulu, HI 96822 USA; [van Wessem, J. M.; van de Berg, W. J.] Univ Utrecht, Inst Marine &amp; Atmospher Res, Utrecht, Netherlands; [Wainer, I.] Univ Sao Paulo, Inst Oceanog, Sao Paulo, Brazil</t>
  </si>
  <si>
    <t>UK Research &amp; Innovation (UKRI); Natural Environment Research Council (NERC); NERC British Antarctic Survey; Victoria University Wellington; GNS Science - New Zealand; Pennsylvania Commonwealth System of Higher Education (PCSHE); Pennsylvania State University; Pennsylvania State University - University Park; University of Washington; University of Washington Seattle; University of New South Wales Sydney; University of Victoria; Environment &amp; Climate Change Canada; Canadian Centre for Climate Modelling &amp; Analysis (CCCma); Helmholtz Association; Alfred Wegener Institute, Helmholtz Centre for Polar &amp; Marine Research; Finnish Meteorological Institute; Hokkaido University; Antarctic Climate &amp; Ecosystems Cooperative Research Centre (ACE CRC); National Aeronautics &amp; Space Administration (NASA); NASA Jet Propulsion Laboratory (JPL); California Institute of Technology; University of Maine System; University of Maine Orono; National Aeronautics &amp; Space Administration (NASA); NASA Goddard Space Flight Center; Columbia University; University of Arizona; University of Hawaii System; University of Hawaii Manoa; Utrecht University; Universidade de Sao Paulo</t>
  </si>
  <si>
    <t>Bracegirdle, TJ (corresponding author), British Antarctic Survey, Madingley Rd, Cambridge CB3 0ET, England.</t>
  </si>
  <si>
    <t>tjbra@bas.ac.uk</t>
  </si>
  <si>
    <t>Karpechko, Alexey/JVN-9414-2024; Meier, Walter/AAI-9583-2021; Polvani, Lorenzo M/E-5949-2011; Mayewski, Paul Andrew/HRD-6969-2023; Bracegirdle, Tom/AAD-6060-2020; van de Berg, Willem Jan/H-4385-2011; van Wessem, Melchior/AAB-1987-2019; Fogwill, Chris/AAW-3502-2021; Fogwill, Christopher/HPF-1150-2023; Bertler, Nancy A N/F-3967-2011; WAINER, ILANA/B-4540-2011</t>
  </si>
  <si>
    <t>Karpechko, Alexey/0000-0003-0902-0414; van de Berg, Willem Jan/0000-0002-8232-2040; Fogwill, Chris/0000-0002-6471-1106; Bracegirdle, Thomas/0000-0002-8868-4739; Kusahara, Kazuya/0000-0003-4067-7959; Bertler, Nancy/0000-0001-6028-4891; van Wessem, Melchior/0000-0003-3221-791X; Meier, Walter/0000-0003-2857-0550; WAINER, ILANA/0000-0003-3784-623X; Turner, John/0000-0002-6111-5122; Russell, Joellen/0000-0001-9937-6056; Hellmer, Hartmut/0000-0002-9357-9853</t>
  </si>
  <si>
    <t>SCAR; National Aeronautics and Space Administration; NERC [bas0100032] Funding Source: UKRI; Natural Environment Research Council [bas0100032] Funding Source: researchfish; Office of Polar Programs (OPP); Directorate For Geosciences [1246247] Funding Source: National Science Foundation</t>
  </si>
  <si>
    <t>SCAR; National Aeronautics and Space Administration(National Aeronautics &amp; Space Administration (NASA)); NERC(UK Research &amp; Innovation (UKRI)Natural Environment Research Council (NERC)); Natural Environment Research Council(UK Research &amp; Innovation (UKRI)Natural Environment Research Council (NERC)); Office of Polar Programs (OPP); Directorate For Geosciences(National Science Foundation (NSF)NSF - Directorate for Geosciences (GEO))</t>
  </si>
  <si>
    <t>We thank SCAR for providing financial support to enable this workshop to take place. Part of the research was carried out at the Jet Propulsion Laboratory, California Institute of Technology, under a contract with the National Aeronautics and Space Administration.</t>
  </si>
  <si>
    <t>ES23</t>
  </si>
  <si>
    <t>ES26</t>
  </si>
  <si>
    <t>10.1175/BAMS-D-15-00108.1</t>
  </si>
  <si>
    <t>DG1VO</t>
  </si>
  <si>
    <t>WOS:000371855800001</t>
  </si>
  <si>
    <t>Cannone, N; Guglielmin, M; Convey, P; Worland, MR; Favero Longo, SE</t>
  </si>
  <si>
    <t>Cannone, Nicoletta; Guglielmin, M.; Convey, P.; Worland, M. R.; Favero Longo, Sergio Enrico</t>
  </si>
  <si>
    <t>Vascular plant changes in extreme environments: effects of multiple drivers</t>
  </si>
  <si>
    <t>CLIMATIC CHANGE</t>
  </si>
  <si>
    <t>CLIMATE-CHANGE; SIGNY ISLAND; ACTIVE LAYER; GEOMORPHOLOGICAL DISTURBANCE; DESCHAMPSIA-ANTARCTICA; VEGETATION; TEMPERATURE; ECOSYSTEMS; INCREASES; RESPONSES</t>
  </si>
  <si>
    <t>The Antarctic Peninsula is one of three regions of the planet that have experienced the highest rates of climate warming over recent decades. Based on a comprehensive large-scale resurvey, allowing comparison of new (2009) and historical data (1960s), we show that the two native Antarctic vascular plant species have exhibited significant increases in number of occupied sites and percent cover since the 1960s: Deschampsia antarctica increasing in coverage by 191 % and in number of sites by 104 %. Colobanthus quitensis increasing in coverage by 208 % and number of sites by 35 %. These changes likely occurred in response to increases of 1.2 A degrees C in summer air temperature over the same time period. Both species exhibited changes with elevation due to the interaction of multiple drivers (climatic factors and animal disturbance), producing heterogeneity of responses across an elevation gradient. Below an elevation of 20 m fur seal activity exerted negative impacts. Between 20 and 60 m, both plant species underwent considerable increases in the number of sites and percent cover, likely influenced by both climate warming and nutrient input from seals. Above an elevation threshold of 60 m the maximum elevation of the sites occupied decreased for both species, perhaps as a consequence of physical disturbance at higher elevations due to the permafrost conditions and/or the snow cover thickness and persistence. Understanding the role of disturbance drivers for vegetation change in cold regions may become a research priority to enable improved forecasting of biological responses and feedbacks of climate warming on ecosystems in these globally influential regions.</t>
  </si>
  <si>
    <t>[Cannone, Nicoletta] Insubria Univ, Dept Theoret &amp; Appl Sci, Via Valleggio 11, I-22100 Como, CO, Italy; [Guglielmin, M.] Insubria Univ, Dept Theoret &amp; Appl Sci, Via Dunant 3, I-21100 Varese, VA, Italy; [Convey, P.; Worland, M. R.] British Antarctic Survey, Nat Environm Res Council, Madingley Rd, Cambridge CB3 0ET, England; [Favero Longo, Sergio Enrico] Univ Turin, Dipartimento Sci Vita &amp; Biol Sistemi, Vle Mattioli 25, I-10125 Turin, Italy</t>
  </si>
  <si>
    <t>University of Insubria; University of Insubria; UK Research &amp; Innovation (UKRI); Natural Environment Research Council (NERC); NERC British Antarctic Survey; University of Turin</t>
  </si>
  <si>
    <t>Cannone, N (corresponding author), Insubria Univ, Dept Theoret &amp; Appl Sci, Via Valleggio 11, I-22100 Como, CO, Italy.</t>
  </si>
  <si>
    <t>nicoletta.cannone@uninsubria.it</t>
  </si>
  <si>
    <t>Cannone, Nicoletta/W-8651-2019; Convey, Peter/AAV-5728-2020</t>
  </si>
  <si>
    <t>Cannone, Nicoletta/0000-0002-3390-3965; Convey, Peter/0000-0001-8497-9903; Favero Longo, Sergio Enrico/0000-0001-7129-5975</t>
  </si>
  <si>
    <t>PNRA (Progetto Nazionale di Ricerca in Antartide) [2013/C1.01, PDR2009/A2.12]; NERC [bas0100036, bas0100025] Funding Source: UKRI; Natural Environment Research Council [bas0100025, bas0100036] Funding Source: researchfish</t>
  </si>
  <si>
    <t>PNRA (Progetto Nazionale di Ricerca in Antartide); NERC(UK Research &amp; Innovation (UKRI)Natural Environment Research Council (NERC)); Natural Environment Research Council(UK Research &amp; Innovation (UKRI)Natural Environment Research Council (NERC))</t>
  </si>
  <si>
    <t>The authors thank PNRA (Progetto Nazionale di Ricerca in Antartide, Project 2013/C1.01; Project PDR2009/A2.12) for providing funding and BAS (British Antarctic Survey) for logistical support. The study contributes to the BAS 'Polar Science for Planet Earth' and SCAR 'State of the Antarctic Ecosystem' and 'Antarctic Thresholds - Ecosystem Resilience and Adaptation' (AnT-ERA) research programmes. Climatic data were provided by the Servicio Meteorologico Nacional, Centro de Informacion Meteorologica de Buenos Aires (Argentina), and we thank Lic. Ana Teresa Gomez. We thank three anonymous reviewers and the Editor for their comments and suggestions, allowing significant improvement of this work.</t>
  </si>
  <si>
    <t>0165-0009</t>
  </si>
  <si>
    <t>1573-1480</t>
  </si>
  <si>
    <t>Clim. Change</t>
  </si>
  <si>
    <t>10.1007/s10584-015-1551-7</t>
  </si>
  <si>
    <t>DE7HV</t>
  </si>
  <si>
    <t>WOS:000370807500012</t>
  </si>
  <si>
    <t>Hughes, KA; Ireland, LC; Convey, P; Fleming, AH</t>
  </si>
  <si>
    <t>Hughes, Kevin A.; Ireland, Louise C.; Convey, Peter; Fleming, Andrew H.</t>
  </si>
  <si>
    <t>Assessing the effectiveness of specially protected areas for conservation of Antarctica's botanical diversity</t>
  </si>
  <si>
    <t>CONSERVATION BIOLOGY</t>
  </si>
  <si>
    <t>Antarctic Conservation Biogeographic region; Antarctic Specially Protected Area; climate change; human impacts; normalized difference vegetation index; remote sensing; vegetation</t>
  </si>
  <si>
    <t>VASCULAR PLANTS; TERRESTRIAL; PENINSULA; IMPACTS; HISTORY; ISLAND; LIFE</t>
  </si>
  <si>
    <t>Vegetation is sparsely distributed over Antarctica's ice-free ground, and distinct plant communities are present in each of the continent's 15 recently identified Antarctic Conservation Biogeographic Regions (ACBRs). With rapidly increasing human activity in Antarctica, terrestrial plant communities are at risk of damage or destruction by trampling, overland transport, and infrastructure construction and from the impacts of anthropogenically introduced species, as well as uncontrollable pressures such as fur seal (Arctocephalus gazella) activity and climate change. Under the Protocol on Environmental Protection to the Antarctic Treaty, the conservation of plant communities can be enacted and facilitated through the designation of Antarctic Specially Protected Areas (ASPAs). We examined the distribution within the 15 ACBRs of the 33 ASPAs whose explicit purpose includes protecting macroscopic terrestrial flora. We completed the first survey using normalized difference vegetation index (NDVI) satellite remote sensing to provide baseline data on the extent of vegetation cover in all ASPAs designated for plant protection in Antarctica. Large omissions in the protection of Antarctic botanical diversity were found. There was no protection of plant communities in 6 ACBRs, and in another 6, &lt;0.4% of the ACBR area was included in an ASPA that protected vegetation. Protected vegetation cover within the 33 ASPAs totaled 16.1 km(2) for the entire Antarctic continent; over half was within a single protected area. Over 96% of the protected vegetation was contained in 2 ACBRs, which together contributed only 7.8% of the continent's ice-free ground. We conclude that Antarctic botanical diversity is clearly inadequately protected and call for systematic designation of ASPAs protecting plant communities by the Antarctic Treaty Consultative Parties, the members of the governing body of the continent.</t>
  </si>
  <si>
    <t>[Hughes, Kevin A.; Ireland, Louise C.; Convey, Peter; Fleming, Andrew H.] British Antarctic Survey, NERC, High Cross,Madingley Rd, Cambridge CB3 0ET, England</t>
  </si>
  <si>
    <t>Hughes, KA (corresponding author), British Antarctic Survey, NERC, High Cross,Madingley Rd, Cambridge CB3 0ET, England.</t>
  </si>
  <si>
    <t>kehu@bas.ac.uk</t>
  </si>
  <si>
    <t>Convey, Peter/AAV-5728-2020; Hughes, Kevin/JVZ-0793-2024</t>
  </si>
  <si>
    <t>Convey, Peter/0000-0001-8497-9903;</t>
  </si>
  <si>
    <t>Natural Environment Research Council; UK Foreign and Commonwealth Office through the British Antarctic Territory Strategic Project Funding initiative; NERC [bas0100036, bas010011] Funding Source: UKRI; Natural Environment Research Council [bas010011, bas0100036] Funding Source: researchfish</t>
  </si>
  <si>
    <t>Natural Environment Research Council(UK Research &amp; Innovation (UKRI)Natural Environment Research Council (NERC)); UK Foreign and Commonwealth Office through the British Antarctic Territory Strategic Project Funding initiative; NERC(UK Research &amp; Innovation (UKRI)Natural Environment Research Council (NERC)); Natural Environment Research Council(UK Research &amp; Innovation (UKRI)Natural Environment Research Council (NERC))</t>
  </si>
  <si>
    <t>The authors are supported by Natural Environment Research Council core funding to the British Antarctic Survey. We are grateful for financial support from the UK Foreign and Commonwealth Office through the British Antarctic Territory Strategic Project Funding initiative. We also acknowledge the contribution of ITRES and DRDC (Defence Research and Development Canada) to the collection of airborne hyperspectral data used in this study. Satellite imagery for each ASPA examined in this study was acquired by either the Quickbird or WorldView-2 satellites and licensed from DigitalGlobe Inc. The map that shows results of vegetation cover within ASPAs is based on the Antarctic Digital Database (ADD) online mapping infrastructure (Supporting Information). The vegetation data presented here are currently not a formal part of the ADD. We thank P. Fretwell and H. Peat for discussions during this project, O. Martin-Sanchez for map preparation, and D. Herbert for technical assistance with the website. We also thank 3 anonymous reviewers for their insightful comments.</t>
  </si>
  <si>
    <t>0888-8892</t>
  </si>
  <si>
    <t>1523-1739</t>
  </si>
  <si>
    <t>CONSERV BIOL</t>
  </si>
  <si>
    <t>Conserv. Biol.</t>
  </si>
  <si>
    <t>10.1111/cobi.12592</t>
  </si>
  <si>
    <t>DC0WG</t>
  </si>
  <si>
    <t>WOS:000368938000013</t>
  </si>
  <si>
    <t>Tsujimoto, M; Imura, S; Kanda, H</t>
  </si>
  <si>
    <t>Tsujimoto, Megumu; Imura, Satoshi; Kanda, Hiroshi</t>
  </si>
  <si>
    <t>Recovery and reproduction of an Antarctic tardigrade retrieved from a moss sample frozen for over 30 years</t>
  </si>
  <si>
    <t>CRYOBIOLOGY</t>
  </si>
  <si>
    <t>Long-term survival; Cryptobiosis; Cryobiosis; Freezing; Acutuncus antarcticus</t>
  </si>
  <si>
    <t>TERM ANHYDROBIOTIC SURVIVAL; DRONNING-MAUD-LAND</t>
  </si>
  <si>
    <t>Long-term survival has been one of the most studied of the extraordinary physiological characteristics of cryptobiosis in micrometazoans such as nematodes, tardigrades and rotifers. In the available studies of long-term survival of micrometazoans, instances of survival have been the primary observation, and recovery conditions of animals or subsequent reproduction are generally not reported. We therefore documented recovery conditions and reproduction immediately following revival of tardigrades retrieved from a frozen moss sample collected in Antarctica in 1983 and stored at -20 degrees C for 30.5 years. We recorded recovery of two individuals and development of a separate egg of the Antarctic tardigrade, Acutuncus antarcticus, providing the longest records of survival for tardigrades as animals or eggs. One of the two resuscitated individuals and the hatchling successfully reproduced repeatedly after their recovery from long-term cryptobiosis. This considerable extension of the known length of long-term survival of tardigrades recorded in our study is interpreted as being associated with the minimum oxidative damage likely to have resulted from storage under stable frozen conditions. The long recovery times of the revived tardigrades observed is suggestive of the requirement for repair of damage accrued over 30 years of cryptobiosis. Further more detailed studies will improve understanding of mechanisms and conditions underlying the long-term survival of cryptobiotic organisms. (C) 2016 The Authors. Published by Elsevier Inc. This is an open access article under the CC BY license (http://creativecommons.orgilicenses/by/4.0/).</t>
  </si>
  <si>
    <t>[Tsujimoto, Megumu; Imura, Satoshi; Kanda, Hiroshi] Natl Inst Polar Res, 10-3 Midori Cho, Tachikawa, Tokyo 1908518, Japan; [Imura, Satoshi] Grad Univ Adv Studies, SOKENDAI, Tokyo, Japan</t>
  </si>
  <si>
    <t>Research Organization of Information &amp; Systems (ROIS); National Institute of Polar Research (NIPR) - Japan; Graduate University for Advanced Studies - Japan</t>
  </si>
  <si>
    <t>Tsujimoto, M (corresponding author), Natl Inst Polar Res, 10-3 Midori Cho, Tachikawa, Tokyo 1908518, Japan.</t>
  </si>
  <si>
    <t>Japan Society for the Promotion of Science [26650168, 23247012]; Grants-in-Aid for Scientific Research [26650168, 23247012] Funding Source: KAKEN</t>
  </si>
  <si>
    <t>This study was supported by Grant-in-Aid for Scientific Research No. 26650168 to M. Tsujimoto and No. 23247012 to S. Imura from the Japan Society for the Promotion of Science.</t>
  </si>
  <si>
    <t>0011-2240</t>
  </si>
  <si>
    <t>1090-2392</t>
  </si>
  <si>
    <t>Cryobiology</t>
  </si>
  <si>
    <t>10.1016/j.cryobiol.2015.12.003</t>
  </si>
  <si>
    <t>DE0GV</t>
  </si>
  <si>
    <t>WOS:000370304000012</t>
  </si>
  <si>
    <t>Scales, KL; Miller, PI; Ingram, SN; Hazen, EL; Bograd, SJ; Phillips, RA</t>
  </si>
  <si>
    <t>Scales, Kylie L.; Miller, Peter I.; Ingram, Simon N.; Hazen, Elliott L.; Bograd, Steven J.; Phillips, Richard A.</t>
  </si>
  <si>
    <t>Identifying predictable foraging habitats for a wide-ranging marine predator using ensemble ecological niche models</t>
  </si>
  <si>
    <t>albatross; biologging; Boosted Regression Trees; front map; generalized additive models; habitat model; Random Forest; satellite remote sensing</t>
  </si>
  <si>
    <t>SPECIES DISTRIBUTION MODELS; GREY-HEADED ALBATROSS; BLACK-BROWED ALBATROSSES; POLAR FRONTAL ZONE; SOUTH GEORGIA; THALASSARCHE-CHRYSOSTOMA; NONBREEDING ALBATROSSES; WANDERING ALBATROSSES; SPATIAL-RESOLUTION; TOP PREDATOR</t>
  </si>
  <si>
    <t>Aim Ecological niche modelling can provide valuable insight into species' environmental preferences and aid the identification of key habitats for populations of conservation concern. Here, we integrate biologging, satellite remote-sensing and ensemble ecological niche models (EENMs) to identify predictable foraging habitats for a globally important population of the grey-headed albatross (GHA) Thalassarche chrysostoma Location Bird Island, South Georgia; Southern Atlantic Ocean. Methods GPS and geolocation-immersion loggers were used to track at-sea movements and activity patterns of GHA over two breeding seasons (n = 55; brood-guard). Immersion frequency (landings per 10-min interval) was used to define foraging events. EENM combining Generalized Additive Models (GAM), MaxEnt, Random Forest (RF) and Boosted Regression Trees (BRT) identified the biophysical conditions characterizing the locations of foraging events, using time-matched oceanographic predictors (Sea Surface Temperature, SST; chlorophyll a, chl-a; thermal front frequency, TFreq; depth). Model performance was assessed through iterative cross-validation and extrapolative performance through cross-validation among years. Results Predictable foraging habitats identified by EENM spanned neritic (&lt;500 m), shelf break and oceanic waters, coinciding with a set of persistent biophysical conditions characterized by particular thermal ranges (3-8 degrees C, 12-13 degrees C), elevated primary productivity (chl-a &gt; 0.5 mg m(-3)) and frequent manifestation of mesoscale thermal fronts. Our results confirm previous indications that GHA exploit enhanced foraging opportunities associated with frontal systems and objectively identify the APFZ as a region of high foraging habitat suitability. Moreover, at the spatial and temporal scales investigated here, the performance of multi-model ensembles was superior to that of single-algorithm models, and cross-validation among years indicated reasonable extrapolative performance. Main conclusions EENM techniques are useful for integrating the predictions of several single-algorithm models, reducing potential bias and increasing confidence in predictions. Our analysis highlights the value of EENM for use with movement data in identifying at-sea habitats of wide-ranging marine predators, with clear implications for conservation and management.</t>
  </si>
  <si>
    <t>[Scales, Kylie L.; Miller, Peter I.] Plymouth Marine Lab, Prospect Pl, Plymouth PL1 3DH, Devon, England; [Scales, Kylie L.] Univ Calif Santa Cruz, Inst Marine Sci, Santa Cruz, CA 95064 USA; [Scales, Kylie L.; Hazen, Elliott L.; Bograd, Steven J.] NOAA, Div Environm Res, Southwest Fisheries Sci Ctr, 99 Pacific St,Suite 255A, Monterey, CA 93940 USA; [Ingram, Simon N.] Univ Plymouth, Marine Biol &amp; Ecol Res Ctr, Plymouth PL4 8AA, Devon, England; [Phillips, Richard A.] British Antarctic Survey, Nat Environm Res Council, Madingley Rd, Cambridge CB3 0ET, England</t>
  </si>
  <si>
    <t>Plymouth Marine Laboratory; University of California System; University of California Santa Cruz; National Oceanic Atmospheric Admin (NOAA) - USA; University of Plymouth; UK Research &amp; Innovation (UKRI); Natural Environment Research Council (NERC); NERC British Antarctic Survey</t>
  </si>
  <si>
    <t>Scales, KL (corresponding author), NOAA, Div Environm Res, Southwest Fisheries Sci Ctr, 99 Pacific St,Suite 255A, Monterey, CA 93940 USA.</t>
  </si>
  <si>
    <t>kylie.scales@noaa.gov</t>
  </si>
  <si>
    <t>Hazen, Elliott/G-4149-2014; Scales, Kylie/L-9318-2018; Bograd, Steven/AAA-4824-2021; Miller, Peter I./E-4525-2013</t>
  </si>
  <si>
    <t>Hazen, Elliott/0000-0002-0412-7178; Scales, Kylie/0000-0003-0843-0956; Miller, Peter I./0000-0002-5292-8789; Ingram, Simon/0000-0002-2959-1647</t>
  </si>
  <si>
    <t>Natural Environment Research Council (NERC); NERC; Cooperative Institute for Marine Ecosystems and Climate (CIMEC); Natural Environment Research Council [bas0100035, 1066095, pml010008] Funding Source: researchfish; NERC [pml010008, bas0100035] Funding Source: UKRI</t>
  </si>
  <si>
    <t>Natural Environment Research Council (NERC)(UK Research &amp; Innovation (UKRI)Natural Environment Research Council (NERC)); NERC(UK Research &amp; Innovation (UKRI)Natural Environment Research Council (NERC)); Cooperative Institute for Marine Ecosystems and Climate (CIMEC); Natural Environment Research Council(UK Research &amp; Innovation (UKRI)Natural Environment Research Council (NERC)); NERC(UK Research &amp; Innovation (UKRI)Natural Environment Research Council (NERC))</t>
  </si>
  <si>
    <t>We are grateful to the fieldworkers who assisted with the tracking studies at Bird Island. The authors thank Drs. Stephen Votier and Beth Scott for useful discussions. This study represents a contribution to the Ecosystems Component of the British Antarctic Survey Polar Science for Planet Earth Programme, funded by the Natural Environment Research Council (NERC). KS carried out this work as part of NERC-funded doctoral studies at Plymouth Marine Laboratory (UK) and is now supported by the Cooperative Institute for Marine Ecosystems and Climate (CIMEC), a collaboration between the University of California, Santa Cruz and NOAA SWFSC Environmental Research Division.</t>
  </si>
  <si>
    <t>10.1111/ddi.12389</t>
  </si>
  <si>
    <t>DH6DX</t>
  </si>
  <si>
    <t>WOS:000372882300008</t>
  </si>
  <si>
    <t>Jaeger, JM; Koppes, MN</t>
  </si>
  <si>
    <t>Jaeger, John M.; Koppes, Michele N.</t>
  </si>
  <si>
    <t>The role of the cryosphere in source-to-sink systems</t>
  </si>
  <si>
    <t>Ice dynamics; Glacial history; Glacigenic sediment; Glacimarine sedimentary processes; High-latitude continental margins; Quaternary stratigraphy</t>
  </si>
  <si>
    <t>LAST GLACIAL MAXIMUM; ANTARCTIC ICE-SHEET; POLAR NORTH-ATLANTIC; TROUGH-MOUTH FANS; WESTERN BARENTS SEA; GLACIMARINE SEDIMENTARY ENVIRONMENTS; SUSPENDED PARTICULATE MATTER; LATE PLEISTOCENE EVOLUTION; SUBGLACIAL WATER-PRESSURE; GLACIGENIC DEBRIS FLOWS</t>
  </si>
  <si>
    <t>Glacial erosion and sediment production are of interest to diverse scientific communities concerned with the interaction of climatic, tectonic and surface processes that influence the evolution of orogens and with the climatic signals archived in glacigenic strata. We review the current state of knowledge on the generation, transfer, and accumulation of glacigenic sediment from land to sea. We draw from geomorphology, marine geology, geochronology, numerical modeling of surface processes and landscape evolution, and experimental and field observations of glacier erosion and deposition, and the interaction of ice with its bed and the ocean boundary. Our primary goal is to examine glacial systems using a holistic source-to-sink approach, with a focus on describing a) how glacial motion produces sediment, b) how the sediments (sink) record the dynamic nature of glacial systems under different climatic (thermal) regimes, c) the challenges in using the sedimentary record to interpret these dynamics in space and time, and d) the approaches still needed to further our understanding of how ice and associated sediment fluxes respond to climatic and other perturbations. The dynamic state of ice, i.e., the ice flux and ice extent, is defined differently between the source and sink communities, reflecting the challenges of establishing a stratigraphic signal that volumetrically constrains glacigenic sediment production as a function of the ice response to climate. Advances in marine geophysics have greatly assisted our understanding of mass transfer pathways and of former ice extents as a measure of ice dynamics, and have identified the primary depocenters and key lithofacies of glacial sinks. Sediment fluxes associated with the dynamic state of the ice are best constrained where sediment volumes derived from key lithofacies and seismic reflection isopachs can be temporally partitioned, of which there are few examples, rather than from discrete point measures of sediment flux that are subject to sediment transfer biases. Forward numerical modeling of sediment fluxes as a function of ice dynamics agree with observational data at the continental-margin scale, but finer time/space scale ice-dynamic models do not yet recreate observed ice extent or flowpaths. Future source-to-sink work in glaciated systems should focus on refining empirical relationships between ice velocity and sediment production, and expand the application of existing methods to develop sediment volumes and fluxes in known depocenters of former and modern ice streams. (C) 2015 Published by Elsevier B.V.</t>
  </si>
  <si>
    <t>[Jaeger, John M.] Univ Florida, Dept Geol Sci, Gainesville, FL 32611 USA; [Koppes, Michele N.] Univ British Columbia, Dept Geog, 1984 West Mall, Vancouver, BC V6T1Z2, Canada</t>
  </si>
  <si>
    <t>State University System of Florida; University of Florida; University of British Columbia</t>
  </si>
  <si>
    <t>Jaeger, JM (corresponding author), Univ Florida, Dept Geol Sci, Gainesville, FL 32611 USA.</t>
  </si>
  <si>
    <t>jmjaeger@ufl.edu</t>
  </si>
  <si>
    <t>Jaeger, John/0000-0003-0248-489X; Koppes, Michele/0000-0003-0580-2718</t>
  </si>
  <si>
    <t>National Science Foundation [OPP-0326926, OCE-0351043, OCE-1434402, OPP-0338371]</t>
  </si>
  <si>
    <t>The final manuscript benefited greatly from patient, critical, and insightful reviews by Ellen Cowan, Roger LeB. Hooke, Edward King, and J.P. Walsh. J.M.J. recognizes the National Science Foundation (Grants OPP-0326926, OCE-0351043, OCE-1434402) for support of research in the topics of glacimarine sedimentation. M.N.K. was supported by National Science Foundation Grant OPP-0338371 and National Science and Engineering Research Council (NSERC) operating grants for research on glacial erosion.</t>
  </si>
  <si>
    <t>10.1016/j.earscirev.2015.09.011</t>
  </si>
  <si>
    <t>WOS:000372943200004</t>
  </si>
  <si>
    <t>Saraux, C; Chiaradia, A; Salton, M; Dann, P; Viblanc, VA</t>
  </si>
  <si>
    <t>Saraux, Claire; Chiaradia, Andre; Salton, Marcus; Dann, Peter; Viblanc, Vincent A.</t>
  </si>
  <si>
    <t>Negative effects of wind speed on individual foraging performance and breeding success in little penguins</t>
  </si>
  <si>
    <t>ECOLOGICAL MONOGRAPHS</t>
  </si>
  <si>
    <t>body condition; chick rearing; climate change vs. climate variability; Eudyptula minor; extreme events; seabird</t>
  </si>
  <si>
    <t>EUDYPTULA-MINOR; CLIMATE-CHANGE; BASS STRAIT; REPRODUCTIVE-PERFORMANCE; PHILLIP-ISLAND; BEHAVIOR; RESPONSES; VARIABILITY; PLASTICITY; PREDATOR</t>
  </si>
  <si>
    <t>Most effects of environmental and climate variability on predator life history traits and population dynamics result from indirect effects mediated through the food chain. There is growing evidence that wind strength might affect seabirds while foraging at sea. Here, we investigated the effect of wind speed on the foraging performance of a flightless marine predator, the little penguin (Eudyptula minor). To this end, we used satellite-derived wind data collected over 11 breeding seasons during which the daily attendance and body mass changes of more than 200 penguins breeding at Phillip Island (Victoria, Australia) were recorded by an automated penguin monitoring system. Over 17 363 foraging trips, we found that wind speed had important effects on foraging and provisioning parameters in breeding adults. During incubation and chick-guard, stronger winds were associated with decreased foraging efficiency (lower body mass gain). During chick-guard, stronger winds were furthermore associated with lower meal sizes provided to the chicks, but parental body reserves appeared unaffected. Under extreme wind conditions (&gt; 14 m/s) during the post-guard phase, adults maintained their body reserves by shifting towards longer foraging trips, while providing chicks with smaller meals. Chick meal size and foraging trip duration during chick rearing had direct effects on breeding success, suggesting that the influence of wind on individual fitness was mediated by changes in foraging performances and success. Furthermore, using a long-term wind data series spanning 150-yr from a coastal wind station, we found a slight decline in wind speed and a decrease in wind speed variability in the Bass Strait where little penguins forage. Interestingly, based on this wind data, we found birds to be more directly affected by punctual events of strong winds (e.g. storms or gales), than by an overall change in wind patterns over time. Potential candidate mechanisms mediating the effects of wind speed on foraging efficiency may include swell formation, energy costs of travelling and thermoregulation, and a possible disruption of thermoclines, which may be important for little penguins. Plasticity in foraging strategies allowed parents to partially compensate for negative wind effects.</t>
  </si>
  <si>
    <t>[Saraux, Claire] IFREMER, UMR MARBEC, Ave Jean Monnet,CS 30171, F-34203 Sete, France; [Chiaradia, Andre; Salton, Marcus; Dann, Peter] Phillip Isl Nat Parks, Res Dept, POB 97, Cowes, Vic 3922, Australia; [Viblanc, Vincent A.] Univ Strasbourg, IPHC, DEPE, 23 Rue Becquerel, F-67087 Strasbourg, France; [Viblanc, Vincent A.] CNRS, UMR7178, F-67087 Strasbourg, France; [Viblanc, Vincent A.] Univ Montpellier 3, Univ Montpellier, CNRS, Ctr Ecol Fonctionnelle &amp; Evolut,UMR 5175, 1919 Route Mende, F-34293 Montpellier, France</t>
  </si>
  <si>
    <t>Ifremer; Universites de Strasbourg Etablissements Associes; Universite de Strasbourg; Centre National de la Recherche Scientifique (CNRS); CNRS - National Institute of Nuclear and Particle Physics (IN2P3); Universites de Strasbourg Etablissements Associes; Universite de Strasbourg; Centre National de la Recherche Scientifique (CNRS); CNRS - Institute of Ecology &amp; Environment (INEE); Universite PSL; Ecole Pratique des Hautes Etudes (EPHE); Institut Agro; Montpellier SupAgro; CIRAD; Institut de Recherche pour le Developpement (IRD); Universite Paul-Valery; Universite de Montpellier</t>
  </si>
  <si>
    <t>Saraux, C (corresponding author), IFREMER, UMR MARBEC, Ave Jean Monnet,CS 30171, F-34203 Sete, France.</t>
  </si>
  <si>
    <t>claire.saraux@gmail.com</t>
  </si>
  <si>
    <t>saraux, claire/AAX-8709-2020; Salton, Marcus/AAC-1616-2022; Viblanc, Vincent Alexandre/A-7455-2014; Chiaradia, Andre/AAG-4928-2022; Chiaradia, Andre/AFK-6634-2022</t>
  </si>
  <si>
    <t>saraux, claire/0000-0001-5061-4009; Salton, Marcus/0000-0001-5647-406X; Viblanc, Vincent Alexandre/0000-0002-4953-659X; Chiaradia, Andre/0000-0002-6178-4211; Chiaradia, Andre/0000-0002-6178-4211</t>
  </si>
  <si>
    <t>Penguin Foundation; Australian Academy of Science; AAT Kings; AXA Research Fund post-doctoral fellowship</t>
  </si>
  <si>
    <t>Penguin Foundation; Australian Academy of Science; AAT Kings; AXA Research Fund post-doctoral fellowship(AXA Research Fund)</t>
  </si>
  <si>
    <t>We are grateful for all honors students who assisted on the data collection over the 11-yr period: S. Robinson-Laverick, T. Daniel, P. Fallow, P. Wasiak, R. Long, H. Davies, D. Steirt, M. Simpson and D. Hedger. Land-based wind data originated from Bureau of Meteorology, Australia. The Australian Antarctic Division kindly provided the automated penguin monitoring system (APMS). We are indebted to K. Kerry, K. Newbery, K. Maizels and all engineers involved in the research and development of the APMS. We thank the continuous support of the Phillip Island Nature Parks and Monash University. This project was supported by several grants from Penguin Foundation, Australian Academy of Science, and AAT Kings. V. A. Viblanc was the recipient of an AXA Research Fund post-doctoral fellowship. The project was approved by the Phillip Island Nature Parks Animal Experimentation Ethics Committee and carried a research permit issued by the Department of Environment, Land, Water and Planning of Victoria, Australia.</t>
  </si>
  <si>
    <t>0012-9615</t>
  </si>
  <si>
    <t>1557-7015</t>
  </si>
  <si>
    <t>ECOL MONOGR</t>
  </si>
  <si>
    <t>Ecol. Monogr.</t>
  </si>
  <si>
    <t>10.1890/14-2124.1</t>
  </si>
  <si>
    <t>DG0PN</t>
  </si>
  <si>
    <t>WOS:000371767700005</t>
  </si>
  <si>
    <t>Chen, Y; Cai, XY; Jiang, L; Li, Y</t>
  </si>
  <si>
    <t>Chen, Ying; Cai, Xiaoyu; Jiang, Long; Li, Yu</t>
  </si>
  <si>
    <t>Prediction of octanol-air partition coefficients for polychlorinated biphenyls (PCBs) using 3D-QSAR models</t>
  </si>
  <si>
    <t>ECOTOXICOLOGY AND ENVIRONMENTAL SAFETY</t>
  </si>
  <si>
    <t>PCBs; K-OA; 3D-QSAR; CoMFA; CoMSIA; Migrate</t>
  </si>
  <si>
    <t>POLYBROMINATED DIPHENYL ETHERS; BIOLOGICAL-ACTIVITY; MOLECULAR-DYNAMICS; ORGANIC-COMPOUNDS; SEDIMENTS; COMSIA; COMFA; CONGENERS; DOCKING; BINDING</t>
  </si>
  <si>
    <t>Based on the experimental data of octanol-air partition coefficients (K-OA) for 19 polychlorinated biphenyl (PCB) congeners, two types of QSAR methods, comparative molecular field analysis (CoMFA) and comparative molecular similarity indices analysis (CoMSIA), are used to establish 3D-QSAR models using the structural parameters as independent variables and using log K-OA values as the dependent variable with the Sybyl software to predict the K-OA values of the remaining 190 PCB congeners. The whole data set (19 compounds) was divided into a training set (15 compounds) for model generation and a test set (4 compounds) for model validation. As a result, the cross-validation correlation coefficient (q(2)) obtained by the CoMFA and CoMSIA models (shuffled 12 times) was in the range of 0.825-0.969 (&gt; 0.5), the correlation coefficient (r(2)) obtained was in the range of 0.957-1.000 (&gt; 0.9), and the SEP (standard error of prediction) of test set was within the range of 0.070-0.617, indicating that the models were robust and predictive. Randomly selected from a set of models, CoMFA analysis revealed that the corresponding percentages of the variance explained by steric and electrostatic fields were 23.9% and 76.1%, respectively, while CoMSIA analysis by steric, electrostatic and hydrophobic fields were 0.6%, 92.6%, and 6.8%, respectively. The electrostatic field was determined as a primary factor governing the log K-OA. The correlation analysis of the relationship between the number of Cl atoms and the average log K-OA values of PCBs indicated that log K-OA values gradually increased as the number of Cl atoms increased. Simultaneously, related studies on PCB detection in the Arctic and Antarctic areas revealed that higher log K-OA values indicate a stronger PCB migration ability. From CoMFA and CoMSIA contour maps, log K-OA decreased when substituents possessed electropositive groups at the 2-, 3-, 3'-, 5- and 6- positions, which could reduce the PCB migration ability. These results are expected to be beneficial in predicting log K-OA values of PCB homologues and derivatives and in providing a theoretical foundation for further elucidation of the global migration behaviour of PCBs. (C) 2015 Elsevier Inc. All rights reserved.</t>
  </si>
  <si>
    <t>[Chen, Ying; Cai, Xiaoyu; Jiang, Long; Li, Yu] North China Elect Power Univ, Resource &amp; Environm Inst, Beijing 102206, Peoples R China; [Chen, Ying; Cai, Xiaoyu; Jiang, Long; Li, Yu] North China Elect Power Univ, State Key Lab Reg Optimisat Energy Syst, Beijing 102206, Peoples R China</t>
  </si>
  <si>
    <t>North China Electric Power University; North China Electric Power University</t>
  </si>
  <si>
    <t>Li, Y (corresponding author), North China Elect Power Univ, Resource &amp; Environm Inst, Beijing 102206, Peoples R China.</t>
  </si>
  <si>
    <t>liyuxx8@hotmail.com</t>
  </si>
  <si>
    <t>Fundamental Research Funds for the Central Universities [JB2013146]; Key Projects in the National Science &amp; Technology Pillar Program in the Eleventh Five-Year Plan Period [2008BAC43B01]</t>
  </si>
  <si>
    <t>Fundamental Research Funds for the Central Universities(Fundamental Research Funds for the Central Universities); Key Projects in the National Science &amp; Technology Pillar Program in the Eleventh Five-Year Plan Period</t>
  </si>
  <si>
    <t>The research was supported by the Fundamental Research Funds for the Central Universities in 2013 (JB2013146) and the Key Projects in the National Science &amp; Technology Pillar Program in the Eleventh Five-Year Plan Period (2008BAC43B01).</t>
  </si>
  <si>
    <t>0147-6513</t>
  </si>
  <si>
    <t>1090-2414</t>
  </si>
  <si>
    <t>ECOTOX ENVIRON SAFE</t>
  </si>
  <si>
    <t>Ecotox. Environ. Safe.</t>
  </si>
  <si>
    <t>10.1016/j.ecoenv.2015.10.024</t>
  </si>
  <si>
    <t>DD4GR</t>
  </si>
  <si>
    <t>WOS:000369881000026</t>
  </si>
  <si>
    <t>Davies, PL</t>
  </si>
  <si>
    <t>Davies, Peter L.</t>
  </si>
  <si>
    <t>Antarctic moss is home to many epiphytic bacteria that secrete antifreeze proteins</t>
  </si>
  <si>
    <t>ICE-BINDING PROTEINS; HORIZONTAL GENE-TRANSFER; SEA-ICE; PLANTS; SITE</t>
  </si>
  <si>
    <t>[Davies, Peter L.] Queens Univ, Dept Biomed &amp; Mol Sci, Kingston, ON K7L 3N6, Canada</t>
  </si>
  <si>
    <t>Queens University - Canada</t>
  </si>
  <si>
    <t>Davies, PL (corresponding author), Queens Univ, Dept Biomed &amp; Mol Sci, Kingston, ON K7L 3N6, Canada.</t>
  </si>
  <si>
    <t>peter.davies@queensu.ca</t>
  </si>
  <si>
    <t>10.1111/1758-2229.12360</t>
  </si>
  <si>
    <t>WOS:000371481100001</t>
  </si>
  <si>
    <t>Mourocq, E; Bize, P; Bouwhuis, S; Bradley, R; Charmantier, A; de la Cruz, C; Drobniak, SM; Espie, RHM; Herényi, M; Hötker, H; Krüger, O; Marzluff, J; Moller, AP; Nakagawa, S; Phillips, RA; Radford, AN; Roulin, A; Török, J; Valencia, J; van de Pol, M; Warkentin, IG; Winney, IS; Wood, AG; Griesser, M</t>
  </si>
  <si>
    <t>Mourocq, Emeline; Bize, Pierre; Bouwhuis, Sandra; Bradley, Russell; Charmantier, Anne; de la Cruz, Carlos; Drobniak, Szymon M.; Espie, Richard H. M.; Herenyi, Marton; Hoetker, Hermann; Krueger, Oliver; Marzluff, John; Moller, Anders P.; Nakagawa, Shinichi; Phillips, Richard A.; Radford, Andrew N.; Roulin, Alexandre; Toeroek, Janos; Valencia, Juliana; van de Pol, Martijn; Warkentin, Ian G.; Winney, Isabel S.; Wood, Andrew G.; Griesser, Michael</t>
  </si>
  <si>
    <t>Life span and reproductive cost explain interspecific variation in the optimal onset of reproduction</t>
  </si>
  <si>
    <t>Age at first reproduction; comparative method; cost of reproduction; family formation theory; life-history theory</t>
  </si>
  <si>
    <t>DELAYED DISPERSAL; ECOLOGICAL CONSTRAINTS; MULTIMODEL INFERENCE; BEHAVIORAL ECOLOGY; MODEL SELECTION; HISTORY TRAITS; AGE; EVOLUTION; 1ST; FITNESS</t>
  </si>
  <si>
    <t>Fitness can be profoundly influenced by the age at first reproduction (AFR), but to date the AFR-fitness relationship only has been investigated intraspecifically. Here, we investigated the relationship between AFR and average lifetime reproductive success (LRS) across 34 bird species. We assessed differences in the deviation of the Optimal AFR (i.e., the species-specific AFR associated with the highest LRS) from the age at sexual maturity, considering potential effects of life history as well as social and ecological factors. Most individuals adopted the species-specific Optimal AFR and both the mean and Optimal AFR of species correlated positively with life span. Interspecific deviations of the Optimal AFR were associated with indices reflecting a change in LRS or survival as a function of AFR: a delayed AFR was beneficial in species where early AFR was associated with a decrease in subsequent survival or reproductive output. Overall, our results suggest that a delayed onset of reproduction beyond maturity is an optimal strategy explained by a long life span and costs of early reproduction. By providing the first empirical confirmations of key predictions of life-history theory across species, this study contributes to a better understanding of life-history evolution.</t>
  </si>
  <si>
    <t>[Mourocq, Emeline; Drobniak, Szymon M.; Griesser, Michael] Univ Zurich, Anthropol Inst &amp; Museum, Winterthurerstr190, CH-8057 Zurich, Switzerland; [Bize, Pierre] Univ Aberdeen, Inst Biol &amp; Environm Sci, Zoology Bldg,Tillydrone Ave, Aberdeen AB24 2TZ, Scotland; [Bouwhuis, Sandra] Inst Avian Res Vogelwarte Helgoland, Vogelwarte 21, D-26386 Wilhelmshaven, Germany; [Bouwhuis, Sandra] Univ Oxford, Dept Zool, Edward Grey Inst, Tinbergen Bldg,South Parks Rd, Oxford OX1 3PS, England; [Bradley, Russell] Point Blue Conservat Sci, 3820 Cypress Dr 11, Petaluma, CA 94954 USA; [Charmantier, Anne] CNRS UMR 5175, Ctr Ecol Fonct &amp; Evolut, 1919 Route Mende, F-34293 Montpellier, France; [de la Cruz, Carlos] Univ Extremadura, Biol &amp; Ethol Res Grp, Ave Elvas, E-06071 Badajoz, Spain; [Espie, Richard H. M.] Saskatchewan Environm, Tech Resource Branch, 5th Floor,3211 Albert St, Regina S4S 5W6, SK, Canada; [Herenyi, Marton; Toeroek, Janos] Eotvos Lorand Univ, Dept Systemat Zool &amp; Ecol, Behav Ecol Grp, Pazmany Peter Setany 1-C, H-1117 Budapest, Hungary; [Herenyi, Marton] Szent Istvan Univ, Dept Zool &amp; Anim Ecol, Pater Karoly Utca 1, H-2100 Godollo, Hungary; [Hoetker, Hermann] Michael Otto Inst NABU, Goosstroot 1, D-24861 Bergenhusen, Germany; [Krueger, Oliver] Univ Bielefeld, Dept Anim Behav, Morgenbreede 45, D-33615 Bielefeld, Germany; [Marzluff, John] Univ Washington, Coll Environm, Sch Environm &amp; Forest Sci, 4000 15th Ave, Seattle, WA 98195 USA; [Moller, Anders P.] Univ Paris Sud, CNRS UMR 8079, Lab Ecol Systemat &amp; Evolut, 362 Rue Doyen Andre Guinier, F-91405 Orsay, France; [Nakagawa, Shinichi] Univ Otago, Dept Zool, 340 Great King St,POBox 56, Dunedin 9054, New Zealand; [Nakagawa, Shinichi] Univ New S Wales, Sch Biol Earth &amp; Environm Sci, Evolut &amp; Ecol Res Ctr, Sydney, NSW 2052, Australia; [Phillips, Richard A.; Wood, Andrew G.] NERC, British Antarctic Survey, Madingley Rd, Cambridge CB3 0ET, England; [Radford, Andrew N.] Univ Bristol, Sch Biol Sci, 24 Tyndall Ave, Bristol BS8 1TH, Avon, England; [Roulin, Alexandre] Univ Lausanne, Dept Ecol &amp; Evolut, CH-1015 Lausanne, Switzerland; [Valencia, Juliana] Univ Cordoba, Dept Zool, Catedra Recursos Cineget, Campus Rabanales, E-14071 Cordoba, Spain; [van de Pol, Martijn] Australian Natl Univ, Evolut, Ecol &amp; Genet, Acton, ACT 2601, Australia; [van de Pol, Martijn] Netherlands Inst Ecol NIOO KNAW, Dept Anim Ecol, Droevendaalsesteeg 10, NL-6708 PB Wageningen, Netherlands; [Warkentin, Ian G.] Mem Univ Newfoundland, Environm Sci Program, Corner Brook A2H 6P9, NF, Canada; [Winney, Isabel S.] Univ Sheffield, Dept Anim &amp; Plant Sci, Sheffield S10 2TN, S Yorkshire, England</t>
  </si>
  <si>
    <t>University of Zurich; University of Aberdeen; University of Oxford; Universite PSL; Ecole Pratique des Hautes Etudes (EPHE); Institut Agro; Montpellier SupAgro; CIRAD; Centre National de la Recherche Scientifique (CNRS); Institut de Recherche pour le Developpement (IRD); Universite Paul-Valery; Universite de Montpellier; Universidad de Extremadura; Eotvos Lorand University; Hungarian University of Agriculture &amp; Life Sciences; University of Bielefeld; University of Washington; University of Washington Seattle; Centre National de la Recherche Scientifique (CNRS); CNRS - Institute of Ecology &amp; Environment (INEE); Universite Paris Saclay; Universite Paris Cite; AgroParisTech; University of Otago; University of New South Wales Sydney; UK Research &amp; Innovation (UKRI); Natural Environment Research Council (NERC); NERC British Antarctic Survey; University of Bristol; University of Lausanne; Universidad de Cordoba; Australian National University; Royal Netherlands Academy of Arts &amp; Sciences; Netherlands Institute of Ecology (NIOO-KNAW); Memorial University Newfoundland; University of Sheffield</t>
  </si>
  <si>
    <t>Mourocq, E (corresponding author), Univ Zurich, Anthropol Inst &amp; Museum, Winterthurerstr190, CH-8057 Zurich, Switzerland.</t>
  </si>
  <si>
    <t>emeline.mourocq@uzh.ch</t>
  </si>
  <si>
    <t>Moller, Anders/O-6665-2016; Nakagawa, Shinichi/B-5571-2011; Griesser, Michael/J-4542-2012; Torok, Janos/C-6144-2008; Warkentin, Ian/AGL-1942-2022; Drobniak, Szymon Marian/K-4954-2015; Bize, Pierre/AAQ-7835-2020; KNAW, NIOO-KNAW/A-4320-2012; Bouwhuis, Sandra/H-5270-2011</t>
  </si>
  <si>
    <t>Nakagawa, Shinichi/0000-0002-7765-5182; Griesser, Michael/0000-0002-2220-2637; Drobniak, Szymon Marian/0000-0001-8101-6247; Bize, Pierre/0000-0002-6759-4371; Warkentin, Ian/0000-0003-1205-6506; Winney, Isabel/0000-0001-8606-3720; Valencia, Juliana/0000-0002-8774-8315; KNAW, NIOO-KNAW/0000-0002-3835-159X; Cruz, Carlos/0000-0001-6088-8337; Marzluff, John/0000-0002-6266-4975; Radford, Andrew N/0000-0001-5470-3463; Bouwhuis, Sandra/0000-0003-4023-1578; van de Pol, Martijn/0000-0003-4102-4079</t>
  </si>
  <si>
    <t>Swiss National Research Foundation [PPOOP3_123520, PPOOP3_150752]; NERC [bas0100035] Funding Source: UKRI; Natural Environment Research Council [bas0100035] Funding Source: researchfish</t>
  </si>
  <si>
    <t>Swiss National Research Foundation(Swiss National Science Foundation (SNSF)); NERC(UK Research &amp; Innovation (UKRI)Natural Environment Research Council (NERC)); Natural Environment Research Council(UK Research &amp; Innovation (UKRI)Natural Environment Research Council (NERC))</t>
  </si>
  <si>
    <t>The authors thank B. Hatchwell for contributing the long-tailed tit data, B. Kempenaers and E. Schlicht for contributing blue tit data; B. Sheldon for contributing the blue tit, great tit, and mute swan data; C. Perrins for contributing the mute swan data and T. Burkefor contributing the house sparrow data. They thank E. Postma and J. D. Ibanez Alamo for relevant discussions. They also thank to the numerous fieldworkers and funding agencies that contributed to these long-term studies. This study was financed by the Swiss National Research Foundation (grant numbers PPOOP3_123520 and PPOOP3_150752 to MG). PB, SB, RB, AC, CC, RE, MH, HH, OK, JM, AM, SN, RP, ANR, AR, JT, JV, MVP, IGW, ISW, AW provided unpublished data on lifetime reproductive success. EM compiled the data, performed the statistical analysis, and wrote the first draft of the manuscript. All authors contributed to revisions (especially MG) and gave final approval for publication. MG helped with data compilation and reflection on the manuscript. SMD, SN, and MG helped with the statistical methods and estimation of the indices. SMD wrote the R script to automate the estimation of two indices. The authors have no conflict of interest.</t>
  </si>
  <si>
    <t>0014-3820</t>
  </si>
  <si>
    <t>1558-5646</t>
  </si>
  <si>
    <t>Evolution</t>
  </si>
  <si>
    <t>10.1111/evo.12853</t>
  </si>
  <si>
    <t>DE5HQ</t>
  </si>
  <si>
    <t>WOS:000370662500004</t>
  </si>
  <si>
    <t>Goordial, J; Raymond-Bouchard, I; Zolotarov, Y; de Bethencourt, L; Ronholm, J; Shapiro, N; Woyke, T; Stromvik, M; Greer, CW; Bakermans, C; Whyte, L</t>
  </si>
  <si>
    <t>Goordial, Jacqueline; Raymond-Bouchard, Isabelle; Zolotarov, Yevgen; de Bethencourt, Luis; Ronholm, Jennifer; Shapiro, Nicole; Woyke, Tanja; Stromvik, Martina; Greer, Charles W.; Bakermans, Corien; Whyte, Lyle</t>
  </si>
  <si>
    <t>Cold adaptive traits revealed by comparative genomic analysis of the eurypsychrophile Rhodococcus sp JG3 isolated from high elevation McMurdo Dry Valley permafrost, Antarctica</t>
  </si>
  <si>
    <t>Rhodococcus; permafrost; eurypsychrophile; cryophile; Antarctica; genome sequence; subzero</t>
  </si>
  <si>
    <t>PSYCHROBACTER-ARCTICUS 273-4; JOSTII RHA1; ADAPTATION; BACTERIUM; GROWTH; SURVIVAL; INSIGHTS; ICE; ARCHITECTURE; MAINTENANCE</t>
  </si>
  <si>
    <t>The permafrost soils of the high elevation McMurdo Dry Valleys are the most cold, desiccating and oligotrophic on Earth. Rhodococcus sp. JG3 is one of very few bacterial isolates from Antarctic Dry Valley permafrost, and displays subzero growth down to -5 degrees C. To understand how Rhodococcus sp. JG3 is able to survive extreme permafrost conditions and be metabolically active at subzero temperatures, we sequenced its genome and compared it to the genomes of 14 mesophilic rhodococci. Rhodococcus sp. JG3 possessed a higher copy number of genes for general stress response, UV protection and protection from cold shock, osmotic stress and oxidative stress. We characterized genome wide molecular adaptations to cold, and identified genes that had amino acid compositions favourable for increased flexibility and functionality at low temperatures. Rhodococcus sp. JG3 possesses multiple complimentary strategies which may enable its survival in some of the harshest permafrost on Earth.</t>
  </si>
  <si>
    <t>[Goordial, Jacqueline; Raymond-Bouchard, Isabelle; Zolotarov, Yevgen; Ronholm, Jennifer; Stromvik, Martina; Whyte, Lyle] McGill Univ, 21 111 Lakeshore Rd, Ste Anne De Bellevue, PQ H9X 3V9, Canada; [Shapiro, Nicole; Woyke, Tanja] DOE Joint Genome Inst, Walnut Creek, CA 94598 USA; [Greer, Charles W.] Natl Res Council Canada, Montreal, PQ H4P 2R2, Canada; [Bakermans, Corien] Penn State Univ, Altoona Coll, Altoona, PA 16801 USA</t>
  </si>
  <si>
    <t>McGill University; United States Department of Energy (DOE); National Research Council Canada; Pennsylvania Commonwealth System of Higher Education (PCSHE); Pennsylvania State University</t>
  </si>
  <si>
    <t>Goordial, J (corresponding author), McGill Univ, 21 111 Lakeshore Rd, Ste Anne De Bellevue, PQ H9X 3V9, Canada.</t>
  </si>
  <si>
    <t>jacqueline.goordial@mail.mcgill.ca</t>
  </si>
  <si>
    <t>Ronholm, Jennifer/ABD-6240-2020; Zolotarov, Yevgen/AAK-6125-2021; Woyke, Tanja/S-7870-2018</t>
  </si>
  <si>
    <t>Zolotarov, Yevgen/0000-0001-5445-1219; Woyke, Tanja/0000-0002-9485-5637; Goordial, Jacqueline/0000-0001-5005-673X; Stromvik, Martina/0000-0002-0501-3703; Bakermans, Corien/0000-0002-3471-2570</t>
  </si>
  <si>
    <t>National Aeronautics and Space Administration (NASA) Astrobiology Science and Technology for Exploring Planets (ASTEP) program; NSF/OPP [B-302-M]; Natural Sciences and Engineering Research Council (NSERC); NSERC Northern Supplements Program; NSERC CREATE Canadian Astrobiology Training Program (CATP); US Department of Energy Joint Genome Institute, a DOE Office of Science User Facility [DE-AC02-05CH11231]</t>
  </si>
  <si>
    <t>National Aeronautics and Space Administration (NASA) Astrobiology Science and Technology for Exploring Planets (ASTEP) program; NSF/OPP(National Science Foundation (NSF)NSF - Directorate for Geosciences (GEO)); Natural Sciences and Engineering Research Council (NSERC)(Natural Sciences and Engineering Research Council of Canada (NSERC)); NSERC Northern Supplements Program(Natural Sciences and Engineering Research Council of Canada (NSERC)); NSERC CREATE Canadian Astrobiology Training Program (CATP)(Natural Sciences and Engineering Research Council of Canada (NSERC)); US Department of Energy Joint Genome Institute, a DOE Office of Science User Facility(United States Department of Energy (DOE))</t>
  </si>
  <si>
    <t>This work was supported by the National Aeronautics and Space Administration (NASA) Astrobiology Science and Technology for Exploring Planets (ASTEP) program and with field support via NSF/OPP (project B-302-M). Support was provided by the Natural Sciences and Engineering Research Council (NSERC) Discovery Grant Program, NSERC Northern Supplements Program and NSERC CREATE Canadian Astrobiology Training Program (CATP). The work conducted by the US Department of Energy Joint Genome Institute, a DOE Office of Science User Facility, is supported under Contract No. DE-AC02-05CH11231.</t>
  </si>
  <si>
    <t>fiv154</t>
  </si>
  <si>
    <t>10.1093/femsec/fiv154</t>
  </si>
  <si>
    <t>DF3MX</t>
  </si>
  <si>
    <t>WOS:000371249600003</t>
  </si>
  <si>
    <t>Casado, M; Cauquoin, A; Landais, A; Israel, D; Orsi, A; Pangui, E; Landsberg, J; Kerstel, E; Prie, F; Doussin, JF</t>
  </si>
  <si>
    <t>Casado, Mathieu; Cauquoin, Alexandre; Landais, Amaelle; Israel, Dan; Orsi, Anais; Pangui, Edouard; Landsberg, Janek; Kerstel, Erik; Prie, Frederic; Doussin, Jean-Francois</t>
  </si>
  <si>
    <t>Experimental determination and theoretical framework of kinetic fractionation at the water vapour-ice interface at low temperature</t>
  </si>
  <si>
    <t>GLACIAL-INTERGLACIAL CHANGES; GENERAL-CIRCULATION MODEL; D-EXCESS; DEUTERIUM-EXCESS; STABLE ISOTOPES; BOUNDARY-LAYER; PRECIPITATION; CORE; O-18; CLIMATE</t>
  </si>
  <si>
    <t>Water isotopes are commonly used for climate reconstruction from ice cores. The different heavy isotopes of water such as (H2O)-O-18, (H2O)-O-17 or HDO give information about local temperature but also temperature and humidity of water vapour sources. Quantification of these parameters relies on the good knowledge of equilibrium and kinetic isotopic fractionation at each step of the water cycle. One of the strongest limitations when interpreting water isotopes in remote Antarctic ice cores is the formulation of the isotopic fractionation at solid condensation (vapour to ice). This classical formulation also implies a good knowledge of coefficients for equilibrium fractionation and water vapour diffusion in air as well as supersaturation in clouds. The uncertainties associated with these different parameters make the formulation of isotopic fractionation at solid condensation only empirical. Here, we make use (1) of recent development in the measurements of water isotopes in the water vapour through infra-red spectroscopy and (2) of the possibility to measure accurately O-17-excess of water to test the classical formulation and parameterization of isotopic fractionation at solid condensation. A first experiment involving very strong supersaturation evidences a strong kinetic effect on O-17-excess at solid condensation, similar to d-excess. It also shows the limits of the classical formulation of water isotopic fractionation during solid condensation estimation at very low temperature. A second experiment performed in a cloud chamber under controlled conditions uses cavity ring down spectrometers (CRDS) to determine the spatial variability of water vapour isotopic composition due to diffusion (kinetic effect) during solid condensation. The spatial variability of water vapour isotopic composition can be relatively well reproduced by the resolution of diffusion toward a cold plate. This preliminary study opens new perspectives to revisit the classical formulation of water isotopic fractionation during solid condensation at very low temperature. (c) 2015 Elsevier Ltd. All rights reserved.</t>
  </si>
  <si>
    <t>[Casado, Mathieu; Cauquoin, Alexandre; Landais, Amaelle; Orsi, Anais; Prie, Frederic] CEA CNRS UVSQ, UMR 8212, Lab Sci Climat &amp; Environm IPSL, Gif Sur Yvette, France; [Landsberg, Janek; Kerstel, Erik] Univ Grenoble Alpes, LIPHY, F-38000 Grenoble, France; [Casado, Mathieu; Kerstel, Erik] CNRS, LIPHY, F-38000 Grenoble, France; [Cauquoin, Alexandre] UPMC, LMD IPSL, Paris, France; [Israel, Dan] Univ Paris 06, Sorbonne Univ, UMR 7589, LPTHE, F-75005 Paris, France; [Israel, Dan] CNRS, UMR 7589, LPTHE, F-75005 Paris, France; [Pangui, Edouard; Doussin, Jean-Francois] Univ Paris Est Creteil, UMR CNRS 7583, LISA, Creteil, France; [Pangui, Edouard; Doussin, Jean-Francois] Univ Paris Diderot, Inst Pierre Simon Laplace, Creteil, France</t>
  </si>
  <si>
    <t>CEA; Centre National de la Recherche Scientifique (CNRS); Universite Paris Saclay; CNRS - National Institute for Earth Sciences &amp; Astronomy (INSU); Communaute Universite Grenoble Alpes; Universite Grenoble Alpes (UGA); Centre National de la Recherche Scientifique (CNRS); Ecole des Ponts ParisTech; Sorbonne Universite; Centre National de la Recherche Scientifique (CNRS); CNRS - Institute of Physics (INP); Sorbonne Universite; Sorbonne Universite; Centre National de la Recherche Scientifique (CNRS); CNRS - Institute of Physics (INP); Universite Paris Cite; Universite Paris-Est-Creteil-Val-de-Marne (UPEC); Universite Paris Saclay; Universite Paris Cite</t>
  </si>
  <si>
    <t>Casado, M (corresponding author), CEA CNRS UVSQ, UMR 8212, Lab Sci Climat &amp; Environm IPSL, Gif Sur Yvette, France.</t>
  </si>
  <si>
    <t>mathieu.casado@gmail.com</t>
  </si>
  <si>
    <t>Kerstel, Erik/AAG-3042-2020; Cauquoin, Alexandre/N-4579-2015; Cauquoin, Alexandre/HCH-9930-2022; DOUSSIN, Jean-Francois/AAT-3084-2021</t>
  </si>
  <si>
    <t>Kerstel, Erik/0000-0001-5325-7860; Cauquoin, Alexandre/0000-0002-4620-4696; Cauquoin, Alexandre/0000-0002-4620-4696; DOUSSIN, Jean-Francois/0000-0002-8042-7228; LANDAIS, Amaelle/0000-0002-5620-5465; Casado, Mathieu/0000-0002-8185-415X</t>
  </si>
  <si>
    <t>European Research Council under European Union/ERC [306045]; ANR Citronnier; CNRS-INSU</t>
  </si>
  <si>
    <t>European Research Council under European Union/ERC(European Research Council (ERC)); ANR Citronnier(Agence Nationale de la Recherche (ANR)); CNRS-INSU(Centre National de la Recherche Scientifique (CNRS))</t>
  </si>
  <si>
    <t>The research leading to these results has received funding from the European Research Council under the European Union's Seventh Framework Programme (FP7/2007-2013)/ERC grant agreement no306045 and ANR Citronnier, we warmly thank all the staff of the LISA that really helped us for this experiment and for their patience during all the long process of building up the set up. We acknowledge Bernard Chelli for helping out during the preparation of the experiment. Finally we warmly acknowledge the helpful comments of Emmanuel Witrant, Samir Kassi and Guillaume Mejean; and Geoffrey Gourdet for his help with drawing the schematics. The authors want to thank CNRS-INSU for supporting CESAM as a National Instrument.</t>
  </si>
  <si>
    <t>10.1016/j.gca.2015.11.009</t>
  </si>
  <si>
    <t>DB9ES</t>
  </si>
  <si>
    <t>WOS:000368819800005</t>
  </si>
  <si>
    <t>Jamieson, SSR; Ross, N; Greenbaum, JS; Young, DA; Aitken, ARA; Roberts, JL; Blankenship, DD; Bo, S; Siegert, MJ</t>
  </si>
  <si>
    <t>Jamieson, Stewart S. R.; Ross, Neil; Greenbaum, Jamin S.; Young, Duncan A.; Aitken, Alan R. A.; Roberts, Jason L.; Blankenship, Donald D.; Bo, Sun; Siegert, Martin J.</t>
  </si>
  <si>
    <t>An extensive subglacial lake and canyon system in Princess Elizabeth Land, East Antarctica</t>
  </si>
  <si>
    <t>ICE-SHEET; WILKES LAND; BENEATH; MODEL; FLOW; SHELVES; SURFACE; RADAR</t>
  </si>
  <si>
    <t>The subglacial landscape of Princess Elizabeth Land (PEL) in East Antarctica is poorly known due to a paucity of ice thickness measurements. This is problematic given its importance for understanding ice sheet dynamics and landscape and climate evolution. To address this issue, we describe the topography beneath the ice sheet by assuming that ice surface expressions in satellite imagery relate to large-scale subglacial features. We find evidence that a large, previously undiscovered subglacial drainage network is hidden beneath the ice sheet in PEL. We interpret a discrete feature that is 140 x 20 km in plan form, and multiple narrow sinuous features that extend over a distance of similar to 1100 km. We hypothesize that these are tectonically controlled and relate to a large subglacial basin containing a deep-water lake in the interior of PEL linked to a series of long, deep canyons. The presence of 1-km-deep canyons is confirmed at a few localities by radio-echo sounding data, and drainage analysis suggests that these canyons will direct subglacial meltwater to the coast between the Vestfold Hills and the West Ice Shelf.</t>
  </si>
  <si>
    <t>[Jamieson, Stewart S. R.] Univ Durham, Dept Geog, S Rd, Durham DH1 3LE, England; [Ross, Neil] Newcastle Univ, Sch Geog Polit &amp; Sociol, Newcastle Upon Tyne NE1 7RU, Tyne &amp; Wear, England; [Greenbaum, Jamin S.; Young, Duncan A.; Blankenship, Donald D.] Univ Texas Austin, Inst Geophys, Austin, TX 78758 USA; [Aitken, Alan R. A.] Univ Western Australia, Sch Earth &amp; Environm, Perth, WA 6009, Australia; [Roberts, Jason L.] Australian Antarctic Div, Channel Highway, Kingston, Tas 7050, Australia; [Roberts, Jason L.] Univ Tasmania, Antarctic Climate &amp; Ecosyst Cooperat Res Ctr, Hobart, Tas 7001, Australia; [Bo, Sun] Polar Res Inst China, Jinqiao Rd, Shanghai 200136, Peoples R China; [Siegert, Martin J.] Univ London Imperial Coll Sci Technol &amp; Med, Grantham Inst, London SW7 2AZ, England; [Siegert, Martin J.] Univ London Imperial Coll Sci Technol &amp; Med, Dept Earth Sci &amp; Engn, London SW7 2AZ, England</t>
  </si>
  <si>
    <t>Durham University; Newcastle University - UK; University of Texas System; University of Texas Austin; University of Western Australia; Australian Antarctic Division; Antarctic Climate &amp; Ecosystems Cooperative Research Centre (ACE CRC); University of Tasmania; Polar Research Institute of China; Imperial College London; Imperial College London</t>
  </si>
  <si>
    <t>Jamieson, SSR (corresponding author), Univ Durham, Dept Geog, S Rd, Durham DH1 3LE, England.</t>
  </si>
  <si>
    <t>Stewart.Jamieson@durham.ac.uk</t>
  </si>
  <si>
    <t>Siegert, Martin/M-9939-2019; Siegert, Martin J/A-3826-2008; Young, Duncan A./G-6256-2010; Jamieson, Stewart S.R./B-8330-2013; Roberts, Jason L/B-2235-2012</t>
  </si>
  <si>
    <t>Siegert, Martin/0000-0002-0090-4806; Siegert, Martin J/0000-0002-0090-4806; Jamieson, Stewart S.R./0000-0002-9036-2317; Roberts, Jason L/0000-0002-3477-4069; Aitken, Alan/0000-0002-6375-2504</t>
  </si>
  <si>
    <t>Natural Environment Research Council (NERC) Fellowship [NE/J018333/1]; Newcastle University Humanities and Social Sciences Faculty Research Fund; National Aeronautics and Space Administration [NNX11AD33G]; Australian Antarctic Division project [4077]; UK NERC grant [NE/D003733/1]; Vetlesen Foundation; Jackson School of Geosciences (Texas, USA); Antarctic Climate and Ecosystems Cooperative Research Centre (Tasmania, Australia); British Council Global Innovation Initiative; Natural Environment Research Council [NE/F016646/1, NE/J018333/1, NE/G00465X/3, NE/F016646/2, NE/K004956/2] Funding Source: researchfish; The British Council [GII203] Funding Source: researchfish; NERC [NE/J018333/1, NE/G00465X/3, NE/F016646/2, NE/K004956/2, NE/F016646/1] Funding Source: UKRI</t>
  </si>
  <si>
    <t>Natural Environment Research Council (NERC) Fellowship; Newcastle University Humanities and Social Sciences Faculty Research Fund; National Aeronautics and Space Administration(National Aeronautics &amp; Space Administration (NASA)); Australian Antarctic Division project; UK NERC grant(UK Research &amp; Innovation (UKRI)Natural Environment Research Council (NERC)); Vetlesen Foundation; Jackson School of Geosciences (Texas, USA); Antarctic Climate and Ecosystems Cooperative Research Centre (Tasmania, Australia)(Australian GovernmentDepartment of Industry, Innovation and ScienceCooperative Research Centres (CRC) Programme); British Council Global Innovation Initiative; Natural Environment Research Council(UK Research &amp; Innovation (UKRI)Natural Environment Research Council (NERC)); The British Council; NERC(UK Research &amp; Innovation (UKRI)Natural Environment Research Council (NERC))</t>
  </si>
  <si>
    <t>Jamieson was supported by Natural Environment Research Council (NERC) Fellowship NE/J018333/1. Ross acknowledges support from the Newcastle University Humanities and Social Sciences Faculty Research Fund. Radio-echo sounding (RES) data are from the ICECAP (International Collaborative Exploration of Central East Antarctica through Airborne geophysical Profiling) collaboration (USA, UK, and Australia), supported by National Aeronautics and Space Administration grant NNX11AD33G (Operation Ice Bridge), Australian Antarctic Division project 4077, UK NERC grant NE/D003733/1, and the Vetlesen Foundation. This research was also supported by the Jackson School of Geosciences (Texas, USA), the Antarctic Climate and Ecosystems Cooperative Research Centre (Tasmania, Australia), and the British Council Global Innovation Initiative. Mapping data are available from Jamieson upon request and RES data are available from the National Snow and Ice Data Center at http://nsidc.org/data/ir2hi2.html.</t>
  </si>
  <si>
    <t>10.1130/G37220.1</t>
  </si>
  <si>
    <t>DD7AL</t>
  </si>
  <si>
    <t>Green Published, Green Submitted, Green Accepted, hybrid</t>
  </si>
  <si>
    <t>WOS:000370075900004</t>
  </si>
  <si>
    <t>Bercovici, SK; Hansell, DA</t>
  </si>
  <si>
    <t>Bercovici, Sarah K.; Hansell, Dennis A.</t>
  </si>
  <si>
    <t>Dissolved organic carbon in the deep Southern Ocean: Local versus distant controls</t>
  </si>
  <si>
    <t>dissolved organic carbon; Southern Ocean; ocean carbon cycle</t>
  </si>
  <si>
    <t>MATTER; RADIOCARBON; PACIFIC; DISTRIBUTIONS; CIRCULATION; RESPIRATION; ATLANTIC; WATERS</t>
  </si>
  <si>
    <t>The global ocean contains a massive reservoir (66232PgC) of dissolved organic carbon (DOC), and its dynamics, particularly in the deepest zones, are only slowly being understood. DOC in the deep ocean is ubiquitously low in concentration (similar to 35 to 48 mu molkg(-1)) and aged (4000 to 6000years), persisting for multiple meridional overturning circulations. Deep waters relatively enriched in DOC form in the North Atlantic, migrate to the Southern Ocean to mix with waters from Antarctic shelves and the deep Pacific and Indian Oceans, in turn forming the voluminous waters of the Circumpolar Deep Water. Here we seek evidence for local (autochthonous) versus distant (allochthonous) processes in determining the distribution of DOC in the deep Southern Ocean. Prior analyses on DOC in the deep Southern Ocean have conflicted, describing both conservative and nonconservative traits: the deep DOC field has been reported as uniform in distribution, yet local inputs have been suggested as quantitatively important. We use multiple approaches (multiple linear regression, mass transport, and mass balance calculations) with data from Climate Variability and Predictability Repeat Hydrography sections to evaluate the system. We find that DOC concentrations in the deep Southern Ocean largely reflect the conservative mixing of the several deep waters entering the system from the north. Mass balance suggests that the relatively depleted DOC radiocarbon content in the deep Southern Ocean is a conserved property as well. These analyses advance our understanding of the controls on the DOC reservoir of the Southern Ocean.</t>
  </si>
  <si>
    <t>[Bercovici, Sarah K.; Hansell, Dennis A.] Univ Miami, Rosenstiel Sch Marine &amp; Atmospher Sci, Dept Ocean Sci, 4600 Rickenbacker Causeway, Miami, FL 33149 USA</t>
  </si>
  <si>
    <t>University of Miami</t>
  </si>
  <si>
    <t>Bercovici, SK (corresponding author), Univ Miami, Rosenstiel Sch Marine &amp; Atmospher Sci, Dept Ocean Sci, 4600 Rickenbacker Causeway, Miami, FL 33149 USA.</t>
  </si>
  <si>
    <t>sbercovici@rsmas.miami.edu</t>
  </si>
  <si>
    <t>Hansell, Dennis A./AAC-1271-2019</t>
  </si>
  <si>
    <t>Hansell, Dennis A./0000-0001-9275-3445; Bercovici, Sarah/0000-0002-6877-9909</t>
  </si>
  <si>
    <t>U.S. National Science Foundation [ANT1142117, OCE1436748]; Division Of Ocean Sciences; Directorate For Geosciences [1436748] Funding Source: National Science Foundation</t>
  </si>
  <si>
    <t>This work was supported by the U.S. National Science Foundation (ANT1142117 and OCE1436748 to the University of Miami). We thank Ellen Druffel for her generous contribution of the Delta14C-DOC data for the deep South Atlantic. Hydrographic and biogeochemical data used in this manuscript were obtained from the U.S. CLIVAR Repeat Hydrography long line data sets (http://cdiac.ornl.gov/oceans/RepeatSections/). We thank the CLIVAR Repeat Hydrography scientists, captains, and crews.</t>
  </si>
  <si>
    <t>10.1002/2015GB005252</t>
  </si>
  <si>
    <t>WOS:000372963900016</t>
  </si>
  <si>
    <t>Younger, JL; Emmerson, LM; Miller, KJ</t>
  </si>
  <si>
    <t>Younger, Jane L.; Emmerson, Louise M.; Miller, Karen J.</t>
  </si>
  <si>
    <t>The influence of historical climate changes on Southern Ocean marine predator populations: a comparative analysis</t>
  </si>
  <si>
    <t>Antarctic; climate change ecology; Holocene; palaeoclimate; palaeoecology; penguin; pinniped; polynya; sub-Antarctic</t>
  </si>
  <si>
    <t>LAST GLACIAL MAXIMUM; STOMACH OIL DEPOSITS; ANTARCTIC ICE-SHEET; TERRA-NOVA BAY; PETRELS PAGODROMA-NIVEA; SEA-ICE; EAST ANTARCTICA; ADELIE PENGUIN; ROSS SEA; ENVIRONMENTAL-CHANGE</t>
  </si>
  <si>
    <t>The Southern Ocean ecosystem is undergoing rapid physical and biological changes that are likely to have profound implications for higher-order predators. Here, we compare the long-term, historical responses of Southern Ocean predators to climate change. We examine palaeoecological evidence for changes in the abundance and distribution of seabirds and marine mammals, and place these into context with palaeoclimate records in order to identify key environmental drivers associated with population changes. Our synthesis revealed two key factors underlying Southern Ocean predator population changes; (i) the availability of ice-free ground for breeding and (ii) access to productive foraging grounds. The processes of glaciation and sea ice fluctuation were key; the distributions and abundances of elephant seals, snow petrels, gentoo, chinstrap and Adelie penguins all responded strongly to the emergence of new breeding habitat coincident with deglaciation and reductions in sea ice. Access to productive foraging grounds was another limiting factor, with snow petrels, king and emperor penguins all affected by reduced prey availability in the past. Several species were isolated in glacial refugia and there is evidence that refuge populations were supported by polynyas. While the underlying drivers of population change were similar across most Southern Ocean predators, the individual responses of species to environmental change varied because of species specific factors such as dispersal ability and environmental sensitivity. Such interspecific differences are likely to affect the future climate change responses of Southern Ocean marine predators and should be considered in conservation plans. Comparative palaeoecological studies are a valuable source of long-term data on species' responses to environmental change that can provide important insights into future climate change responses. This synthesis highlights the importance of protecting productive foraging grounds proximate to breeding locations, as well as the potential role of polynyas as future Southern Ocean refugia.</t>
  </si>
  <si>
    <t>[Younger, Jane L.] Univ Tasmania, Inst Marine &amp; Antarctic Studies, Private Bag 129, Hobart, Tas 7001, Australia; [Emmerson, Louise M.] Australian Antarctic Div, 203 Channel Highway, Kingston, Tas 7050, Australia; [Miller, Karen J.] UWA Oceans Inst, Australian Inst Marine Sci, 35 Stirling Highway, Crawley, WA 6009, Australia; [Miller, Karen J.] Univ Tasmania, Sch Biol Sci, Private Bag 5, Hobart, Tas 7001, Australia</t>
  </si>
  <si>
    <t>University of Tasmania; Australian Antarctic Division; Australian Institute of Marine Science; University of Western Australia; University of Tasmania</t>
  </si>
  <si>
    <t>Miller, Karen/V-4098-2019; Miller, Karen/A-7902-2011</t>
  </si>
  <si>
    <t>Younger, Jane/0000-0001-5974-7350</t>
  </si>
  <si>
    <t>Australian Antarctic Science Program [4184]; ANZ Trustees Holsworth Wildlife Research Endowment; Sea World Research and Rescue Foundation</t>
  </si>
  <si>
    <t>Australian Antarctic Science Program; ANZ Trustees Holsworth Wildlife Research Endowment; Sea World Research and Rescue Foundation</t>
  </si>
  <si>
    <t>We thank John van den Hoff, Gemma Clucas, Tom Hart, Barbara Wienecke and Mark Hindell for helpful discussions regarding Southern Ocean predator population dynamics, and three anonymous reviewers for their excellent suggestions for the improvement of our manuscript. This research was funded by the Australian Antarctic Science Program (Project 4184: KM, LE and JY), the ANZ Trustees Holsworth Wildlife Research Endowment (JY) and the Sea World Research and Rescue Foundation (KM and JY).</t>
  </si>
  <si>
    <t>10.1111/gcb.13104</t>
  </si>
  <si>
    <t>DC3RC</t>
  </si>
  <si>
    <t>WOS:000369135400002</t>
  </si>
  <si>
    <t>Reid, PC; Hari, RE; Beaugrand, G; Livingstone, DM; Marty, C; Straile, D; Barichivich, J; Goberville, E; Adrian, R; Aono, Y; Brown, R; Foster, J; Groisman, P; Hélaouët, P; Hsu, HH; Kirby, R; Knight, J; Kraberg, A; Li, JP; Lo, TT; Myneni, RB; North, RP; Pounds, JA; Sparks, T; Stübi, R; Tian, YJ; Wiltshire, KH; Xiao, D; Zhu, ZC</t>
  </si>
  <si>
    <t>Reid, Philip C.; Hari, Renata E.; Beaugrand, Gregory; Livingstone, David M.; Marty, Christoph; Straile, Dietmar; Barichivich, Jonathan; Goberville, Eric; Adrian, Rita; Aono, Yasuyuki; Brown, Ross; Foster, James; Groisman, Pavel; Helaouet, Pierre; Hsu, Huang-Hsiung; Kirby, Richard; Knight, Jeff; Kraberg, Alexandra; Li, Jianping; Lo, Tzu-Ting; Myneni, Ranga B.; North, Ryan P.; Pounds, J. Alan; Sparks, Tim; Stuebi, Rene; Tian, Yongjun; Wiltshire, Karen H.; Xiao, Dong; Zhu, Zaichun</t>
  </si>
  <si>
    <t>Global impacts of the 1980s regime shift</t>
  </si>
  <si>
    <t>climate; Earth systems; global change; regime shift; statistical analysis; time series; volcanic forcing</t>
  </si>
  <si>
    <t>CLIMATE REGIME; SURFACE-TEMPERATURE; VOLCANIC-ERUPTIONS; SEA; ECOSYSTEMS; LATITUDES; PINATUBO; SERIES; JAPAN; RISE</t>
  </si>
  <si>
    <t>Despite evidence from a number of Earth systems that abrupt temporal changes known as regime shifts are important, their nature, scale and mechanisms remain poorly documented and understood. Applying principal component analysis, change-point analysis and a sequential t-test analysis of regime shifts to 72 time series, we confirm that the 1980s regime shift represented a major change in the Earth's biophysical systems from the upper atmosphere to the depths of the ocean and from the Arctic to the Antarctic, and occurred at slightly different times around the world. Using historical climate model simulations from the Coupled Model Intercomparison Project Phase 5 (CMIP5) and statistical modelling of historical temperatures, we then demonstrate that this event was triggered by rapid global warming from anthropogenic plus natural forcing, the latter associated with the recovery from the El Chichon volcanic eruption. The shift in temperature that occurred at this time is hypothesized as the main forcing for a cascade of abrupt environmental changes. Within the context of the last century or more, the 1980s event was unique in terms of its global scope and scale; our observed consequences imply that if unavoidable natural events such as major volcanic eruptions interact with anthropogenic warming unforeseen multiplier effects may occur.</t>
  </si>
  <si>
    <t>[Reid, Philip C.; Beaugrand, Gregory; Goberville, Eric; Helaouet, Pierre] Sir Alister Hardy Fdn Ocean Sci, Lab Citadel Hill, Plymouth PL1 2PB, Devon, England; [Reid, Philip C.; Kirby, Richard] Univ Plymouth, Inst Marine, Drake Circus, Plymouth PL4 8AA, Devon, England; [Reid, Philip C.] Lab, Marine Biol Assoc UK, Citadel Hill, Plymouth PL1 2PB, Devon, England; [Hari, Renata E.; Livingstone, David M.; North, Ryan P.] Eawag, Swiss Fed Inst Aquat Sci &amp; Technol, Uberlandstr 133, CH-8600 Dubendorf, Switzerland; [Beaugrand, Gregory; Goberville, Eric] Univ Sci &amp; Technol Lille, CNRS, LOG, UMR 8187, BP 80, F-62930 Wimereux, France; [Marty, Christoph] WSL Inst Snow &amp; Avalanche Res SLF, Fluelastr 11, CH-7260 Davos, Switzerland; [Straile, Dietmar] Univ Konstanz, Limnol Inst, Dept Biol, D-78464 Constance, Germany; [Barichivich, Jonathan] Univ E Anglia, Sch Environm Sci, Climat Res Unit, Norwich NR4 7TJ, Norfolk, England; [Barichivich, Jonathan] CEA CNRS UVSQ, Lab Sci Climat &amp; Environm, F-91191 Gif Sur Yvette, France; [Adrian, Rita] Leibniz Inst Freshwater Ecol &amp; Inland Fisheries, Dept Ecosyst Res, D-12587 Berlin, Germany; [Aono, Yasuyuki] Osaka Prefecture Univ, Grad Sch Life &amp; Environm Sci, Muggelseedamm 301, Sakai, Osaka 5998531, Japan; [Brown, Ross] Environm Canada Ouranos, Div Climate Res, Sci &amp; Technol Branch, 550 Sherbrooke St West,19th Floor, Montreal, PQ H3A 1B9, Canada; [Foster, James] NASA, Goddard Space Flight Ctr, Code 917, Greenbelt, MD 20771 USA; [Groisman, Pavel] Natl Ctr Environm Informat, Ctr Weather &amp; Climate, Fed Bldg,151 Patton Ave, Asheville, NC 28801 USA; [Groisman, Pavel] RAS, PP Shirshov Inst Oceanol, 36 Nakhimovsky Ave, Moscow 117997, Russia; [Hsu, Huang-Hsiung] Acad Sinica, Res Ctr Environm Changes, 128 Acad Rd,Sect 2, Taipei 115, Taiwan; [Knight, Jeff] Hadley Ctr, Met Off, FitzRoy Rd, Exeter EX1 3PB, Devon, England; [Kraberg, Alexandra; Wiltshire, Karen H.] Alfred Wegener Inst Polar &amp; Marine Res Biolog Ans, Kurpromenade 201, D-27498 Helgoland, Germany; [Li, Jianping] Beijing Normal Univ, Coll Global Change &amp; Earth Syst Sci GCESS, Beijing 100875, Peoples R China; [Li, Jianping] Joint Ctr Global Change Studies, Beijing 100875, Peoples R China; [Lo, Tzu-Ting] Cent Weather Bur, Weather Forecast Ctr, 64 Gongyuan Rd, Taipei 10048, Taiwan; [Myneni, Ranga B.] Boston Univ, Dept Earth &amp; Environm, 685 Commonwealth Ave, Boston, MA 02215 USA; [North, Ryan P.] Helmholtz Zentrum Geesthacht, Inst Coastal Res, Max Planck Str 1, D-21502 Geesthacht, Germany; [Pounds, J. Alan] Trop Sci Ctr, Monteverde Cloud Forest Preserve, Puntarenas 565573, Costa Rica; [Sparks, Tim] Pozna Univ Life Sci, Inst Zool, Wojska Polskiego 71 C, PL-60625 Poznan, Poland; [Sparks, Tim] Coventry Univ, Fac Engn Environm &amp; Comp, Coventry CV1 5FB, W Midlands, England; [Sparks, Tim] Tech Univ Munich, Fachgebiet Okoklimatol, Hans Carl von Carlowitz Pl 2, D-85354 Freising Weihenstephan, Germany; [Sparks, Tim] Tech Univ Munich, Inst Adv Study, Lichtenbergstr 2a, D-85748 Garching, Germany; [Stuebi, Rene] MeteoSwiss, Fed Off Meteorol &amp; Climatol, Ch Aerol 1, CH-1530 Payerne, Switzerland; [Tian, Yongjun] Ocean Univ China, Coll Fisheries, Yushan Rd 5, Qingdao 266003, Peoples R China; [Tian, Yongjun] Japan Sea Natl Fisheries Res Inst, Fisheries Res Agcy, Chuo Ku, Niigata 9518121, Japan; [Xiao, Dong] Chinese Acad Meteorol Sci, Beijing 100081, Peoples R China; [Zhu, Zaichun] Chinese Acad Sci, Inst Remote Sensing &amp; Digital Earth, State Key Lab Remote Sensing Sci, Beijing 100101, Peoples R China; [Zhu, Zaichun] Ctr Applicat Spatial Informat Technol Publ Hlth, Beijing 100101, Peoples R China</t>
  </si>
  <si>
    <t>University of Plymouth; Marine Biological Association United Kingdom; Swiss Federal Institutes of Technology Domain; Swiss Federal Institute of Aquatic Science &amp; Technology (EAWAG); Centre National de la Recherche Scientifique (CNRS); CNRS - National Institute for Earth Sciences &amp; Astronomy (INSU); Universite de Lille; Swiss Federal Institutes of Technology Domain; Swiss Federal Institute for Forest, Snow &amp; Landscape Research; University of Konstanz; University of East Anglia; CEA; Centre National de la Recherche Scientifique (CNRS); Universite Paris Saclay; Leibniz Institut fur Gewasserokologie und Binnenfischerei (IGB); Osaka Metropolitan University; Environment &amp; Climate Change Canada; Ouranos Consortium; National Aeronautics &amp; Space Administration (NASA); NASA Goddard Space Flight Center; Russian Academy of Sciences; Shirshov Institute of Oceanology; Academia Sinica - Taiwan; Met Office - UK; Hadley Centre; Helmholtz Association; Alfred Wegener Institute, Helmholtz Centre for Polar &amp; Marine Research; Beijing Normal University; Central Weather Bureau (CWB); Boston University; Max Planck Society; Helmholtz Association; Helmholtz-Zentrum Hereon; Coventry University; Technical University of Munich; Technical University of Munich; Federal Office of Meteorology &amp; Climatology (MeteoSwiss); Ocean University of China; Japan Fisheries Research &amp; Education Agency (FRA); China Meteorological Administration; Chinese Academy of Meteorological Sciences (CAMS); Chinese Academy of Sciences; The Institute of Remote Sensing &amp; Digital Earth, CAS</t>
  </si>
  <si>
    <t>Reid, PC (corresponding author), Sir Alister Hardy Fdn Ocean Sci, Lab Citadel Hill, Plymouth PL1 2PB, Devon, England.;Reid, PC (corresponding author), Univ Plymouth, Inst Marine, Drake Circus, Plymouth PL4 8AA, Devon, England.;Reid, PC (corresponding author), Lab, Marine Biol Assoc UK, Citadel Hill, Plymouth PL1 2PB, Devon, England.</t>
  </si>
  <si>
    <t>pcre@sahfos.ac.uk</t>
  </si>
  <si>
    <t>Straile, Dietmar/A-4065-2008; Barichivich, Jonathan/A-2776-2010; Goberville, Eric/A-2621-2017; Myneni, Ranga B./AAU-6088-2021; Wiltshire, Karen H./N-9494-2017; Kirby, Richard R/H-2650-2017; Hsu, Huang-Hsiung/AAP-3878-2021; Zhu, Zaichun/I-5374-2014; Li, Jianping/I-2661-2012; Zhu, Zaichun/ABD-2040-2021; Kirby, Richard/N-8679-2019; Groisman, Pavel Y/C-8145-2016; Marty, Christoph/D-3715-2009; Myneni, Ranga/F-5129-2012</t>
  </si>
  <si>
    <t>Straile, Dietmar/0000-0002-7441-8552; Goberville, Eric/0000-0002-1843-7855; Hsu, Huang-Hsiung/0000-0001-9919-4404; Zhu, Zaichun/0000-0001-5235-5194; Zhu, Zaichun/0000-0001-5235-5194; Kirby, Richard/0000-0002-9867-4454; Marty, Christoph/0000-0002-0398-6253; Groisman, Pavel/0000-0001-6255-324X; Sparks, Tim/0000-0003-4382-7051; BEAUGRAND, GREGORY/0000-0002-0712-5223; Aono, Yasuyuki/0000-0002-6950-4341; Kraberg, Alexandra/0000-0003-2571-2074; Barichivich, Jonathan/0000-0002-8223-2491; Wiltshire, Karen/0000-0002-7148-0529; Myneni, Ranga/0000-0002-0234-6393; Helaouet, Pierre/0000-0001-6102-7379</t>
  </si>
  <si>
    <t>Russian Ministry of Education and Science [14.B25.31.0026]; Natural Environment Research Council [NE/H01702X/1, NE/I030062/1, SAH01001] Funding Source: researchfish; NERC [NE/I030062/1, NE/H01702X/1, SAH01001] Funding Source: UKRI; Directorate For Geosciences; Division Of Ocean Sciences [1154661] Funding Source: National Science Foundation</t>
  </si>
  <si>
    <t>Russian Ministry of Education and Science(Ministry of Education and Science, Russian Federation); Natural Environment Research Council(UK Research &amp; Innovation (UKRI)Natural Environment Research Council (NERC)); NERC(UK Research &amp; Innovation (UKRI)Natural Environment Research Council (NERC)); Directorate For Geosciences; Division Of Ocean Sciences(National Science Foundation (NSF)NSF - Directorate for Geosciences (GEO))</t>
  </si>
  <si>
    <t>We wish to thank all who contributed the time series data used in the figures (See Table S3) and others for assistance or for data not presented here, including Stephan Bader and Regula Gehrig Bichsel, MeteoSwiss, Zurich, Switzerland; Adrian Jakob, Edith Oosenbrug and Michele Oberhansli, BAFU Hydrology, Switzerland; and Reto Ruedy, NASA Goddard Institute for Space Studies, New York, USA. PG acknowledges support from Grant 14.B25.31.0026 of the Russian Ministry of Education and Science. We are grateful to Eawag and its Department of Systems Analysis, Integrated Assessment and Modelling for hosting a workshop in Zurich, Switzerland.</t>
  </si>
  <si>
    <t>10.1111/gcb.13106</t>
  </si>
  <si>
    <t>WOS:000369135400017</t>
  </si>
  <si>
    <t>Cornwall, CE; Hurd, CL</t>
  </si>
  <si>
    <t>Cornwall, Christopher E.; Hurd, Catriona L.</t>
  </si>
  <si>
    <t>Experimental design in ocean acidification research: problems and solutions</t>
  </si>
  <si>
    <t>experimental design; manipulation experiments; ocean acidification; pseudoreplication; replication</t>
  </si>
  <si>
    <t>ELEVATED CARBON-DIOXIDE; CLIMATE-CHANGE; SYSTEM; CO2; ORGANISMS; CALCIFICATION; TEMPERATURE; DYNAMICS; BEHAVIOR; PLANKTON</t>
  </si>
  <si>
    <t>Ocean acidification has been identified as a risk to marine ecosystems, and substantial scientific effort has been expended on investigating its effects, mostly in laboratory manipulation experiments. However, performing these manipulations correctly can be logistically difficult, and correctly designing experiments is complex, in part because of the rigorous requirements for manipulating and monitoring seawater carbonate chemistry. To assess the use of appropriate experimental design in ocean acidification research, 465 studies published between 1993 and 2014 were surveyed, focusing on the methods used to replicate experimental units. The proportion of studies that had interdependent or non-randomly interspersed treatment replicates, or did not report sufficient methodological details was 95%. Furthermore, 21% of studies did not provide any details of experimental design, 17% of studies otherwise segregated all the replicates for one treatment in one space, 15% of studies replicated CO2 treatments in away that made replicates more interdependent within treatments than between treatments, and 13% of studies did not report if replicates of all treatments were randomly interspersed. As a consequence, the number of experimental units used per treatment in studies was low (mean = 2.0). In a comparable analysis, there was a significant decrease in the number of published studies that employed inappropriate chemical methods of manipulating seawater (i.e. acid-base only additions) from 21 to 3%, following the release of the Guide to best practices for ocean acidification research and data reporting in 2010; however, no such increase in the use of appropriate replication and experimental design was observed after 2010. We provide guidelines on how to design ocean acidification laboratory experiments that incorporate the rigorous requirements for monitoring and measuring carbonate chemistry with a level of replication that increases the chances of accurate detection of biological responses to ocean acidification.</t>
  </si>
  <si>
    <t>[Cornwall, Christopher E.; Hurd, Catriona L.] Univ Tasmania, Inst Marine &amp; Antarctic Studies, Private Bag 129, Hobart, Tas 7001, Australia; [Cornwall, Christopher E.] Univ Western Australia, Sch Earth &amp; Environm, 35 Stirling Highway, Crawley, WA 6009, Australia; [Cornwall, Christopher E.] Univ Western Australia, ARC Ctr Excellence Coral Reef Studies, 35 Stirling Highway, Crawley, WA 6009, Australia</t>
  </si>
  <si>
    <t>University of Tasmania; University of Western Australia; University of Western Australia</t>
  </si>
  <si>
    <t>Cornwall, CE (corresponding author), Univ Tasmania, Inst Marine &amp; Antarctic Studies, Private Bag 129, Hobart, Tas 7001, Australia.;Cornwall, CE (corresponding author), Univ Western Australia, Sch Earth &amp; Environm, 35 Stirling Highway, Crawley, WA 6009, Australia.;Cornwall, CE (corresponding author), Univ Western Australia, ARC Ctr Excellence Coral Reef Studies, 35 Stirling Highway, Crawley, WA 6009, Australia.</t>
  </si>
  <si>
    <t>christopher.cornwall@uwa.edu.au</t>
  </si>
  <si>
    <t>Cornwall, Christopher Edward/J-3982-2012; Hurd, Catriona/J-2411-2013</t>
  </si>
  <si>
    <t>Cornwall, Christopher Edward/0000-0002-6154-4082; Hurd, Catriona/0000-0001-9965-4917</t>
  </si>
  <si>
    <t>10.1093/icesjms/fsv118</t>
  </si>
  <si>
    <t>WOS:000371142000007</t>
  </si>
  <si>
    <t>Cross, EL; Peck, LS; Lamare, MD; Harper, EM</t>
  </si>
  <si>
    <t>Cross, Emma L.; Peck, Lloyd S.; Lamare, Miles D.; Harper, Elizabeth M.</t>
  </si>
  <si>
    <t>No ocean acidification effects on shell growth and repair in the New Zealand brachiopod Calloria inconspicua (Sowerby, 1846)</t>
  </si>
  <si>
    <t>calcification; carbonate saturation; climate change; CO2; pH</t>
  </si>
  <si>
    <t>MYTILUS-EDULIS; ARTICULATE BRACHIOPODS; DISSOCIATION-CONSTANTS; DOUBTFUL SOUND; CARBONIC-ACID; TEMPERATURE; WATER; CO2; IMPACT; SIZE</t>
  </si>
  <si>
    <t>Surface seawaters are becoming more acidic due to the absorption of rising anthropogenic CO2. Marine calcifiers are considered to be the most vulnerable organisms to ocean acidification due to the reduction in the availability of carbonate ions for shell or skeletal production. Rhychonelliform brachiopods are potentially one of the most calcium carbonate-dependent groups of marine organisms because of their large skeletal content. Little is known, however, about the effects of lowered pH on these taxa. A CO2 perturbation experiment was performed on the New Zealand terebratulide brachiopod Calloria inconspicua to investigate the effects of pH conditions predicted for 2050 and 2100 on the growth rate and ability to repair shell. Three treatments were used: an ambient pH control (pH 8.16), a mid-century scenario (pH 7.79), and an end-century scenario (pH 7.62). The ability to repair shell was not affected by acidified conditions with &gt;80% of all damaged individuals at the start of the experiment completing shell repair after 12 weeks. Growth rates in undamaged individuals &gt;3 mm in length were also not affected by lowered pH conditions, whereas undamaged individuals &lt;3 mm grew faster at pH 7.62 than the control. The capability of C. inconspicua to continue shell production and repair under acidified conditions suggests that this species has a robust control over the calcification process, where suitable conditions at the site of calcification can be generated across a range of pH conditions.</t>
  </si>
  <si>
    <t>[Cross, Emma L.; Peck, Lloyd S.] British Antarctic Survey, Nat Environm Res Council, Madingley Rd, Cambridge CB3 0ET, England; [Cross, Emma L.; Harper, Elizabeth M.] Univ Cambridge, Dept Earth Sci, Downing St, Cambridge CB2 3EQ, England; [Lamare, Miles D.] Univ Otago, Dept Marine Sci, 310 Castle St, Dunedin 9016, New Zealand</t>
  </si>
  <si>
    <t>UK Research &amp; Innovation (UKRI); Natural Environment Research Council (NERC); NERC British Antarctic Survey; University of Cambridge; University of Otago</t>
  </si>
  <si>
    <t>Cross, EL (corresponding author), British Antarctic Survey, Nat Environm Res Council, Madingley Rd, Cambridge CB3 0ET, England.</t>
  </si>
  <si>
    <t>emmoss@bas.ac.uk</t>
  </si>
  <si>
    <t>Cross, Emma/0000-0002-5855-2145</t>
  </si>
  <si>
    <t>NERC PhD Studentship [NE/T/A/2011]; NERC [bas0100036, dml011000] Funding Source: UKRI; Natural Environment Research Council [dml011000, 1251280, bas0100036] Funding Source: researchfish</t>
  </si>
  <si>
    <t>NERC PhD Studentship(UK Research &amp; Innovation (UKRI)Natural Environment Research Council (NERC)); NERC(UK Research &amp; Innovation (UKRI)Natural Environment Research Council (NERC)); Natural Environment Research Council(UK Research &amp; Innovation (UKRI)Natural Environment Research Council (NERC))</t>
  </si>
  <si>
    <t>The authors would like to thank the science support staff at the Portobello Marine Laboratory, University of Otago, for their help in the set up and maintenance of the ocean acidification experimental system. Thanks also to Kim Currie at National Institute of Water and Atmospheric Research for the DIC and total alkalinity measurements. ELC is supported by the NERC PhD Studentship (NE/T/A/2011).</t>
  </si>
  <si>
    <t>10.1093/icesjms/fsv031</t>
  </si>
  <si>
    <t>WOS:000371142000039</t>
  </si>
  <si>
    <t>Zitto, ME; Barrucand, MG; Piotrkowski, R; Canziani, PO</t>
  </si>
  <si>
    <t>Zitto, Miguel E.; Barrucand, Mariana G.; Piotrkowski, Rosa; Canziani, Pablo O.</t>
  </si>
  <si>
    <t>110years of temperature observations at Orcadas Antarctic Station: multidecadal variability</t>
  </si>
  <si>
    <t>Antarctica; climate change; surface temperature; multidecadal variability; wavelet transform; temperature trend</t>
  </si>
  <si>
    <t>LOWER STRATOSPHERIC TEMPERATURE; SOUTHERN-HEMISPHERE; CLIMATE VARIABILITY; TEMPORAL BEHAVIOR; MSU VIEW; PART II; SURFACE; OSCILLATION; PENINSULA; TRENDS</t>
  </si>
  <si>
    <t>There is growing evidence of significant changes in components of the Antarctic climate system, an important issue given the influence Antarctica has on global climate. It is important to infer to what extent these regional changes could be attributed to human-induced processes and to what extent to natural variability. Standard methods such as linear trend estimates or piecewise linear trends can be inadequate because they may result in erratic, non-systematic results, particularly if different scales of variability are present in each record and various records are to be compared. The Orcadas Antarctic Station (Argentina), with daily surface meteorological observations since April 1903, provides Antarctica's longest observational record. This study analyses the Orcadas seasonal surface temperature variability. Multidecadal variability and short-term trends are studied to provide an improved assessment of climate evolution and necessary information for the determination of mechanisms driving regional/local change. A combined method using wavelet transform (WT), non-linear statistical model approaches and derivative of fits is developed. This methodology is also applied for validation and comparison to the Gomez ice core oxygen isotope record for the 1857-2006 and 1903-2006 time intervals. Significant quasi 50-year and quasi 20-year variability bands were obtained, both for the quarterly and seasonal Orcadas temperature records, with warming (cooling) periods detected between 1903-1912, 1927-1961 and 1972-2004 (1912-1927 and 1962-1972). If seasons are considered, the only one with a fairly sustained warming is summer, where actual cooling is observed only at the beginning, prior to the early 1930s. Quasi 50-year variability was also detected in the Gomez record. Long periods are obtained in the model fits, longer than the time series, which varied with window length. Although not representing variability cycles, they could represent the best fit of the non-linear, non oscillating asymptotic stationary component of the series, i.e. a non-linear trend.</t>
  </si>
  <si>
    <t>[Zitto, Miguel E.; Piotrkowski, Rosa] Univ Buenos Aires, Fac Ingn, Buenos Aires, DF, Argentina; [Zitto, Miguel E.; Canziani, Pablo O.] Univ Tecnol Nacl, Fac Reg Buenos Aires, Unidad Invest &amp; Desarrollo Ingn, Ave Medrano 961,C1179AAQ Capital Fed, Buenos Aires, DF, Argentina; [Barrucand, Mariana G.; Canziani, Pablo O.] Consejo Nacl Invest Cient &amp; Tecn, RA-1033 Buenos Aires, DF, Argentina; [Barrucand, Mariana G.] Univ Buenos Aires, DCAO FCEyN, Buenos Aires, DF, Argentina; [Piotrkowski, Rosa] Univ Nacl San Martin, ECyT, San Martin, Buenos Aires, Argentina</t>
  </si>
  <si>
    <t>University of Buenos Aires; Consejo Nacional de Investigaciones Cientificas y Tecnicas (CONICET); University of Buenos Aires</t>
  </si>
  <si>
    <t>Canziani, PO (corresponding author), Univ Tecnol Nacl, Fac Reg Buenos Aires, Unidad Invest &amp; Desarrollo Ingn, Ave Medrano 961,C1179AAQ Capital Fed, Buenos Aires, DF, Argentina.</t>
  </si>
  <si>
    <t>pocanziani@conicet.gov.ar</t>
  </si>
  <si>
    <t>Piotrkowski, Rosa/0000-0002-6004-5679</t>
  </si>
  <si>
    <t>project ANPCyT PICT (Ministerio de Ciencia Tecnologia e Innovacion Productiva de la Nacion) [2927]; Program UBACyT [20020120100340]; project UBACyT (Universidad de Buenos Aires) [20020130200142BA]</t>
  </si>
  <si>
    <t>project ANPCyT PICT (Ministerio de Ciencia Tecnologia e Innovacion Productiva de la Nacion); Program UBACyT; project UBACyT (Universidad de Buenos Aires)</t>
  </si>
  <si>
    <t>The authors wish to acknowledge funding from projects ANPCyT PICT 2012 2927 (Ministerio de Ciencia Tecnologia e Innovacion Productiva de la Nacion) and Program UBACyT 2013-2016, 20020120100340 and UBACyT 2014-2016 20020130200142BA (Universidad de Buenos Aires) and the two anonymous reviewers for their valuable contributions.</t>
  </si>
  <si>
    <t>10.1002/joc.4384</t>
  </si>
  <si>
    <t>WOS:000369991700020</t>
  </si>
  <si>
    <t>Wang, Y; Yan, XD; Wang, ZM</t>
  </si>
  <si>
    <t>Wang, Ye; Yan, Xiaodong; Wang, Zhaomin</t>
  </si>
  <si>
    <t>A preliminary study to investigate the biogeophysical impact of desertification on climate based on different latitudinal bands</t>
  </si>
  <si>
    <t>desertification; climate change; modelling</t>
  </si>
  <si>
    <t>LAND-COVER CHANGES; MCGILL PALEOCLIMATE MODEL; TROPICAL DEFORESTATION; PART II; VEGETATION; SCALE; SYSTEM; SIMULATION; SAHEL; SENSITIVITY</t>
  </si>
  <si>
    <t>Desertification is an international environmental challenge which poses a risk to portions of over 100 countries. Research into desertification and climate change has the potential to contribute to natural resources management and adaptation to climatic and other changes in Earth systems. An Earth system model of intermediate complexity (EMIC), the McGill Paleoclimate Model-2 (MPM-2) was used to explore the climatic biogeophysical effects of desertification in different latitude bands from 1700 to 2000 AD. It was found that latitudinal-band desertification attributable to forest and grass removal caused global cooling, land surface albedo increasing and precipitation reduction in the Northern Hemisphere as well as heat transport increasing in global ocean. These results highlighted global climate reaction to local desertification and demonstrated that the location of the desertification projected a potentially differential impact on local and global climate. That was, desertification in 0 degrees-15 degrees N gave a somewhat minor effect on global and local climate; desertification in 45 degrees-60 degrees N caused a significant reduction in global temperature while desertification in 15 degrees-30 degrees N induced a prominent reduction in local temperature. In response to desertification, surface albedo change as a forcing was the dominant biogeophysical driver of climate over the Northern Hemisphere while precipitation change as a response was probably the primary driver of climate over the Southern Hemisphere. Overall, the regional desertification may cause a global climatic effect, especially concerning desert expansion along the 15 degrees-30 degrees N and 45 degrees-60 degrees N latitude bands, which led to a more prominent effect on the Earth's climate and even oceanic circulation. The results of this study provide useful information when comparing the effects of desertification in different latitude bands on climate.</t>
  </si>
  <si>
    <t>[Wang, Ye] Nanjing Univ Aeronaut &amp; Astronaut, Coll Civil Aviat, 29 Yudao St, Nanjing 210016, Jiangsu, Peoples R China; [Yan, Xiaodong] Beijing Normal Univ, Coll Global Change &amp; Earth Syst Sci, State Key Lab Earth Surface Proc &amp; Resource Ecol, Beijing 100875, Peoples R China; [Wang, Zhaomin] British Antarctic Survey, Cambridge CB3 0ET, England</t>
  </si>
  <si>
    <t>Nanjing University of Aeronautics &amp; Astronautics; Beijing Normal University; UK Research &amp; Innovation (UKRI); Natural Environment Research Council (NERC); NERC British Antarctic Survey</t>
  </si>
  <si>
    <t>Wang, Y (corresponding author), Nanjing Univ Aeronaut &amp; Astronaut, Coll Civil Aviat, 29 Yudao St, Nanjing 210016, Jiangsu, Peoples R China.</t>
  </si>
  <si>
    <t>wytea@126.com</t>
  </si>
  <si>
    <t>Yan, Xiaodong/0000-0002-0774-9140</t>
  </si>
  <si>
    <t>National Natural Science Foundation-Youth Science Fund Project [41305055]; Major Project of Chinese National Programs for Fundamental Research and Development (973 Program) [2010CB950903]; NERC [bas0100033] Funding Source: UKRI; Natural Environment Research Council [bas0100033] Funding Source: researchfish</t>
  </si>
  <si>
    <t>National Natural Science Foundation-Youth Science Fund Project; Major Project of Chinese National Programs for Fundamental Research and Development (973 Program)(National Basic Research Program of China); NERC(UK Research &amp; Innovation (UKRI)Natural Environment Research Council (NERC)); Natural Environment Research Council(UK Research &amp; Innovation (UKRI)Natural Environment Research Council (NERC))</t>
  </si>
  <si>
    <t>Special thanks to anonymous reviewers for their comments and suggestions. This research was supported by National Natural Science Foundation-Youth Science Fund Project (Grant No. 41305055) and Major Project of Chinese National Programs for Fundamental Research and Development (973 Program) (Grant No. 2010CB950903).</t>
  </si>
  <si>
    <t>10.1002/joc.4396</t>
  </si>
  <si>
    <t>WOS:000369991700030</t>
  </si>
  <si>
    <t>Brum, JR; Hurwitz, BL; Schofield, O; Ducklow, HW; Sullivan, MB</t>
  </si>
  <si>
    <t>Brum, Jennifer R.; Hurwitz, Bonnie L.; Schofield, Oscar; Ducklow, Hugh W.; Sullivan, Matthew B.</t>
  </si>
  <si>
    <t>Seasonal time bombs: dominant temperate viruses affect Southern Ocean microbial dynamics</t>
  </si>
  <si>
    <t>MULTIPLE DISPLACEMENT AMPLIFICATION; LYSOGENIC VIRAL-INFECTION; MARINE VIRUSES; BACTERIAL PRODUCTION; ANTARCTIC PENINSULA; ECOLOGICAL DRIVERS; ROSS SEA; PHYTOPLANKTON; BACTERIOPLANKTON; MORTALITY</t>
  </si>
  <si>
    <t>Rapid warming in the highly productive western Antarctic Peninsula (WAP) region of the Southern Ocean has affected multiple trophic levels, yet viral influences on microbial processes and ecosystem function remain understudied in the Southern Ocean. Here we use cultivation-independent quantitative ecological and metagenomic assays, combined with new comparative bioinformatic techniques, to investigate double-stranded DNA viruses during the WAP spring-summer transition. This study demonstrates that (i) temperate viruses dominate this region, switching from lysogeny to lytic replication as bacterial production increases, and (ii) Southern Ocean viral assemblages are genetically distinct from lower-latitude assemblages, primarily driven by this temperate viral dominance. This new information suggests fundamentally different virus-host interactions in polar environments, where intense seasonal changes in bacterial production select for temperate viruses because of increased fitness imparted by the ability to switch replication strategies in response to resource availability. Further, temperate viral dominance may provide mechanisms (for example, bacterial mortality resulting from prophage induction) that help explain observed temporal delays between, and lower ratios of, bacterial and primary production in polar versus lower-latitude marine ecosystems. Together these results suggest that temperate virus-host interactions are critical to predicting changes in microbial dynamics brought on by warming in polar marine systems.</t>
  </si>
  <si>
    <t>[Brum, Jennifer R.; Hurwitz, Bonnie L.; Sullivan, Matthew B.] Univ Arizona, Dept Ecol &amp; Evolutionary Biol, 1007 E Lowell St, Tucson, AZ 85721 USA; [Schofield, Oscar] Rutgers State Univ, Dept Marine &amp; Coastal Sci, New Brunswick, NJ 08903 USA; [Ducklow, Hugh W.] Columbia Univ, Lamont Doherty Earth Observ, Dept Earth &amp; Environm Sci, Palisades, NY USA; [Brum, Jennifer R.; Sullivan, Matthew B.] Ohio State Univ, Dept Microbiol, 484 W 12th Ave, Columbus, OH 43210 USA; [Hurwitz, Bonnie L.] Univ Arizona, Dept Agr &amp; Biosyst Engn, Tucson, AZ 85721 USA</t>
  </si>
  <si>
    <t>University of Arizona; Rutgers University System; Rutgers University New Brunswick; Columbia University; University System of Ohio; Ohio State University; University of Arizona</t>
  </si>
  <si>
    <t>Brum, JR; Sullivan, MB (corresponding author), Univ Arizona, Dept Ecol &amp; Evolutionary Biol, 1007 E Lowell St, Tucson, AZ 85721 USA.</t>
  </si>
  <si>
    <t>jenniferrbrum@gmail.com; mbsulli@gmail.com</t>
  </si>
  <si>
    <t>Sullivan, Matthew B/H-3256-2011; Schofield, Oscar/H-4169-2018</t>
  </si>
  <si>
    <t>Schofield, Oscar/0000-0003-2359-4131</t>
  </si>
  <si>
    <t>National Science Foundation [1019328]; Palmer LTER project through Antarctic Organisms and Ecosystems Program in the Antarctic Sciences Division [0823101]; Gordon and Betty Moore Foundation [GBMF2631, GBMF3790]; [BIO5]; Office of Polar Programs (OPP); Directorate For Geosciences [1440435] Funding Source: National Science Foundation</t>
  </si>
  <si>
    <t>National Science Foundation(National Science Foundation (NSF)); Palmer LTER project through Antarctic Organisms and Ecosystems Program in the Antarctic Sciences Division; Gordon and Betty Moore Foundation(Gordon and Betty Moore Foundation); ; Office of Polar Programs (OPP); Directorate For Geosciences(National Science Foundation (NSF)NSF - Directorate for Geosciences (GEO))</t>
  </si>
  <si>
    <t>This research was supported by the National Science Foundation through a Postdoctoral Fellowship in Polar Regions Research to JRB (award #1019328) and the Palmer LTER project (award #0823101) through the Antarctic Organisms and Ecosystems Program in the Antarctic Sciences Division, and is funded in part by the Gordon and Betty Moore Foundation through grants GBMF2631 and GBMF3790 to MBS. Sequencing was supported through BIO5 funding to MBS. We gratefully acknowledge an allocation of computer time from the UA Research Computing High Performance Computing (HPC) and High Throughput Computing (HPC) at the University of Arizona. We thank A Culley and C Schvarcz for assistance in collecting virus samples; A Alpert and E Woznica for their collection and processing of bacterial production samples; K Coleman, M Garzio, T Miles and C Funkey for assistance with sample collection; the employees of Raytheon Polar Services Company for their support; A Gregory and B Poulos for assistance in conducting linker amplification; B Poulos and V Rich for assistance with bacterial DNA extraction; A Westveld for assistance with social network analysis; and members of the Tucson Marine Phage Lab, E Allers and V Rich for their support and critical review of this research. All metagenomic reads were deposited to iPlant (www.iplantcollaborative.org) under the project name imicrobe/southern_ocean_viromes. Ecological data from the Palmer, Antarctica LTER project (chlorophyll a concentration and bacterial production) are available at: http://oceaninformatics.ucsd.edu/datazoo/data/pallter/datasets.</t>
  </si>
  <si>
    <t>10.1038/ismej.2015.125</t>
  </si>
  <si>
    <t>WOS:000368561100014</t>
  </si>
  <si>
    <t>Quiroga, MP; Mathiasen, P; Iglesias, A; Mill, RR; Premoli, AC</t>
  </si>
  <si>
    <t>Paula Quiroga, Maria; Mathiasen, Paula; Iglesias, Ari; Mill, Robert R.; Premoli, Andrea C.</t>
  </si>
  <si>
    <t>Molecular and fossil evidence disentangle the biogeographical history of Podocarpus, a key genus in plant geography</t>
  </si>
  <si>
    <t>Bayesian inference; Caribbean; Gondwana; historical biogeography; molecular dating; phylogeography; Podocarpaceae; Podocarpus; South America; vicariance</t>
  </si>
  <si>
    <t>MONOGRAPHIC REVISION; EVOLUTION; CONIFER; EOCENE; MORPHOLOGY; DIVERSITY; PATAGONIA; CLIMATE; ARAUCARIACEAE; PALEOECOLOGY</t>
  </si>
  <si>
    <t>Aim The genus Podocarpus (Podocarpaceae) provides an opportunity to contrast biogeographical hypotheses within and among continents, and to analyse divergence between disjunct tropical and temperate forests of South America. We developed a calibrated phylogeny of Podocarpus to reconstruct the ancestral areas and potential expansion routes within Podocarpaceae. Location Podocarpus consists of two extant subgenera: Foliolatus from Asia and Oceania, and Podocarpus located in Gondwanan continents and north to the Caribbean. The paper focuses mainly on the area occupied by the latter subgenus. Methods We combined previously published and novel DNA sequences with fossil records. New species sequenced are members of Podocarpus subgenus Podocarpus from South and Central America. We assembled DNA sequences of the chloroplast (matK and rbcL) and nuclear (ITS1 and ITS2) to analyse phylogenetic relationships within Podocarpus subgenus Podocarpus by Bayesian methods, which were calibrated using macrofossils that could be confidently identified as modern genera. Ancestral areas were inferred using the dispersal-extinction-cladogenesis model. Results The phylogenetic reconstruction inferred a minimum age for the origin of Podocarpus s.l. in the late Cretaceous-early Palaeogene (63 Ma) and strongly supported monophyly of the genus Podocarpus and of subgenera Podocarpus and Foliolatus. Subgenus Podocarpus consists of two monophyletic, latitudinally structured clades. One clade consists of temperate American species while the other includes species from tropical-subtropical Africa and South America. Main conclusions The history of the subgenera within Podocarpus is older than previously reported: they can be traced back to late Cretaceous-early Palaeocene biogeographical connections between Australasia and South America through Antarctica. Latitudinally disjunct lineages within South America most probably diverged from widespread ancestors as a result of a persistent arid barrier that was established prior to the late Palaeogene. The calibrated age for the Tropical-Subtropical clade suggests an Atlantic-subtropical biogeographical corridor between South America and Africa long after the breakup of Gondwana and the stabilization of the circum-Antarctic current.</t>
  </si>
  <si>
    <t>[Paula Quiroga, Maria; Mathiasen, Paula; Premoli, Andrea C.] Univ Nacl Comahue, Centro Reg, Lab Ecotono, Univ Bariloche, RA-8400 San Carlos De Bariloche, Rio Negro, Argentina; [Paula Quiroga, Maria; Mathiasen, Paula; Iglesias, Ari; Premoli, Andrea C.] Consejo Nacl Invest Cient &amp; Tecn, Inst Invest Biodiversidad &amp; Medioambiente, RA-8400 San Carlos De Bariloche, Rio Negro, Argentina; [Mill, Robert R.] Royal Bot Garden Edinburgh, Edinburgh EH3 5LR, Midlothian, Scotland</t>
  </si>
  <si>
    <t>Universidad Nacional del Comahue; Consejo Nacional de Investigaciones Cientificas y Tecnicas (CONICET)</t>
  </si>
  <si>
    <t>Quiroga, MP (corresponding author), Univ Nacl Comahue, Centro Reg, Lab Ecotono, Univ Bariloche, Quintral 1250, RA-8400 San Carlos De Bariloche, Rio Negro, Argentina.</t>
  </si>
  <si>
    <t>emepequ@gmail.com</t>
  </si>
  <si>
    <t>PREMOLI, ANDREA C./JFL-0693-2023</t>
  </si>
  <si>
    <t>Mathiasen, Paula/0000-0003-4970-5776</t>
  </si>
  <si>
    <t>National Science Foundation [DEB-0919071]; Argentinean grant: Agencia Nacional de Promocion Cientifica y Tecnologica (PICT) [430]; Scottish Government's Rural and Environment Science and Analytical Services Division</t>
  </si>
  <si>
    <t>National Science Foundation(National Science Foundation (NSF)); Argentinean grant: Agencia Nacional de Promocion Cientifica y Tecnologica (PICT); Scottish Government's Rural and Environment Science and Analytical Services Division</t>
  </si>
  <si>
    <t>We dedicate this paper to the memory of Darian Stark (1980-2011) who obtained the Caribbean sequences used here during his M.Sc. research supervised in 2004 by Robert Mill. We thank Edward Biffin who provided sequences of the ITS region of Podocarpus published in Biffin et al. (2011). We are very grateful to Peter Wilf, Raymond Carpenter and National Science Foundation grant DEB-0919071 for providing images of fossil-types. Research for this contribution was possible thanks to Argentinean grant: Agencia Nacional de Promocion Cientifica y Tecnologica (PICT2010-No430 to M.P.Q.). All authors except Robert Mill are members of the National Research Council of Argentina CONICET. The Royal Botanic Garden Edinburgh is supported by the Scottish Government's Rural and Environment Science and Analytical Services Division.</t>
  </si>
  <si>
    <t>10.1111/jbi.12630</t>
  </si>
  <si>
    <t>DB1LZ</t>
  </si>
  <si>
    <t>WOS:000368271000014</t>
  </si>
  <si>
    <t>Grieger, J; Leckebusch, GC; Ulbrich, U</t>
  </si>
  <si>
    <t>Grieger, Jens; Leckebusch, Gregor C.; Ulbrich, Uwe</t>
  </si>
  <si>
    <t>Net Precipitation of Antarctica: Thermodynamical and Dynamical Parts of the Climate Change Signal</t>
  </si>
  <si>
    <t>Geographic location; entity; Antarctica; Circulation; Dynamics; Extratropical cyclones; Hydrologic cycle; Physical Meteorology and Climatology; Climate change</t>
  </si>
  <si>
    <t>HYDROLOGICAL CYCLE; SOUTHERN-HEMISPHERE; WEST ANTARCTICA; STORM TRACKS; ERA-40; TRENDS; 21ST-CENTURY; ACCUMULATION; MODEL; OCEAN</t>
  </si>
  <si>
    <t>This paper investigates climate change signals of Southern Hemisphere (SH) moisture flux simulated by three members of one CMIP3 coupled atmosphere-ocean general circulation model (AOGCM) and a multimodel ensemble of CMIP5 simulations. Generally, flux changes are dominated by increased atmospheric moisture due to temperature increase in the future climate projections. An approach is presented to distinguish between thermodynamical and dynamical influences on moisture flux. Furthermore, a physical interpretation of the transport changes due to dynamics is investigated by decomposing atmospheric waves into different length scales and temporal variations. Signals of moisture flux are compared with fluctuations of geopotential height fields as well as climate signals of extratropical cyclones. Moisture flux variability in the synoptic length scale with temporal variations shorter than 8 days can be assigned to the SH storm track. Climate change signals of these atmospheric waves show a distinctive poleward shift. This can be attributed to the climate change signal of extratropical cyclones. Furthermore, the climate change signal of atmospheric waves can be better understood if strong cyclones that intensify especially on the Eastern Hemisphere are taken into account. Antarctic net precipitation is calculated by means of the vertically integrated moisture flux. Future projections show increasing signals of net precipitation, whereas the dynamical part of net precipitation decreases. This can be understood by means of the low-variability component of synoptic-scale waves, which show a decreasing signal, especially off the coast of West Antarctica. This is shown to be due to changing variability of the Amundsen-Bellingshausen Seas low.</t>
  </si>
  <si>
    <t>[Grieger, Jens; Ulbrich, Uwe] Free Univ Berlin, Inst Meteorol, Carl Heinrich Becker Weg 6-10, D-12165 Berlin, Germany; [Leckebusch, Gregor C.] Univ Birmingham, Sch Geog Earth &amp; Environm Sci, Birmingham, W Midlands, England</t>
  </si>
  <si>
    <t>Free University of Berlin; University of Birmingham</t>
  </si>
  <si>
    <t>Grieger, J (corresponding author), Free Univ Berlin, Inst Meteorol, Carl Heinrich Becker Weg 6-10, D-12165 Berlin, Germany.</t>
  </si>
  <si>
    <t>jens.grieger@met.fu-berlin.de</t>
  </si>
  <si>
    <t>Leckebusch, Gregor/ABE-1058-2021; Ulbrich, Uwe/A-1070-2014; Grieger, Jens/A-1107-2014</t>
  </si>
  <si>
    <t>Leckebusch, Gregor/0000-0001-9242-7682; Grieger, Jens/0000-0003-0985-8479</t>
  </si>
  <si>
    <t>SACAI project - DFG Priority Programme [1158]</t>
  </si>
  <si>
    <t>SACAI project - DFG Priority Programme(German Research Foundation (DFG))</t>
  </si>
  <si>
    <t>This work was supported by the SACAI project (LE 1865/1-1), funded by the DFG Priority Programme 1158 Antarctic Research. We thank ECMWF for ERA-40 data use and availability. We acknowledge the World Climate Research Programme's Working Group on Coupled Modelling, which is responsible for CMIP, and we thank the climate modeling groups (listed in Table 1 of this paper) for producing and making available their model output. For CMIP, the U.S. Department of Energy's Program for Climate Model Diagnosis and Intercomparison provides coordinating support and led development of software infrastructure in partnership with the Global Organization for Earth System Science Portals. We are grateful to Kevin Keay (School of Earth Sciences, University of Melbourne) for his language revisions to the manuscript. Many thanks to the anonymous reviewers for their work and constructive comments.</t>
  </si>
  <si>
    <t>10.1175/JCLI-D-14-00787.1</t>
  </si>
  <si>
    <t>DC5SA</t>
  </si>
  <si>
    <t>WOS:000369279500002</t>
  </si>
  <si>
    <t>Day, RD; Mueller, F; Carseldine, L; Meyers-Cherry, N; Tibbetts, IR</t>
  </si>
  <si>
    <t>Day, R. D.; Mueller, F.; Carseldine, L.; Meyers-Cherry, N.; Tibbetts, I. R.</t>
  </si>
  <si>
    <t>Ballistic Beloniformes attacking through Snell's Window</t>
  </si>
  <si>
    <t>JOURNAL OF FISH BIOLOGY</t>
  </si>
  <si>
    <t>aerial; behaviour; fish vision; needlefishes; predation</t>
  </si>
  <si>
    <t>PREY; FISH; NEEDLEFISH; REFRACTION; BEHAVIOR; PREDATOR; CAPTURE; SCHOOLS; STRIKE</t>
  </si>
  <si>
    <t>Needlefishes (Beloniformes) were observed employing a range of stalking and attacking behaviours to attack schools of bait fishes ranging from the use of tactics common to predatory fishes to a novel behaviour: the use of leaping, aerial attacks. These aerial attacks are suggested to serve two purposes: to extend the attack range of the needlefishes and to reduce their prey's potential for evasion. Furthermore, a third purpose is hypothesized that the needlefishes are taking advantage of Snell's Window, an optical effect which may mask their approach to their prey.</t>
  </si>
  <si>
    <t>[Day, R. D.; Mueller, F.; Carseldine, L.; Tibbetts, I. R.] Univ Queensland, Sch Biol Sci, St Lucia, Qld 4072, Australia; [Meyers-Cherry, N.] Calif Polytech State Univ San Luis Obispo, Ctr Coastal Marine Sci, San Luis Obispo, CA 93407 USA; [Day, R. D.] Univ Tasmania, Inst Marine &amp; Antarctic Studies, Hobart, Tas 7001, Australia</t>
  </si>
  <si>
    <t>University of Queensland; California State University System; California Polytechnic State University San Luis Obispo; University of Tasmania</t>
  </si>
  <si>
    <t>Tibbetts, IR (corresponding author), Univ Queensland, Sch Biol Sci, St Lucia, Qld 4072, Australia.</t>
  </si>
  <si>
    <t>i.tibbetts@uq.edu.au</t>
  </si>
  <si>
    <t>Day, Ryan D/J-7715-2014; Tibbetts, Ian/K-6191-2013</t>
  </si>
  <si>
    <t>Day, Ryan/0000-0002-1834-6945; Tibbetts, Ian/0000-0002-1481-238X</t>
  </si>
  <si>
    <t>University of Queensland Research Grant</t>
  </si>
  <si>
    <t>This research was funded by University of Queensland Research Grant and facilitated by the staff of the Heron Island and Moreton Bay research stations. The authors would like to thank S. Collin, J. Marshall and J. Davenport for discussions and comments that greatly improved this manuscript. The authors would also like to thank R. Smith (http://www.oceanrealmimages.com/) for his contribution of the image used for Fig. 1.</t>
  </si>
  <si>
    <t>0022-1112</t>
  </si>
  <si>
    <t>1095-8649</t>
  </si>
  <si>
    <t>J FISH BIOL</t>
  </si>
  <si>
    <t>J. Fish Biol.</t>
  </si>
  <si>
    <t>10.1111/jfb.12799</t>
  </si>
  <si>
    <t>DE7WS</t>
  </si>
  <si>
    <t>WOS:000370848200021</t>
  </si>
  <si>
    <t>Sun, W; Maseyk, K; Lett, C; Seibt, U</t>
  </si>
  <si>
    <t>Sun, Wu; Maseyk, Kadmiel; Lett, Celine; Seibt, Ulli</t>
  </si>
  <si>
    <t>Litter dominates surface fluxes of carbonyl sulfide in a Californian oak woodland</t>
  </si>
  <si>
    <t>carbonyl sulfide (COS); soil COS flux; litter COS flux; drying-rewetting effects; Mediterranean ecosystem; COS diffusion-reaction model</t>
  </si>
  <si>
    <t>SOIL-MICROORGANISMS; DIOXIDE PULSES; GLOBAL BUDGET; COS; EXCHANGE; ANHYDRASE; MODEL; PHOTODEGRADATION; DECOMPOSITION; CONSUMPTION</t>
  </si>
  <si>
    <t>Carbonyl sulfide (COS) is a promising tracer for partitioning terrestrial photosynthesis and respiration from net carbon fluxes, based on its daytime co-uptake alongside CO2 through leaf stomata. Because ecosystem COS fluxes are the sum of plant and soil fluxes, using COS as a photosynthesis tracer requires accurate knowledge of soil COS fluxes. At an oak woodland in Southern California, we monitored below-canopy surface (soil+litter) COS and CO2 fluxes for 40days using chambers and laser spectroscopy. We also measured litter fluxes separately and used a depth-resolved diffusion-reaction model to quantify the role of litter uptake in surface COS fluxes. Soil and litter were primarily COS sinks, and mean surface COS uptake was small (approximate to 1pmolm(-2)s(-1)). After rainfall, uptake rates were higher (6-8pmolm(-2)s(-1)), and litter contributed a significant fraction (up to 90%) to surface fluxes. We observed rapid concurrent increases in COS uptake and CO2 efflux following the onset of rain. The patterns were similar to the Birch effect widely documented for soils; however, both COS and CO2 flux increases originated mainly in the litter. The synchronous COS-CO2 litter Birch effect indicates that it results from a rapid increase in litter microbial activity after rainfall. We expect that the drying-rewetting cycles typical for mediterranean and other semiarid ecosystems create a pronounced seasonality in surface COS fluxes. Our results highlight that litter uptake is an important component of surface COS exchange that needs to be taken into account in ecosystem COS budgets and model simulations.</t>
  </si>
  <si>
    <t>[Sun, Wu; Seibt, Ulli] Univ Calif Los Angeles, Dept Atmospher &amp; Ocean Sci, Los Angeles, CA USA; [Maseyk, Kadmiel; Lett, Celine; Seibt, Ulli] Univ Paris 06, Inst Ecol &amp; Environm Sci, Paris, France; [Maseyk, Kadmiel] Open Univ, Dept Environm Earth &amp; Ecosyst, Fac Sci, Milton Keynes MK7 6AA, Bucks, England; [Lett, Celine] British Antarctic Survey, Cambridge CB3 0ET, England</t>
  </si>
  <si>
    <t>University of California System; University of California Los Angeles; Sorbonne Universite; Universite Paris Cite; Universite Paris-Est-Creteil-Val-de-Marne (UPEC); Centre National de la Recherche Scientifique (CNRS); CNRS - Institute of Ecology &amp; Environment (INEE); Open University - UK; UK Research &amp; Innovation (UKRI); Natural Environment Research Council (NERC); NERC British Antarctic Survey</t>
  </si>
  <si>
    <t>Sun, W; Seibt, U (corresponding author), Univ Calif Los Angeles, Dept Atmospher &amp; Ocean Sci, Los Angeles, CA USA.;Seibt, U (corresponding author), Univ Paris 06, Inst Ecol &amp; Environm Sci, Paris, France.</t>
  </si>
  <si>
    <t>wu.sun@ucla.edu; useibt@ucla.edu</t>
  </si>
  <si>
    <t>Sun, Wu/X-9384-2018</t>
  </si>
  <si>
    <t>Sun, Wu/0000-0002-2333-6282; Lett, Celine/0009-0008-4846-4046; Maseyk, Kadmiel/0000-0003-3299-4380</t>
  </si>
  <si>
    <t>European Research Council (ERC) [202835]; China Scholarship Council (CSC); UC Institute for the Study of Ecological and Evolutionary Climate Impacts (ISEECI) GSR fellowships; European Research Council (ERC) [202835] Funding Source: European Research Council (ERC)</t>
  </si>
  <si>
    <t>European Research Council (ERC)(European Research Council (ERC)Spanish Government); China Scholarship Council (CSC)(China Scholarship Council); UC Institute for the Study of Ecological and Evolutionary Climate Impacts (ISEECI) GSR fellowships; European Research Council (ERC)(European Research Council (ERC)Spanish Government)</t>
  </si>
  <si>
    <t>This study was supported by European Research Council (ERC) Starting Grant 202835 to U.S. W.S. acknowledges support by the China Scholarship Council (CSC) and the UC Institute for the Study of Ecological and Evolutionary Climate Impacts (ISEECI) GSR fellowships. We thank Phil Rundel for help and support during our field campaign, Mary Whelan for data sharing and valuable discussions, and support at the Stunt Ranch Santa Monica Mountains UC Reserve. Data presented here can be found in the University of California Curation Center (UC3) Merritt data repository at http://n2t.net/ark:/c5146/r3pp45, with doi: 10.15146/R3PP45.</t>
  </si>
  <si>
    <t>10.1002/2015JG003149</t>
  </si>
  <si>
    <t>DI0OT</t>
  </si>
  <si>
    <t>WOS:000373197300013</t>
  </si>
  <si>
    <t>Martín-Español, A; Zammit-Mangion, A; Clarke, PJ; Flament, T; Helm, V; King, MA; Luthcke, SB; Petrie, E; Rémy, F; Schön, N; Wouters, B; Bamber, JL</t>
  </si>
  <si>
    <t>Martin-Espanol, Alba; Zammit-Mangion, Andrew; Clarke, Peter J.; Flament, Thomas; Helm, Veit; King, Matt A.; Luthcke, Scott B.; Petrie, Elizabeth; Remy, Frederique; Schoen, Nana; Wouters, Bert; Bamber, Jonathan L.</t>
  </si>
  <si>
    <t>Spatial and temporal Antarctic Ice Sheet mass trends, glacio-isostatic adjustment, and surface processes from a joint inversion of satellite altimeter, gravity, and GPS data</t>
  </si>
  <si>
    <t>Antarctica; Mass balance; SMB; ice dynamics; GIA</t>
  </si>
  <si>
    <t>AMUNDSEN SEA EMBAYMENT; WEST ANTARCTICA; LEVEL RISE; GRACE; GREENLAND; ELEVATION; BALANCE; UPLIFT; RADAR; WIDESPREAD</t>
  </si>
  <si>
    <t>We present spatiotemporal mass balance trends for the Antarctic Ice Sheet from astatistical inversion of satellite altimetry, gravimetry, and elastic-corrected GPS data for the period 2003-2013. Our method simultaneously determines annual trends in ice dynamics, surface mass balanceanomalies, and a time-invariant solution for glacio-isostatic adjustment while remaining largely independent of forward models. We establish that over the period 2003-2013, Antarctica has been losing mass at a rate of -84 22Gtyr(-1), with a sustained negative mean trend of dynamic imbalance of -111 13Gtyr(-1). West Antarctica is the largest contributor with -112 10Gtyr(-1), mainly triggered by high thinning rates of glaciers draining into the Amundsen Sea Embayment. The Antarctic Peninsula has experienced a dramatic increase in mass loss in the last decade, with a mean rate of -28 7Gtyr(-1) and significantly higher values for the most recent years following the destabilization of the Southern Antarctic Peninsula around 2010. The total mass loss is partly compensated by a significant mass gain of 56 +/- 18Gtyr(-1) in East Antarctica due to a positive trend of surface mass balance anomalies.</t>
  </si>
  <si>
    <t>[Martin-Espanol, Alba; Zammit-Mangion, Andrew; Schoen, Nana; Wouters, Bert; Bamber, Jonathan L.] Univ Bristol, Sch Geog Sci, Bristol, Avon, England; [Zammit-Mangion, Andrew] Univ Wollongong, Natl Inst Appl Stat Res Australia, Environm Informat Ctr, Wollongong, NSW, Australia; [Clarke, Peter J.; King, Matt A.; Petrie, Elizabeth] Newcastle Univ, Sch Civil Engn &amp; Geosci, Newcastle Upon Tyne NE1 7RU, Tyne &amp; Wear, England; [Flament, Thomas; Remy, Frederique] LEGOS, Toulouse, France; [Helm, Veit] Alfred Wegener Inst, Bremerhaven, Germany; [King, Matt A.] Univ Tasmania, Sch Land &amp; Food, Hobart, Tas, Australia; [Luthcke, Scott B.] NASA, Goddard Space Flight Ctr, Greenbelt, MD USA; [Petrie, Elizabeth] Univ Glasgow, Sch Geog &amp; Earth Sci, Glasgow, Lanark, Scotland</t>
  </si>
  <si>
    <t>University of Bristol; University of Wollongong; Newcastle University - UK; Universite de Toulouse; Universite Toulouse III - Paul Sabatier; Centre National de la Recherche Scientifique (CNRS); Institut de Recherche pour le Developpement (IRD); Laboratoire d'Etudes en Geophysique et oceanographie spatiales; Helmholtz Association; Alfred Wegener Institute, Helmholtz Centre for Polar &amp; Marine Research; University of Tasmania; National Aeronautics &amp; Space Administration (NASA); NASA Goddard Space Flight Center; University of Glasgow</t>
  </si>
  <si>
    <t>Bamber, JL (corresponding author), Univ Bristol, Sch Geog Sci, Bristol, Avon, England.</t>
  </si>
  <si>
    <t>j.bamber@bristol.ac.uk</t>
  </si>
  <si>
    <t>Zammit-Mangion, Andrew/I-5356-2016; Bamber, Jonathan/C-7608-2011; Clarke, Peter John/B-1783-2008; Luthcke, Scott B/D-6283-2012; King, Matt/B-4622-2008; Wouters, Bert/AAA-4254-2019; Petrie, Elizabeth/B-8532-2008</t>
  </si>
  <si>
    <t>Zammit-Mangion, Andrew/0000-0002-4164-6866; Bamber, Jonathan/0000-0002-2280-2819; Clarke, Peter John/0000-0003-1276-8300; King, Matt/0000-0001-5611-9498; Wouters, Bert/0000-0002-1086-2435; Petrie, Elizabeth/0000-0002-7124-2600; Flament, Thomas/0000-0001-9702-302X; Martin, Alba/0000-0001-9495-9092</t>
  </si>
  <si>
    <t>National Science Foundation (NSF); National Aeronautics and Space Administration (NASA) under NSF Cooperative Agreement [EAR-0735156]; Australian Research Council Future Fellowship [FT110100207]; UK NERC grant [NE/I027401/1]; Natural Environment Research Council [NE/I027401/1, NE/F01466X/1, NE/I027681/1] Funding Source: researchfish; NERC [NE/I027681/1, NE/F01466X/1, NE/I027401/1] Funding Source: UKRI</t>
  </si>
  <si>
    <t>National Science Foundation (NSF)(National Science Foundation (NSF)); National Aeronautics and Space Administration (NASA) under NSF Cooperative Agreement; Australian Research Council Future Fellowship(Australian Research Council); UK NERC grant(UK Research &amp; Innovation (UKRI)Natural Environment Research Council (NERC)); Natural Environment Research Council(UK Research &amp; Innovation (UKRI)Natural Environment Research Council (NERC)); NERC(UK Research &amp; Innovation (UKRI)Natural Environment Research Council (NERC))</t>
  </si>
  <si>
    <t>We acknowledge the substantial efforts required to establish, maintain and operate Antarctic GPS sites and also data archives. We thank those responsible for the GPS data used in this paper (see Table S1) and for making them available including: the ANET and CAPGIA teams, the Scientific Committee on Antarctic Research, Geoscience Australia, Paul Tregoning (Australian National University), the British Antarctic Survey, the Alfred Wegener Institute, the Instituto Antartico Argentino, the Finnish Geodetic Institute, the JPL Marie Byrd Land, LARISSA, TAMDEF and WAGN projects, and the International GNSS Service [Dow et al., 2009] and the UNAVCO Facility (with support from the National Science Foundation (NSF) and National Aeronautics and Space Administration (NASA) under NSF Cooperative Agreement No. EAR-0735156). We also acknowledge S. Ligtenberg, J. M. Lenaerts and J. M. van Wessem for providing SMB output from 2.1/ANT27 and RACMO2.3 and T. Sutterley and I. Velicogna for providing the data shown in Figure 9. The data for this paper are available by contacting the corresponding author. M. A. K. is a recipient of an Australian Research Council Future Fellowship (project number FT110100207). JLB and AME and the work undertaken in this study was supported by UK NERC grant NE/I027401/1. The authors wish to thank Bryn Hubbard, the Associate Editor and three anonymous reviewers</t>
  </si>
  <si>
    <t>10.1002/2015JF003550</t>
  </si>
  <si>
    <t>WOS:000372928400001</t>
  </si>
  <si>
    <t>Coxon, JC; Jackman, CM; Freeman, MP; Forsyth, C; Rae, IJ</t>
  </si>
  <si>
    <t>Coxon, J. C.; Jackman, C. M.; Freeman, M. P.; Forsyth, C.; Rae, I. J.</t>
  </si>
  <si>
    <t>Identifying the magnetotail lobes with Cluster magnetometer data</t>
  </si>
  <si>
    <t>magnetotail; magnetotail lobes; magnetic field</t>
  </si>
  <si>
    <t>MAGNETIC-FIELD; MAGNETOSPHERE</t>
  </si>
  <si>
    <t>We describe a novel method for identifying times when a spacecraft is in Earth's magnetotail lobes solely using magnetometer data. We propose that lobe intervals can be well identified as times when the magnetic field is strong and relatively invariant, defined using thresholds in the magnitude of B-X and the standard deviation sigma of the magnetic field magnitude. Using data from the Cluster spacecraft at downtail distances greater than 8R(E) during 2001-2009, we find that thresholds of 30nT and 3.5nT, respectively, optimize agreement with a previous, independently derived lobe identification method that used both magnetic and plasma data over the same interval. Specifically, our method has a moderately high accuracy (66%) and a low probability of false detection (11%) in comparison to the other method. Furthermore, our method identifies the lobe on many other occasions when the previous method was unable to make any identification and yields longer continuous intervals in the lobe than the previous method, with intervals at the 90th percentile being triple the length. Our method also allows for analyses of the lobes outside the time span of the previous method. Key Points</t>
  </si>
  <si>
    <t>[Coxon, J. C.; Jackman, C. M.] Univ Southampton, Sch Phys &amp; Astron, Southampton, Hants, England; [Freeman, M. P.] British Antarctic Survey, High Cross, Cambridge CB3 0ET, England; [Forsyth, C.; Rae, I. J.] UCL Mullard Space Sci Lab, Dorking, Surrey, England</t>
  </si>
  <si>
    <t>University of Southampton; UK Research &amp; Innovation (UKRI); Natural Environment Research Council (NERC); NERC British Antarctic Survey; University of London; University College London</t>
  </si>
  <si>
    <t>Coxon, JC (corresponding author), Univ Southampton, Sch Phys &amp; Astron, Southampton, Hants, England.</t>
  </si>
  <si>
    <t>work@johncoxon.co.uk</t>
  </si>
  <si>
    <t>Coxon, John/AAN-9355-2021; Rae, Jonathan/D-8132-2013; Freeman, Mervyn/E-5687-2019; Forsyth, Colin/E-4159-2010</t>
  </si>
  <si>
    <t>Coxon, John/0000-0002-0166-6854; Rae, Jonathan/0000-0002-2637-4786; Freeman, Mervyn/0000-0002-8653-8279; Jackman, Caitriona/0000-0003-0635-7361; Forsyth, Colin/0000-0002-0026-8395</t>
  </si>
  <si>
    <t>Natural Environment Research Council (NERC) [NE/L007177/1, NE/L006456/1, NE/L007495/1]; Natural Environment Research Council [bas0100031, NE/L007177/1, NE/L007495/1, NE/L006456/1] Funding Source: researchfish; Science and Technology Facilities Council [ST/N000722/1, ST/L004399/1] Funding Source: researchfish; NERC [NE/L006456/1, NE/L007177/1, NE/L007495/1, bas0100031, NE/N014480/1] Funding Source: UKRI; STFC [ST/N000722/1, ST/L004399/1, ST/K000977/1] Funding Source: UKRI</t>
  </si>
  <si>
    <t>Natural Environment Research Council (NERC)(UK Research &amp; Innovation (UKRI)Natural Environment Research Council (NERC)); Natural Environment Research Council(UK Research &amp; Innovation (UKRI)Natural Environment Research Council (NERC)); Science and Technology Facilities Council(UK Research &amp; Innovation (UKRI)Science &amp; Technology Facilities Council (STFC)); NERC(UK Research &amp; Innovation (UKRI)Natural Environment Research Council (NERC)); STFC(UK Research &amp; Innovation (UKRI)Science &amp; Technology Facilities Council (STFC))</t>
  </si>
  <si>
    <t>This work is supported by Natural Environment Research Council (NERC) joint grants NE/L007177/1 (J. C. C. and C. M. J.), NE/L006456/1 (M. P. F.), and NE/L007495/1 (C. F. and I. J. R.). Cluster data used in this paper were downloaded from the European Space Agency's Cluster and Double Star Science Archive (http://www.cosmos.esa.int/web/csa/access). We also acknowledge use of the matplotlib, NumPy, and SpacePy libraries for Python. Files used were generally of the form: (1) CI_CP_FGM_SPIN__Y0101_000000_Y1231_235959_V140305.cdf*, (2) CI_CQ_FGM_CAVF__Y0101_000000_Y1231_235959_V140305.cdf*, and (3) CI_CP_AUX_ECLAT_REGION__20010101_000000_20141231_235959_V131120.cdf, where I. {1, 2, 3, 4} and Y.{2001, 2002, 2003, 2004, 2005, 2006, 2007, 2008, 2009}. Although most files had the version number 140305 (as above), the version number was 141122 on C1 and C2 data in 2009 and C3 data in 2006; 140724 on C1 caveats from 2009; 150121 on C3 data and caveats in 2009; and 150212 on C2 data and caveats in 2006.</t>
  </si>
  <si>
    <t>10.1002/2015JA022020</t>
  </si>
  <si>
    <t>WOS:000373002100037</t>
  </si>
  <si>
    <t>Chen, C; Chu, XZ; Zhao, J; Roberts, BR; Yu, ZB; Fong, WC; Lu, X; Smith, JA</t>
  </si>
  <si>
    <t>Chen, Cao; Chu, Xinzhao; Zhao, Jian; Roberts, Brendan R.; Yu, Zhibin; Fong, Weichun; Lu, Xian; Smith, John A.</t>
  </si>
  <si>
    <t>Lidar observations of persistent gravity waves with periods of 3-10h in the Antarctic middle and upper atmosphere at McMurdo (77.83°S, 166.67°E)</t>
  </si>
  <si>
    <t>persistent gravity waves; Antarctic MLT; lidar temperature; wavelet transform; 3-10h wave statistics; frequency power spectral density</t>
  </si>
  <si>
    <t>INTRADIURNAL WIND VARIATIONS; STARFIRE OPTICAL-RANGE; LOWER THERMOSPHERE; UPPER-MESOSPHERE; MOMENTUM FLUX; MESOPAUSE REGION; SOUTH-POLE; UNIVERSAL SPECTRUM; THERMAL STRUCTURE; PLANETARY-WAVES</t>
  </si>
  <si>
    <t>Persistent, dominant, and large-amplitude gravity waves with 3-10h periods and vertical wavelengths similar to 20-30km are observed in temperatures from the stratosphere to lower thermosphere with an Fe Boltzmann lidar at McMurdo, Antarctica. These waves exhibit characteristics of inertia-gravity waves in case studies, yet they are extremely persistent and have been present during every lidar observation. We characterize these 3-10h waves in the mesosphere and lower thermosphere using lidar temperature data in June from 2011 to 2015. A new method is applied to identify the major wave events from every lidar run longer than 12h. A continuous 65h lidar run on 28-30 June 2014 exhibits a 7.5h wave spanning similar to 60h, and 6.5h and 3.4h waves spanning 40 and 45h, respectively. Over the course of 5years, 323h of data in June reveal that the major wave periods occur in several groups centered from similar to 3.5 to 7.5h, with vertical phase speeds of 0.8-2m/s. These 3-10h waves possess more than half of the spectral energy for similar to 93% of the time. A rigorous prewhitening, postcoloring technique is introduced for frequency power spectra investigation. The resulting spectral slopes are unusually steep (-2.7) below similar to 100km but gradually become shallower with increasing altitude, reaching about -1.6 at 110km. Two-dimensional fast Fourier transform spectra confirm that these waves have a uniform dominant vertical wavelength of 20-30km across periods of 3.5-10h. These statistical features shed light on the wave source and pave the way for future research.</t>
  </si>
  <si>
    <t>[Chen, Cao; Chu, Xinzhao; Zhao, Jian; Roberts, Brendan R.; Yu, Zhibin; Fong, Weichun; Lu, Xian; Smith, John A.] Univ Colorado, Cooperat Inst Res Environm Sci, Boulder, CO 80309 USA; [Chen, Cao; Chu, Xinzhao; Zhao, Jian; Yu, Zhibin; Fong, Weichun; Smith, John A.] Univ Colorado, Dept Aerosp Engn Sci, Boulder, CO 80309 USA; [Roberts, Brendan R.] Natl Ecol Observ Network, Boulder, CO USA</t>
  </si>
  <si>
    <t>University of Colorado System; University of Colorado Boulder; University of Colorado System; University of Colorado Boulder</t>
  </si>
  <si>
    <t>Chen, C; Chu, XZ (corresponding author), Univ Colorado, Cooperat Inst Res Environm Sci, Boulder, CO 80309 USA.;Chen, C; Chu, XZ (corresponding author), Univ Colorado, Dept Aerosp Engn Sci, Boulder, CO 80309 USA.</t>
  </si>
  <si>
    <t>cao.chen@colorado.edu; Xinzhao.Chu@Colorado.edu</t>
  </si>
  <si>
    <t>Lu, Xian/AAZ-3385-2021; Chen, Cao/D-9851-2016; Yu, Zhibin/GZA-3374-2022; Lu, Xian/A-2980-2015; CHU, XINZHAO/I-5670-2015</t>
  </si>
  <si>
    <t>Chen, Cao/0000-0002-7780-2787; Yu, Zhibin/0000-0001-5128-809X; Lu, Xian/0000-0002-2535-8151; CHU, XINZHAO/0000-0001-6147-1963; Smith, John/0000-0001-6066-793X</t>
  </si>
  <si>
    <t>McMurdo lidar campaign; National Science Foundation (NSF) [ANT-0839091, PLR-1246405, AGS-1452351, AGS-1115224]; CIRES Graduate Student Research Award; NSF/CEDAR grant [AGS-1343106]; [AGS-1136272]; Directorate For Geosciences; Office of Polar Programs (OPP) [1705450] Funding Source: National Science Foundation; Div Atmospheric &amp; Geospace Sciences; Directorate For Geosciences [1705448] Funding Source: National Science Foundation</t>
  </si>
  <si>
    <t>McMurdo lidar campaign; National Science Foundation (NSF)(National Science Foundation (NSF)); CIRES Graduate Student Research Award; NSF/CEDAR grant; ; Directorate For Geosciences; Office of Polar Programs (OPP)(National Science Foundation (NSF)NSF - Directorate for Geosciences (GEO)); Div Atmospheric &amp; Geospace Sciences; Directorate For Geosciences(National Science Foundation (NSF)NSF - Directorate for Geosciences (GEO))</t>
  </si>
  <si>
    <t>We sincerely acknowledge invaluable discussions with Chester S. Gardner, Rich Collins, and Takuji Nakamura on the lidar data analysis, and with Elsayed Talaat and Jeff Forbes on the wave identity. We are grateful to Wentao Huang, Zhangjun Wang, and Ian Barry for their contributions, and to Vladimir Papitashvili, Julie Palais, Richard Dean, and Judy Shiple for their guidance and support of the McMurdo lidar campaign. We appreciate the staff of the United States Antarctic Program, McMurdo station, Antarctica New Zealand, and Scott Base for their superb support. This work was supported by National Science Foundation (NSF) grants ANT-0839091 and PLR-1246405. Cao Chen was partially supported by AGS-1136272 and CIRES Graduate Student Research Award. Xian Lu was partially supported by NSF/CEDAR grant AGS-1343106. John A. Smith was partially supported by NSF grants AGS-1452351 and AGS-1115224. Data necessary to reproduce the results are available from the authors upon request (xinzhao.chu@colorado.edu).</t>
  </si>
  <si>
    <t>10.1002/2015JA022127</t>
  </si>
  <si>
    <t>WOS:000373002100041</t>
  </si>
  <si>
    <t>Kozlovsky, A; Lukianova, R; Shalimov, S; Lester, M</t>
  </si>
  <si>
    <t>Kozlovsky, Alexander; Lukianova, Renata; Shalimov, Sergey; Lester, Mark</t>
  </si>
  <si>
    <t>Mesospheric temperature estimation from meteor decay times during Geminids meteor shower</t>
  </si>
  <si>
    <t>meteors; radar; mesosphere temperature; Geminids; Quadrantids</t>
  </si>
  <si>
    <t>RADAR; PERTURBATIONS; SPECTRA; LIDAR</t>
  </si>
  <si>
    <t>Meteor radar observations at the Sodankyla Geophysical Observatory (67 degrees 22N, 26 degrees 38E, Finland) indicate that the mesospheric temperature derived from meteor decay times is systematically underestimated by 20-50K during the Geminids meteor shower which has peak on 13 December. A very good coincidence of the minimum of routinely calculated temperature and maximum of meteor flux (the number of meteors detected per day) was observed regularly on that day in December 2008-2014. These observations are for a specific height-lifetime distribution of the Geminids meteor trails and indicate a larger percentage of overdense trails compared to that for sporadic meteors. A consequence of this is that the routine estimates of mesospheric temperature during the Geminids are in fact underestimates. The observations do, however, indicate unusual properties (e.g., mass, speed, or chemical composition) of the Geminids meteoroids. Similar properties were found also for Quadrantids in January 2009-2015, which like the Geminids has as a parent body an asteroid, but not for other meteor showers.</t>
  </si>
  <si>
    <t>[Kozlovsky, Alexander] Sodankyla Geophys Observ, Sodankyla, Finland; [Lukianova, Renata] RAS, Geophys Ctr, Moscow 117901, Russia; [Lukianova, Renata] Arctic &amp; Antarctic Res Inst, St Petersburg 199226, Russia; [Shalimov, Sergey] RAS, Inst Phys Earth, Moscow 117901, Russia; [Shalimov, Sergey] Space Res Inst, Moscow, Russia; [Shalimov, Sergey] Natl Res Ctr Kurchatov Inst, Moscow, Russia; [Lester, Mark] Univ Leicester, Dept Phys &amp; Astron, Leicester LE1 7RH, Leics, England</t>
  </si>
  <si>
    <t>Russian Academy of Sciences; Geophysical Center of the Russian Academy of Sciences; Arctic &amp; Antarctic Research Institute; Russian Academy of Sciences; Schmidt Institute of Physics of the Earth of the Russian Academy of Sciences; Russian Academy of Sciences; Space Research Institute of the Russian Academy of Sciences; National Research Centre - Kurchatov Institute; University of Leicester</t>
  </si>
  <si>
    <t>Kozlovsky, A (corresponding author), Sodankyla Geophys Observ, Sodankyla, Finland.</t>
  </si>
  <si>
    <t>alexander.kozlovsky@oulu.fi</t>
  </si>
  <si>
    <t>Lukianova, Renata/K-3293-2012; Lester, Mark/C-9657-2016</t>
  </si>
  <si>
    <t>Lukianova, Renata/0000-0003-2343-9174; Kozlovsky, Alexander/0000-0003-1468-7600; Lester, Mark/0000-0001-7353-5549</t>
  </si>
  <si>
    <t>Academy of Finland [287916]; NERC [NE/K011766/1]; Academy of Finland (AKA) [287916] Funding Source: Academy of Finland (AKA); Natural Environment Research Council [NE/K011766/1] Funding Source: researchfish; Science and Technology Facilities Council [ST/K001000/1] Funding Source: researchfish; NERC [NE/K011766/1] Funding Source: UKRI; STFC [ST/K001000/1] Funding Source: UKRI</t>
  </si>
  <si>
    <t>Academy of Finland(Research Council of Finland); NERC(UK Research &amp; Innovation (UKRI)Natural Environment Research Council (NERC)); Academy of Finland (AKA)(Research Council of Finland); Natural Environment Research Council(UK Research &amp; Innovation (UKRI)Natural Environment Research Council (NERC)); Science and Technology Facilities Council(UK Research &amp; Innovation (UKRI)Science &amp; Technology Facilities Council (STFC)); NERC(UK Research &amp; Innovation (UKRI)Natural Environment Research Council (NERC)); STFC(UK Research &amp; Innovation (UKRI)Science &amp; Technology Facilities Council (STFC))</t>
  </si>
  <si>
    <t>Data of the meteor radar are available from SGO (http://www.sgo.fi/). The authors appreciate the NASA for access to the Aura MLS data from http://disc.sci.gsfc.nasa.gov/Aura/data-holdings/MLS/index.shtml. R.L. and S.S. acknowledge support from the Academy of Finland grant 287916. M.L. acknowledges support from NERC via grant NE/K011766/1.</t>
  </si>
  <si>
    <t>10.1002/2015JA022222</t>
  </si>
  <si>
    <t>WOS:000373002100054</t>
  </si>
  <si>
    <t>Guly, HR</t>
  </si>
  <si>
    <t>Guly, Henry R.</t>
  </si>
  <si>
    <t>George Murray Levick (1876-1956), Antarctic explorer</t>
  </si>
  <si>
    <t>JOURNAL OF MEDICAL BIOGRAPHY</t>
  </si>
  <si>
    <t>Antarctic; exploration; Royal Navy; First World War; Second World War; rehabilitation; British Schools Exploring Society</t>
  </si>
  <si>
    <t>Murray Levick is best known for being one of the surgeons on Scott's Terra Nova Antarctic expedition (1910-1913) and, as a member of the Northern Party of that expedition, spending a winter living in a snow hole when the ship was unable to collect the men. However, his career encompassed much more than that. He served in the Royal Navy during both World Wars and was a pioneer in physical medicine and rehabilitation. He also founded the British Schools Exploring Society.</t>
  </si>
  <si>
    <t>[Guly, Henry R.] The Shrubbery, Bedford Rd, Yelverton PL20 7QH, Devon, England</t>
  </si>
  <si>
    <t>Guly, HR (corresponding author), The Shrubbery, Bedford Rd, Yelverton PL20 7QH, Devon, England.</t>
  </si>
  <si>
    <t>hguly@aol.com</t>
  </si>
  <si>
    <t>Wellcome Trust Funding Source: Medline; NERC [bas010011] Funding Source: UKRI; Natural Environment Research Council [bas010011] Funding Source: researchfish</t>
  </si>
  <si>
    <t>Wellcome Trust(Wellcome Trust); NERC(UK Research &amp; Innovation (UKRI)Natural Environment Research Council (NERC)); Natural Environment Research Council(UK Research &amp; Innovation (UKRI)Natural Environment Research Council (NERC))</t>
  </si>
  <si>
    <t>0967-7720</t>
  </si>
  <si>
    <t>1758-1087</t>
  </si>
  <si>
    <t>J MED BIOGR</t>
  </si>
  <si>
    <t>J. Med. Biogr.</t>
  </si>
  <si>
    <t>10.1177/0967772014533051</t>
  </si>
  <si>
    <t>History &amp; Philosophy Of Science</t>
  </si>
  <si>
    <t>History &amp; Philosophy of Science</t>
  </si>
  <si>
    <t>DE7LC</t>
  </si>
  <si>
    <t>WOS:000370817100003</t>
  </si>
  <si>
    <t>Guly, H</t>
  </si>
  <si>
    <t>Guly, Henry</t>
  </si>
  <si>
    <t>Edward Leicester Atkinson (1881-1929): Antarctic explorer, scientist and naval surgeon</t>
  </si>
  <si>
    <t>Antarctic; exploration; Royal Navy; First World War; parasitology</t>
  </si>
  <si>
    <t>HEROIC AGE; EXPLORATION</t>
  </si>
  <si>
    <t>Edward Leicester Atkinson qualified at St Thomas's Hospital in 1906 and joined the Navy in 1908. He was a doctor and parasitologist on Captain Scott's Terra Nova expedition to the Antarctic and had to take charge of the expedition when Scott died on his return from the South Pole. After the expedition he went to China and discovered the cause of schistosomiasis, returning at the start of the First World War in which he served with distinction, winning a DSO and Albert Medal but also being severely injured. After the war he served in various naval posts and became the youngest Surgeon Captain in the Navy before being retired on health grounds in 1928. He died at sea the following year.</t>
  </si>
  <si>
    <t>[Guly, Henry] Derriford Hosp, Emergency Med, Bedford Rd, Yelverton PL20 7QH, Devon, England; [Guly, Henry] Derriford Hosp, British Antarctic Survey, Med Unit, Bedford Rd, Yelverton PL20 7QH, Devon, England</t>
  </si>
  <si>
    <t>Derriford Hospital; UK Research &amp; Innovation (UKRI); Natural Environment Research Council (NERC); NERC British Antarctic Survey; Derriford Hospital</t>
  </si>
  <si>
    <t>Guly, H (corresponding author), Derriford Hosp, Emergency Med, Bedford Rd, Yelverton PL20 7QH, Devon, England.;Guly, H (corresponding author), Derriford Hosp, British Antarctic Survey, Med Unit, Bedford Rd, Yelverton PL20 7QH, Devon, England.</t>
  </si>
  <si>
    <t>NERC [bas010011] Funding Source: UKRI; Natural Environment Research Council [bas010011] Funding Source: researchfish; Wellcome Trust Funding Source: Medline</t>
  </si>
  <si>
    <t>NERC(UK Research &amp; Innovation (UKRI)Natural Environment Research Council (NERC)); Natural Environment Research Council(UK Research &amp; Innovation (UKRI)Natural Environment Research Council (NERC)); Wellcome Trust(Wellcome Trust)</t>
  </si>
  <si>
    <t>10.1177/0967772014526131</t>
  </si>
  <si>
    <t>WOS:000370817100019</t>
  </si>
  <si>
    <t>Meyer, A; Polzin, KL; Sloyan, BM; Phillips, HE</t>
  </si>
  <si>
    <t>Meyer, Amelie; Polzin, Kurt L.; Sloyan, Bernadette M.; Phillips, Helen E.</t>
  </si>
  <si>
    <t>Internal Waves and Mixing near the Kerguelen Plateau</t>
  </si>
  <si>
    <t>Profilers, oceanic; Wave properties; Internal waves; Circulation/ Dynamics; Southern Ocean; Observational techniques and algorithms; In situ oceanic observations; Geographic location/entity; Mixing</t>
  </si>
  <si>
    <t>ANTARCTIC CIRCUMPOLAR CURRENT; OVERTURNING CIRCULATION; SOUTHERN-OCEAN; ENERGY; SEA; BREAKING; WIND; ICE; DISSIPATION; PROPAGATION</t>
  </si>
  <si>
    <t>In the stratified ocean, turbulent mixing is primarily attributed to the breaking of internal waves. As such, internal waves provide a link between large-scale forcing and small-scale mixing. The internal wave field north of the Kerguelen Plateau is characterized using 914 high-resolution hydrographic profiles from novel Electromagnetic Autonomous Profiling Explorer (EM-APEX) floats. Altogether, 46 coherent features are identified in the EM-APEX velocity profiles and interpreted in terms of internal wave kinematics. The large number of internal waves analyzed provides a quantitative framework for characterizing spatial variations in the internal wave field and for resolving generation versus propagation dynamics. Internal waves observed near the Kerguelen Plateau have a mean vertical wavelength of 200 m, a mean horizontal wavelength of 15 km, a mean period of 16 h, and a mean horizontal group velocity of 3 cm s(-1). The internal wave characteristics are dependent on regional dynamics, suggesting that different generation mechanisms of internal waves dominate in different dynamical zones. The wave fields in the Subantarctic/Subtropical Front and the Polar Front Zone are influenced by the local small-scale topography and flow strength. The eddy-wave field is influenced by the large-scale flow structure, while the internal wave field in the Subantarctic Zone is controlled by atmospheric forcing. More importantly, the local generation of internal waves not only drives large-scale dissipation in the frontal region but also downstream from the plateau. Some internal waves in the frontal region are advected away from the plateau, contributing to mixing and stratification budgets elsewhere.</t>
  </si>
  <si>
    <t>[Meyer, Amelie; Sloyan, Bernadette M.] CSIRO Ocean &amp; Atmosphere Flagship, Hobart, Tas, Australia; [Meyer, Amelie; Phillips, Helen E.] Univ Tasmania, Inst Marine &amp; Antarctic Studies, Hobart, Tas, Australia; [Polzin, Kurt L.] Woods Hole Oceanog Inst, Woods Hole, MA 02543 USA; [Phillips, Helen E.] ARC Ctr Excellence Climate Syst Sci, Hobart, Tas, Australia; [Meyer, Amelie] Norwegian Polar Res Inst, N-9296 Tromso, Norway</t>
  </si>
  <si>
    <t>Commonwealth Scientific &amp; Industrial Research Organisation (CSIRO); University of Tasmania; Woods Hole Oceanographic Institution; ARC Centre of Excellence for Climate System Science; Norwegian Polar Institute</t>
  </si>
  <si>
    <t>Meyer, A (corresponding author), Norwegian Polar Res Inst, N-9296 Tromso, Norway.</t>
  </si>
  <si>
    <t>amelie.meyer@npolar.no</t>
  </si>
  <si>
    <t>Sloyan, Bernadette/N-8989-2014; Phillips, Helen/I-3761-2013</t>
  </si>
  <si>
    <t>Sloyan, Bernadette/0000-0003-0250-0167; Phillips, Helen/0000-0002-2941-7577; Meyer, Amelie/0000-0003-0447-795X</t>
  </si>
  <si>
    <t>joint CSIRO-University of Tasmania Quantitative Marine Science (QMS) program; CSIRO Wealth from Ocean Flagship Collaborative Fund; Woods Hole Oceanographic Institution bridge support funds; Australian Climate Change Science Program; Australian Research Council Discovery Project [DP0877098]; Australian Government DEWHA [3002, 3228]; Australian Research Council [DP0877098] Funding Source: Australian Research Council</t>
  </si>
  <si>
    <t>joint CSIRO-University of Tasmania Quantitative Marine Science (QMS) program; CSIRO Wealth from Ocean Flagship Collaborative Fund; Woods Hole Oceanographic Institution bridge support funds; Australian Climate Change Science Program; Australian Research Council Discovery Project(Australian Research Council); Australian Government DEWHA(Australian Government); Australian Research Council(Australian Research Council)</t>
  </si>
  <si>
    <t>We thank the scientists and crew from the RRS James Cook JC029. We acknowledge the valuable contributions of the SOFine team, Stephanie Waterman and Alberto Naveira Garabato in particular, for providing advice and data on numerous occasions. Comments and suggestions from Beatriz Pena-Molino are gratefully acknowledged. A.M. was supported by the joint CSIRO-University of Tasmania Quantitative Marine Science (QMS) program and the 2009 CSIRO Wealth from Ocean Flagship Collaborative Fund. K.L.P.'s salary support was provided by Woods Hole Oceanographic Institution bridge support funds. B.M.S. was supported by the Australian Climate Change Science Program. We thank John Dunlap, Steve Rintoul, Susan Wijffels, and Beck Owens for their support in mounting the EM-APEX component of the SOFine project. Funding for the EM-APEX experiment was provided by the Australian Research Council Discovery Project (DP0877098) and Australian Government DEWHA Projects 3002 and 3228.</t>
  </si>
  <si>
    <t>10.1175/JPO-D-15-0055.1</t>
  </si>
  <si>
    <t>DH3SD</t>
  </si>
  <si>
    <t>WOS:000372706000001</t>
  </si>
  <si>
    <t>Rocha, CB; Chereskin, TK; Gille, ST; Menemenlis, D</t>
  </si>
  <si>
    <t>Rocha, Cesar B.; Chereskin, Teresa K.; Gille, Sarah T.; Menemenlis, Dimitris</t>
  </si>
  <si>
    <t>Mesoscale to Submesoscale Wavenumber Spectra in Drake Passage</t>
  </si>
  <si>
    <t>Ship observations; Atm/Ocean Structure/ Phenomena; Eddies; Satellite observations; Observational techniques and algorithms; Oceanic mixed layer; Tides</t>
  </si>
  <si>
    <t>ANTARCTIC CIRCUMPOLAR CURRENT; GLOBAL OCEAN; SOUTHERN-OCEAN; TRANSPORT; ALTIMETRY; ENERGY; NOISE; MODEL; VARIABILITY; TURBULENCE</t>
  </si>
  <si>
    <t>This study discusses the upper-ocean (0-200 m) horizontal wavenumber spectra in the Drake Passage from 13 yr of shipboard ADCP measurements, altimeter data, and a high-resolution numerical simulation. At scales between 10 and 200 km, the ADCP kinetic energy spectra approximately follow a k(-3) power law. The observed flows are more energetic at the surface, but the shape of the kinetic energy spectra is independent of depth. These characteristics resemble predictions of isotropic interior quasigeostrophic turbulence. The ratio of across-track to along-track kinetic energy spectra, however, significantly departs from the expectation of isotropic interior quasigeostrophic turbulence. The inconsistency is dramatic at scales smaller than 40 km. A Helmholtz decomposition of the ADCP spectra and analyses of synthetic and numerical model data show that horizontally divergent, ageostrophic flows account for the discrepancy between the observed spectra and predictions of isotropic interior quasigeostrophic turbulence. In Drake Passage, ageostrophic motions appear to be dominated by inertia-gravity waves and account for about half of the near-surface kinetic energy at scales between 10 and 40 km. Model results indicate that ageostrophic flows imprint on the sea surface, accounting for about half of the sea surface height variance between 10 and 40 km.</t>
  </si>
  <si>
    <t>[Rocha, Cesar B.; Chereskin, Teresa K.; Gille, Sarah T.] Univ Calif San Diego, Scripps Inst Oceanog, 9500 Gilman Dr,MC 0213, La Jolla, CA 92093 USA; [Menemenlis, Dimitris] CALTECH, Jet Prop Lab, Div Earth Sci, Pasadena, CA USA</t>
  </si>
  <si>
    <t>Rocha, CB (corresponding author), Univ Calif San Diego, Scripps Inst Oceanog, 9500 Gilman Dr,MC 0213, La Jolla, CA 92093 USA.</t>
  </si>
  <si>
    <t>crocha@ucsd.edu</t>
  </si>
  <si>
    <t>Rocha, Cesar B/AAH-9720-2019; Menemenlis, Dimitris/G-8091-2017; Gille, Sarah T./B-3171-2012</t>
  </si>
  <si>
    <t>Rocha, Cesar B/0000-0003-4063-5468; Menemenlis, Dimitris/0000-0001-9940-8409; Chereskin, Teresa/0000-0003-1214-0978; Gille, Sarah/0000-0001-9144-4368</t>
  </si>
  <si>
    <t>NASA [NNX13AE44G]; SWOT [NNX13AE85G]; NSF [PLR-1341431, PLR-1141922, OCE 1357047]; Directorate For Geosciences; Office of Polar Programs (OPP) [1341431, 1141922] Funding Source: National Science Foundation; Division Of Ocean Sciences; Directorate For Geosciences [1357047] Funding Source: National Science Foundation; NASA [474906, NNX13AE44G] Funding Source: Federal RePORTER</t>
  </si>
  <si>
    <t>NASA(National Aeronautics &amp; Space Administration (NASA)); SWOT; NSF(National Science Foundation (NSF)); Directorate For Geosciences; Office of Polar Programs (OPP)(National Science Foundation (NSF)NSF - Directorate for Geosciences (GEO)); Division Of Ocean Sciences; Directorate For Geosciences(National Science Foundation (NSF)NSF - Directorate for Geosciences (GEO)); NASA(National Aeronautics &amp; Space Administration (NASA))</t>
  </si>
  <si>
    <t>We had stimulating discussions with William R. Young. Comments by Young, Jorn Callies, Greg Wagner, and two reviewers helped to improve the first draft. Discussions with Callies led to appendix C. This study was funded by the NASA Ocean Surface Topography Science Team (NNX13AE44G), SWOT Science Definition Team (NNX13AE85G), and the NSF Polar Programs (PLR-1341431; PLR-1141922). CBR was partially supported by NSF (OCE 1357047). We are grateful to the captain and crew of the ARSV Laurence M. Gould and to the Antarctic Support Contractor for their excellent technical and logistical support on the cruises. Sharon Escher, Eric Firing, and Jules Hummon have been invaluable for their contribution to the ADCP data collection, processing, and editing. Caroline Papadopoulos downloaded and archived the model data onto our servers, and Jinbo Wang helped with code for efficiently loading the model data in Python. We are also grateful to C. Hill and G. Forget at MIT; C. Henze and B. Nelson at NASA Advanced Supercomputing (NAS); A. Chaudhuri at Atmospheric and Environmental Research (AER); and the many other MITgcm developers, NAS computer scientists, and SGI engineers that made possible and available the high-resolution model output.</t>
  </si>
  <si>
    <t>10.1175/JPO-D-15-0087.1</t>
  </si>
  <si>
    <t>DH3SR</t>
  </si>
  <si>
    <t>WOS:000372707600004</t>
  </si>
  <si>
    <t>de Lavergne, C; Madec, G; Le Sommer, J; Nurser, AJG; Garabato, ACN</t>
  </si>
  <si>
    <t>de Lavergne, Casimir; Madec, Gurvan; Le Sommer, Julien; Nurser, A. J. George; Garabato, Alberto C. Naveira</t>
  </si>
  <si>
    <t>On the Consumption of Antarctic Bottom Water in the Abyssal Ocean</t>
  </si>
  <si>
    <t>Upwelling/downwelling; Internal waves; Abyssal circulation; Diapycnal mixing; Circulation/Dynamics</t>
  </si>
  <si>
    <t>GLOBAL OVERTURNING CIRCULATION; DEEP-OCEAN; SOUTHERN-OCEAN; INTERNAL WAVES; HEAT-FLOW; GENERAL-CIRCULATION; CONTINENTAL-SLOPE; ROUGH TOPOGRAPHY; THERMOHALINE CIRCULATION; SPATIAL VARIABILITY</t>
  </si>
  <si>
    <t>The abyssal ocean is primarily filled by cold, dense waters formed around Antarctica and collectively referred to as Antarctic Bottom Water (AABW). At steady state, AABW must be consumed in the ocean interior at the same rate it is produced, but how and where this consumption is achieved remains poorly understood. Here, estimates of abyssal water mass transformation by geothermal heating and parameterized internal wave-driven mixing are presented. This study uses maps of the energy input to internal waves by tidal and geostrophic motions interacting with topography combined with assumptions about the distribution of energy dissipation to evaluate dianeutral transports induced by breaking internal tides and lee waves. Geothermal transformation is assessed based on a map of geothermal heat fluxes. Under the hypotheses underlying the constructed climatologies of buoyancy fluxes, the authors calculate that locally dissipating internal tides and geothermal heating contribute, respectively, about 8 and 5 Sverdrups (Sv; 1 Sv equivalent to 10(6) m(3) s(-1)) of AABW consumption (upwelling), mostly north of 30 degrees S. In contrast, parameterized lee wave-driven mixing causes significant transformation only in the Southern Ocean, where it forms about 3 Sv of AABW, decreasing the mean density but enhancing the northward flow of abyssal waters. The possible role of remotely dissipating internal tides in complementing AABW consumption is explored based on idealized distributions of mixing energy. Depending mostly on the chosen vertical structure, such mixing could drive 1 to 28 Sv of additional AABW upwelling, highlighting the need to better constrain the spatial distribution of remote dissipation. Though they carry large uncertainties, these climatological transformation estimates shed light on the qualitative functioning and key unknowns of the diabatic overturning.</t>
  </si>
  <si>
    <t>[de Lavergne, Casimir; Madec, Gurvan] Univ Paris 06, Sorbonne Univ, CNRS IRD MNHN, LOCEAN Lab, Paris, France; [Madec, Gurvan; Nurser, A. J. George] Natl Oceanog Ctr, Southampton, Hants, England; [Le Sommer, Julien] Univ Grenoble Alpes, CNRS, Lab Glaciol &amp; Geophys Environm, Grenoble, France; [Garabato, Alberto C. Naveira] Univ Southampton, Natl Oceanog Ctr, Southampton, Hants, England</t>
  </si>
  <si>
    <t>Sorbonne Universite; Museum National d'Histoire Naturelle (MNHN); Institut de Recherche pour le Developpement (IRD); NERC National Oceanography Centre; Centre National de la Recherche Scientifique (CNRS); Communaute Universite Grenoble Alpes; Universite Grenoble Alpes (UGA); University of Southampton; NERC National Oceanography Centre</t>
  </si>
  <si>
    <t>de Lavergne, C (corresponding author), LOCEAN Lab, 4 Pl Jussieu, F-75005 Paris, France.</t>
  </si>
  <si>
    <t>casimir.delavergne@gmail.com</t>
  </si>
  <si>
    <t>Le Sommer, Julien/ABG-8801-2021; Garabato, Alberto Naveira/AAQ-1114-2020; madec, gurvan/E-7825-2010</t>
  </si>
  <si>
    <t>Le Sommer, Julien/0000-0002-6882-2938; Garabato, Alberto Naveira/0000-0001-6071-605X; madec, gurvan/0000-0002-6447-4198; de Lavergne, Casimir/0000-0001-9267-7390</t>
  </si>
  <si>
    <t>NERC [noc010010, NE/E007058/1, NE/E01366X/1] Funding Source: UKRI; Natural Environment Research Council [NE/E01366X/1, NE/E007058/1, noc010010] Funding Source: researchfish</t>
  </si>
  <si>
    <t>10.1175/JPO-D-14-0201.1</t>
  </si>
  <si>
    <t>DH3SY</t>
  </si>
  <si>
    <t>Green Accepted, Green Submitted, hybrid</t>
  </si>
  <si>
    <t>WOS:000372708300001</t>
  </si>
  <si>
    <t>The Impact of a Variable Mixing Efficiency on the Abyssal Overturning</t>
  </si>
  <si>
    <t>MID-ATLANTIC RIDGE; SOUTHERN-OCEAN; GLOBAL OCEAN; VERTICAL DIFFUSION; POTENTIAL-ENERGY; ROUGH TOPOGRAPHY; INTERNAL WAVES; CIRCULATION; TURBULENCE; WATER</t>
  </si>
  <si>
    <t>In studies of ocean mixing, it is generally assumed that small-scale turbulent overturns lose 15%-20% of their energy in eroding the background stratification. Accumulating evidence that this energy fraction, or mixing efficiency R-f, significantly varies depending on flow properties challenges this assumption, however. Here, the authors examine the implications of a varying mixing efficiency for ocean energetics and deep-water mass transformation. Combining current parameterizations of internal wave-driven mixing with a recent model expressing R-f as a function of a turbulence intensity parameter Re-b = epsilon(nu)/nu N-2, the ratio of dissipation epsilon(nu) to stratification N-2 and molecular viscosity nu, it is shown that accounting for reduced mixing efficiencies in regions of weak stratification or energetic turbulence (high Re-b) strongly limits the ability of breaking internal waves to supply oceanic potential energy and drive abyssal upwelling. Moving from a fixed R-f = 1/6 to a variable efficiency R-f(Re-b) causes Antarctic Bottom Water upwelling induced by locally dissipating internal tides and lee waves to fall from 9 to 4 Sverdrups (Sv; 1 Sv equivalent to 10(6) m(3) s(-1)) and the corresponding potential energy source to plunge from 97 to 44 GW. When adding the contribution of remotely dissipating internal tides under idealized distributions of energy dissipation, the total rate of Antarctic Bottom Water upwelling is reduced by about a factor of 2, reaching 5-15 Sv, compared to 10-33 Sv for a fixed efficiency. The results suggest that distributed mixing, overflow-related boundary processes, and geothermal heating are more effective in consuming abyssal waters than topographically enhanced mixing by breaking internal waves. These calculations also point to the importance of accurately constraining R-f (Re-b) and including the effect in ocean models.</t>
  </si>
  <si>
    <t>[de Lavergne, Casimir; Madec, Gurvan] Univ Paris 06, Sorbonne Univ, CNRS, LOCEAN Lab,IRD,MNHN, Paris, France; [Madec, Gurvan; Nurser, A. J. George] Natl Oceanog Ctr, Southampton, Hants, England; [Le Sommer, Julien] Univ Grenoble Alpes, Lab Glaciol &amp; Geophys Environm, CNRS, Grenoble, France; [Garabato, Alberto C. Naveira] Univ Southampton, Natl Oceanog Ctr, Southampton, Hants, England</t>
  </si>
  <si>
    <t>Sorbonne Universite; Museum National d'Histoire Naturelle (MNHN); Institut de Recherche pour le Developpement (IRD); Centre National de la Recherche Scientifique (CNRS); NERC National Oceanography Centre; Communaute Universite Grenoble Alpes; Universite Grenoble Alpes (UGA); Centre National de la Recherche Scientifique (CNRS); University of Southampton; NERC National Oceanography Centre</t>
  </si>
  <si>
    <t>Garabato, Alberto Naveira/AAQ-1114-2020; madec, gurvan/E-7825-2010; Le Sommer, Julien/ABG-8801-2021</t>
  </si>
  <si>
    <t>Garabato, Alberto Naveira/0000-0001-6071-605X; madec, gurvan/0000-0002-6447-4198; Le Sommer, Julien/0000-0002-6882-2938; de Lavergne, Casimir/0000-0001-9267-7390</t>
  </si>
  <si>
    <t>European Union [282672]; Natural Environment Research Council [NE/E007058/1, noc010010] Funding Source: researchfish; NERC [NE/E007058/1, noc010010] Funding Source: UKRI</t>
  </si>
  <si>
    <t>We are grateful to F. Roquet and A. Melet for sharing the datasets of the energy flux into internal tides of Nycander ( 2005) and Melet et al. ( 2013b). We also thank R. Lumpkin for providing data from his inverse solution and J.-B. Sallee for helpful comments on the manuscript. Suggestions from two anonymous reviewers helped to substantially improve the manuscript. This work was undertaken as part of the EMBRACE project, funded by the European Union's Seventh Framework Programme under Grant Agreement 282672.</t>
  </si>
  <si>
    <t>10.1175/JPO-D-14-0259.1</t>
  </si>
  <si>
    <t>DH3TG</t>
  </si>
  <si>
    <t>WOS:000372709100001</t>
  </si>
  <si>
    <t>Morley, SA; Bates, AE; Lamare, M; Richard, J; Nguyen, KD; Brown, J; Peck, LS</t>
  </si>
  <si>
    <t>Morley, S. A.; Bates, A. E.; Lamare, M.; Richard, J.; Nguyen, K. D.; Brown, J.; Peck, L. S.</t>
  </si>
  <si>
    <t>Rates of warming and the global sensitivity of shallow water marine invertebrates to elevated temperature</t>
  </si>
  <si>
    <t>climate change; assemblage; vulnerability; warming; rates of warming; Ascension Island; New Zealand; McMurdo Sound; Antarctica</t>
  </si>
  <si>
    <t>THERMAL LIMITS DEPEND; ECOLOGICAL RELEVANCE; TOLERANCE LIMITS; HEAT TOLERANCE; CLIMATE-CHANGE; ACCLIMATION; PHYSIOLOGY; LATITUDE; CAPACITY; IMPACTS</t>
  </si>
  <si>
    <t>Assessing the sensitivity of ectotherms to variability in their environment is a key challenge, especially in the face of rapid warming of the Earth's surface. Comparing the upper temperature limits of species from different regions, at different rates of warming, has recently been developed as a method to estimate the long term sensitivity of shallow marine fauna. This paper presents the first preliminary data from four tropical Ascension Island, five temperate New Zealand and six Antarctic McMurdo Sound species. The slopes and intercepts of these three assemblages fitted within the overall pattern for previously measured assemblages from high temperature tolerance in tropical fauna and a shallow slope, to low temperature tolerance and a steep slope in Antarctic fauna. Despite the tropical oceanic Ascension Island being subject to upwelling events, the fit of the intercept and slope within the overall assemblage pattern suggests that the upwelling is sufficiently predictable for the fauna to have evolved the plasticity to respond. This contrasts with previously analysed species from the Peruvian upwelling region, which had a steeper slope than other temperate fauna. The speed and capacity of faunal assemblages to acclimatize their physiology is likely to determine the shape of the rates of warming relationship, and will be a key mechanism underpinning vulnerability to climate warming.</t>
  </si>
  <si>
    <t>[Morley, S. A.; Peck, L. S.] British Antarctic Survey, High Cross,Madingley Rd, Cambridge CB3 0ET, Cambs, England; [Bates, A. E.] Univ Southampton, Natl Oceanog Ctr, Waterfront Campus, Southampton SO14 3ZH, Hants, England; [Lamare, M.] Univ Otago, Dept Marine Sci, Dunedin, New Zealand; [Richard, J.] Univ Bretagne Occidentale, Inst Univ Europeen Mer, Lab Sci Environm Marin, CNRS,UMR 6539, Technopole Brest Iroise,Pl Copernic, F-29280 Plouzane, France; [Nguyen, K. D.] Natl Univ Singapore, Trop Marine Sci Inst, 14 Kent Ridge Rd, Singapore 119223, Singapore; [Brown, J.] St Helena Govt, Environm &amp; Nat Resources Directorate, Environm Management Div, Essex House, Jamestown STHL 1ZZ, St Helena, England</t>
  </si>
  <si>
    <t>UK Research &amp; Innovation (UKRI); Natural Environment Research Council (NERC); NERC British Antarctic Survey; University of Southampton; NERC National Oceanography Centre; University of Otago; Centre National de la Recherche Scientifique (CNRS); CNRS - Institute of Ecology &amp; Environment (INEE); Universite de Bretagne Occidentale; Institut Universitaire Europeen de la Mer (IUEM); Ifremer; Institut de Recherche pour le Developpement (IRD); National University of Singapore</t>
  </si>
  <si>
    <t>Morley, SA (corresponding author), British Antarctic Survey, High Cross,Madingley Rd, Cambridge CB3 0ET, Cambs, England.</t>
  </si>
  <si>
    <t>smor@bas.ac.uk</t>
  </si>
  <si>
    <t>Bates, Amanda E./ABD-6874-2021</t>
  </si>
  <si>
    <t>Bates, Amanda E./0000-0002-0198-4537</t>
  </si>
  <si>
    <t>NERC British Antarctic Survey Polar Science for Planet Earth; University of Otago Research Committee, Antarctica New Zealand [K-068]; TransAntarctic Association [TAA05/08]; Natural Science and Engineering Research Council of Canada post-doctoral fellowship; Darwin Initiative [EIDCF012]; NERC [dml011000, NE/J007501/1, NE/G000018/1] Funding Source: UKRI; Natural Environment Research Council [NE/J007501/1, NE/G000018/1, dml011000] Funding Source: researchfish</t>
  </si>
  <si>
    <t>NERC British Antarctic Survey Polar Science for Planet Earth; University of Otago Research Committee, Antarctica New Zealand; TransAntarctic Association; Natural Science and Engineering Research Council of Canada post-doctoral fellowship(Natural Sciences and Engineering Research Council of Canada (NSERC)); Darwin Initiative; NERC(UK Research &amp; Innovation (UKRI)Natural Environment Research Council (NERC)); Natural Environment Research Council(UK Research &amp; Innovation (UKRI)Natural Environment Research Council (NERC))</t>
  </si>
  <si>
    <t>This research was funded by NERC British Antarctic Survey Polar Science for Planet Earth funding (Adaptations and Physiology work package), the University of Otago Research Committee, Antarctica New Zealand (event no. K-068), the TransAntarctic Association (TAA05/08). A.E.B. was funded by a Natural Science and Engineering Research Council of Canada post-doctoral fellowship. The funding for work in Ascension came from a grant to Dr Paul Brickle from the Darwin Initiative (EIDCF012).</t>
  </si>
  <si>
    <t>10.1017/S0025315414000307</t>
  </si>
  <si>
    <t>DF2FS</t>
  </si>
  <si>
    <t>WOS:000371158300014</t>
  </si>
  <si>
    <t>Kim, HD; Im, YK; Choi, JI; Han, SJ</t>
  </si>
  <si>
    <t>Kim, Hyun-do; Im, Young-kum; Choi, Jong-il; Han, Se Jong</t>
  </si>
  <si>
    <t>Optimization of Physical Factor for amylase Production by Arthrobacter sp. by Response Surface Methodology</t>
  </si>
  <si>
    <t>KOREAN CHEMICAL ENGINEERING RESEARCH</t>
  </si>
  <si>
    <t>Korean</t>
  </si>
  <si>
    <t>Antarctic microorganism; Amylase; Response surface methodology</t>
  </si>
  <si>
    <t>In this study, the physical factors for amylase production by Arthrobacter sp. were optimized using response surface methodology(RSM). Antarctic microorganism Arthrobacter sp. PAMC 27388 was obtained from the Polar and Alpine Microbial Collection(PAMC) at the Korea Polar Research Institute. This microorganism was confirmed for the excretion of amylase with Lugol's solution. The amylase activity was after flask culture was as low as 1.66 mU/L before optimization. The physical factors including the inoculum volume, the initial culture pH, and the medium volume were chosen to be optimized for the enhanced amylase production. The calculated results using RSM indicate that the optimal physical factors were 2.49 mL inoculum volume, 6.85 pH and 42.87 mL medium volume with a predicted amylase production of 2.84 mU/L. The experimentally obtained amylase activity was 2.50 mU/L, which was a 150% increase compared to the level before optimization.</t>
  </si>
  <si>
    <t>[Kim, Hyun-do; Im, Young-kum; Choi, Jong-il] Chonnam Natl Univ, Grad Sch Bioenergy &amp; Biomat, Interdisciplinary Program, Dept Biotechnol &amp; Bioengn, 77 Yongbong Ro, Gwangju 61186, South Korea; [Han, Se Jong] Korea Polar Res Inst, Div Life Sci, 26 Songdomirae Ro, Incheon 21990, South Korea</t>
  </si>
  <si>
    <t>Chonnam National University; Korea Polar Research Institute (KOPRI)</t>
  </si>
  <si>
    <t>Choi, JI (corresponding author), Chonnam Natl Univ, Grad Sch Bioenergy &amp; Biomat, Interdisciplinary Program, Dept Biotechnol &amp; Bioengn, 77 Yongbong Ro, Gwangju 61186, South Korea.</t>
  </si>
  <si>
    <t>choiji01@jnu.ac.kr</t>
  </si>
  <si>
    <t>Choi, Jong-Il/P-7476-2018</t>
  </si>
  <si>
    <t>HAN, Se Jong/0000-0001-9576-2179</t>
  </si>
  <si>
    <t>KOREAN INSTITUTE CHEMICAL ENGINEERS</t>
  </si>
  <si>
    <t>F.5, 119, ANAM-RO, SEONGBUK-GU, SEOUL 136-075, SOUTH KOREA</t>
  </si>
  <si>
    <t>0304-128X</t>
  </si>
  <si>
    <t>2233-9558</t>
  </si>
  <si>
    <t>KOREAN CHEM ENG RES</t>
  </si>
  <si>
    <t>Korean Chem. Eng. Res.</t>
  </si>
  <si>
    <t>10.9713/kcer.2016.54.1.140</t>
  </si>
  <si>
    <t>Engineering, Chemical</t>
  </si>
  <si>
    <t>VD7FH</t>
  </si>
  <si>
    <t>WOS:000437569800022</t>
  </si>
  <si>
    <t>Riley, TR; Curtis, ML; Flowerdew, M; Whitehouse, MJ</t>
  </si>
  <si>
    <t>Riley, T. R.; Curtis, M. L.; Flowerdew, Mj.; Whitehouse, M. J.</t>
  </si>
  <si>
    <t>Evolution of the Antarctic Peninsula lithosphere: Evidence from Mesozoic mafic rocks</t>
  </si>
  <si>
    <t>Basalt; Continental margin; Chon Aike Province; Gondwana</t>
  </si>
  <si>
    <t>LARGE IGNEOUS PROVINCE; DRONNING MAUD LAND; PALMER-LAND; SILICIC VOLCANISM; ELLSWORTH LAND; TRACE-ELEMENT; FLOOD BASALTS; LATADY BASIN; GRAHAM LAND; AGE</t>
  </si>
  <si>
    <t>New geochronology from a thick (&gt;800 m) basaltic succession along the eastern margin of the Antarctic Peninsula confirm a Middle Jurassic age (178 +/- 1 Ma). This marginally postdates the adjacent Ferrar large igneous province of the Transantarctic Mountains and predates the extensive silicic volcanism of the Mapple Formation (similar to 170 Ma) of the Antarctic Peninsula. The geochemistry of other rare, but broadly contemporaneous, basaltic successions of the Antarctic Peninsula, along with Cretaceous-age mafic dykes, are used to interpret the influences of lithospheric and asthenospheric mantle sources during the Mesozoic. Two significant high magmatic addition rate events occurred along the Antarctic Peninsula continental margin at 170 and 110 Ma and can be correlated to events along the South American Cordillera. These 'flare-up' events are characterised by extensive silicic (mostly ignimbrite) volcanism of the Chon Aike Province (V2 event: 170 Ma) and significant granitoid batholith emplacement of the Lassiter Coast intrusive suite (110 Ma). The 170 Ma event is exposed across large parts of the northern Antarctic Peninsula, whilst the 110 Ma event is more widespread across the southern Antarctic Peninsula. The basaltic volcanism described here precedes the 'flare-up' event at 170 Ma and has geochemical characteristics that indicate a thickened lithosphere prevailed. A major dyke swarm that followed the 170 Ma event indicates that extensive lithospheric thinning had occurred, which allowed the ascent of depleted mafic melts. The thinning was the direct result of widespread lower crustal/upper lithospheric melting associated with the silicic volcanism. In the southern Antarctic Peninsula, the lithosphere remained over thickened until the emplacement of the major batholiths of the Lassiter Coast intrusive suite at 110 Ma and was then immediately followed by the emplacement of more asthenosphere-like melts indicating extensive lithospheric thinning. (C) 2015 Elsevier B.V. All rights reserved.</t>
  </si>
  <si>
    <t>[Riley, T. R.; Curtis, M. L.; Flowerdew, Mj.] British Antarctic Survey, Madingley Rd, Cambridge CB3 0ET, England; [Curtis, M. L.; Flowerdew, Mj.] CASP, 181A Huntingdon Rd, Cambridge CB3 0DH, England; [Whitehouse, M. J.] Swedish Museum Nat Hist, Box 50007, SE-10405 Stockholm, Sweden</t>
  </si>
  <si>
    <t>UK Research &amp; Innovation (UKRI); Natural Environment Research Council (NERC); NERC British Antarctic Survey; University of Cambridge; Swedish Museum of Natural History</t>
  </si>
  <si>
    <t>Riley, TR (corresponding author), British Antarctic Survey, Madingley Rd, Cambridge CB3 0ET, England.</t>
  </si>
  <si>
    <t>trr@bas.ac.uk</t>
  </si>
  <si>
    <t>Curtis, Mike/HKV-6176-2023; Whitehouse, Martin/E-1425-2013</t>
  </si>
  <si>
    <t>Riley, Teal/0000-0002-3333-5021; Flowerdew, Michael/0000-0002-9710-2593; Whitehouse, Martin/0000-0003-2227-577X</t>
  </si>
  <si>
    <t>Natural Environmental Research Council; NERC [bas0100029] Funding Source: UKRI; Natural Environment Research Council [bas0100029] Funding Source: researchfish</t>
  </si>
  <si>
    <t>Natural Environmental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</si>
  <si>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This study is part of the British Antarctic Survey Polar Science for Planet Earth programme, funded by the Natural Environmental Research Council. This paper has benefited considerably from the thoughtful reviews of Andrew Kerr, Andrea Marzoli and an anonymous reviewer. Tom Watson, Ian Rudkin and the air operations staff at Rothera Base are thanked for their field support. Nick Marsh at the University of Leicester performed the XRF analyses and Chris Ottley at the University of Durham performed the ICP-MS analyses. Kerstin Linden and Lev Ilyinsky are thanked for their assistance at the NORDSIM facility. This is NORDSIM contribution number 432.</t>
  </si>
  <si>
    <t>10.1016/j.lithos.2015.11.037</t>
  </si>
  <si>
    <t>DG3BS</t>
  </si>
  <si>
    <t>WOS:000371945100005</t>
  </si>
  <si>
    <t>Grémillet, D; Péron, C; Kato, A; Amélineau, F; Ropert-Coudert, Y; Ryan, PG; Pichegru, L</t>
  </si>
  <si>
    <t>Gremillet, David; Peron, Clara; Kato, Akiko; Amelineau, Francoise; Ropert-Coudert, Yan; Ryan, Peter G.; Pichegru, Lorien</t>
  </si>
  <si>
    <t>Starving seabirds: unprofitable foraging and its fitness consequences in Cape gannets competing with fisheries in the Benguela upwelling ecosystem</t>
  </si>
  <si>
    <t>SOUTH-AFRICAN SARDINE; BLACK-LEGGED KITTIWAKES; PURSE-SEINE FISHERIES; FREE-LIVING ANIMALS; MARINE ECOSYSTEMS; NORTH-SEA; ENVIRONMENTAL-CHANGE; ENERGY-EXPENDITURE; FOOD-REQUIREMENTS; GREAT CORMORANTS</t>
  </si>
  <si>
    <t>Fisheries are often accused of starving vulnerable seabirds, yet evidence for this claim is scarce. Foraging energetics may provide efficient, short-term indicators of the fitness status of seabirds competing with fisheries. We used this approach in Cape gannets (Morus capensis) from Malgas Island, South Africa, which feed primarily on small pelagic fish in the southern Benguela upwelling region, thereby competing with purse-seine fisheries. During their 2011-2014 breeding seasons, we determined body condition of breeding adult Cape gannets and measured their chick growth rates. In addition to these conventional fitness indices, we assessed the daily energy expenditure of breeding adults using a high-resolution time-energy budget derived from GPS-tracking and accelerometry data. For these same individuals, we also determined prey intake rates using stomach temperature recordings. We found that adult body condition and chick growth rates declined significantly during the study period. Crucially, most birds (73 %) studied with electronic recorders spent more energy than they gained through foraging, and 80-95 % of their feeding dives were unsuccessful. Our results therefore point to unprofitable foraging in Cape gannets, with a longer-term fitness cost in terms of adult body condition and reproductive performance that corresponds to a local population decline. Based on this evidence, we advocate a revision of regional fishing quotas for small pelagic fish and discuss the possibility of an experimental cessation of purse-seine fishing activities off the west coast of South Africa. These measures are needed for the ecological and socio-economical persistence of the broader southern Benguela upwelling ecosystem.</t>
  </si>
  <si>
    <t>[Gremillet, David; Amelineau, Francoise] Univ Montpellier 3, Univ Montpellier, EPHE, Ctr Ecol Fonct &amp; Evolut,CNRS,UMR 5175, F-34032 Montpellier, France; [Gremillet, David; Ryan, Peter G.] Univ Cape Town, DST NRF Ctr Excellence, Percy FitzPatrick Inst, ZA-7701 Rondebosch, South Africa; [Peron, Clara] Univ Tasmania, Inst Marine &amp; Antarctic Studies, 203 Channel Highway, Kingston, Tas 7050, Australia; [Peron, Clara] Australian Antarctic Div, 203 Channel Highway, Kingston, Tas 7050, Australia; [Kato, Akiko; Ropert-Coudert, Yan] CEBC, UMR7372, F-79360 Villiers En Bois, France; [Kato, Akiko] CNRS, IPHC, UMR7178, F-67037 Strasbourg, France; [Pichegru, Lorien] Nelson Mandela Metropolitan Univ, Coastal Marine Res Inst, Port Elizabeth, South Africa</t>
  </si>
  <si>
    <t>Universite PSL; Ecole Pratique des Hautes Etudes (EPHE); Institut Agro; Montpellier SupAgro; CIRAD; Centre National de la Recherche Scientifique (CNRS); Institut de Recherche pour le Developpement (IRD); Universite Paul-Valery; Universite de Montpellier; CNRS - Institute of Ecology &amp; Environment (INEE); University of Cape Town; National Research Foundation - South Africa; University of Tasmania; Australian Antarctic Division; Centre National de la Recherche Scientifique (CNRS); CNRS - Institute of Ecology &amp; Environment (INEE); Universites de Strasbourg Etablissements Associes; Universite de Strasbourg; Centre National de la Recherche Scientifique (CNRS); CNRS - National Institute of Nuclear and Particle Physics (IN2P3); Nelson Mandela University</t>
  </si>
  <si>
    <t>Grémillet, D (corresponding author), Univ Montpellier 3, Univ Montpellier, EPHE, Ctr Ecol Fonct &amp; Evolut,CNRS,UMR 5175, F-34032 Montpellier, France.;Grémillet, D (corresponding author), Univ Cape Town, DST NRF Ctr Excellence, Percy FitzPatrick Inst, ZA-7701 Rondebosch, South Africa.</t>
  </si>
  <si>
    <t>david.gremillet@cefe.cnrs.fr</t>
  </si>
  <si>
    <t>Amelineau, Francoise/AAD-4833-2019; PERON, Clara/E-9840-2015; Kato, Akiko/W-2447-2019; Gremillet, David/W-1946-2018</t>
  </si>
  <si>
    <t>Amelineau, Francoise/0000-0001-9723-5858; Pichegru, Lorien/0000-0003-3815-9845; Gremillet, David/0000-0002-7711-9398; Kato, Akiko/0000-0002-8947-3634</t>
  </si>
  <si>
    <t>FitzPatrick Institute; DST-NRF Centre of Excellence at the University of Cape Town (South Africa); Centre National de la Recherche Scientifique (CEFE-CNRS, UMR Montpellier, France)</t>
  </si>
  <si>
    <t>This study was funded by the FitzPatrick Institute, DST-NRF Centre of Excellence at the University of Cape Town (South Africa) and the Centre National de la Recherche Scientifique (CEFE-CNRS, UMR5175 Montpellier, France). We warmly thank Pierre Nel and SANParks for accommodation and logistical support. We are also particularly grateful to Lea Cohen, Itai Mukutyu, Emilie Tew Kai, Timothee Cook, Bruce Dyer, Rabi'a Ryklief, Leshia Upfold and Plaxedes Vimbai-Rukuni for their help in the field, to Jonathan Green for essential input on seabird energetics and to Carl van der Lingen for comments upon an initial draft version.</t>
  </si>
  <si>
    <t>10.1007/s00227-015-2798-2</t>
  </si>
  <si>
    <t>WOS:000370052700014</t>
  </si>
  <si>
    <t>Tremblay, N; Abele, D</t>
  </si>
  <si>
    <t>Tremblay, Nelly; Abele, Doris</t>
  </si>
  <si>
    <t>Response of three krill species to hypoxia and warming: an experimental approach to oxygen minimum zones expansion in coastal ecosystems</t>
  </si>
  <si>
    <t>MARINE ECOLOGY-AN EVOLUTIONARY PERSPECTIVE</t>
  </si>
  <si>
    <t>Euphausia mucronata; Euphausia pacifica; Euphausia superba; Humboldt Current System; Northern California Current System; oxidative stress; oxygen consumption; South Georgia</t>
  </si>
  <si>
    <t>DIEL VERTICAL MIGRATION; OXIDATIVE STRESS; CALIFORNIA CURRENT; NORTHERN; POLAR; FISH; OCEANOGRAPHY; CONSEQUENCES; ZOOPLANKTON; TEMPERATURE</t>
  </si>
  <si>
    <t>To understand the adaptation of euphausiid (krill) species to oxygen minimum zones (OMZs), respiratory response and stress experiments combining hypoxia-reoxygenation exposure with warming were conducted. Experimental krill species were obtained from the Antarctic (South Georgia area), the Humboldt Current System (HCS, Chilean coast) and the Northern California Current System (NCCS, Oregon). Euphausia mucronata from the HCS showed oxyconforming pO(2)-dependent respiration below 80% air saturation (18kPa). Normoxic subsurface oxygenation in winter posed a high oxygen stress' for this species. The NCCS krill, Euphausia pacifica, and the Antarctic krill, Euphausia superba, maintained respiration rates constant down to low critical pO(2) values of 6kPa (30% air saturation) and 11kPa (55% air saturation), respectively. Antarctic krill had low antioxidant enzyme activities, but high concentrations of the molecular antioxidant glutathione (GSH) and was not lethally affected by 6h exposure to moderate hypoxia. The temperate krill species (E.pacifica) had higher superoxide dismutase (SOD) values in winter than in summer, which relates to a higher winter metabolic rate. In all species, antioxidant enzyme activities remained constant during hypoxic exposure at the typical temperature for their habitat. Warming by 7 degrees C above habitat temperature in summer increased SOD activities and GSH levels in E.mucronata (HCS), but no oxidative damage occurred. In winter, when the NCCS is well mixed and the OMZ is deeper, +4 degrees C of warming combined with hypoxia represents a lethal condition for E.pacifica. In summer, when the OMZ expands upwards (100m subsurface), antioxidant defences counteracted hypoxia and reoxygenation effects in E.pacifica, but only at mildly elevated temperature (+2 degrees C). In this season, experimental warming by +4 degrees C reduced antioxidant activities and the combination of warming with hypoxia again caused mortality of exposed specimens. We conclude that a climate change scenario combining warming and hypoxia represents a serious threat to E.pacifica and, as a consequence, NCCS food webs.</t>
  </si>
  <si>
    <t>[Tremblay, Nelly; Abele, Doris] Helmholtz Ctr Polar &amp; Marine Res, Alfred Wegener Inst, Funct Ecol, Handelshafen 12, D-27570 Bremerhaven, Germany</t>
  </si>
  <si>
    <t>Abele, D (corresponding author), Helmholtz Ctr Polar &amp; Marine Res, Alfred Wegener Inst, Funct Ecol, Handelshafen 12, D-27570 Bremerhaven, Germany.</t>
  </si>
  <si>
    <t>doris.abele@awi.de</t>
  </si>
  <si>
    <t>, Nelly/K-2552-2014</t>
  </si>
  <si>
    <t>, Nelly/0000-0002-8221-4680; Abele, Doris/0000-0002-5766-5017</t>
  </si>
  <si>
    <t>Ecosystems programme at the British Antarctic Survey - Natural Environment Research Council [JR260]; Alfred Wegener Institute (AWI); Helmholtz Centre for Polar and Marine Research; Fonds de recherche sur la Nature et les Technologies du Quebec (Canada)</t>
  </si>
  <si>
    <t>Ecosystems programme at the British Antarctic Survey - Natural Environment Research Council; Alfred Wegener Institute (AWI); Helmholtz Centre for Polar and Marine Research; Fonds de recherche sur la Nature et les Technologies du Quebec (Canada)</t>
  </si>
  <si>
    <t>This study would not have been possible without the support of colleagues from several institutions. We thank the crew of the R/V Kay-Kay, R/V Elahka and RRS James Clark Ross (JR260, supported by the Ecosystems programme at the British Antarctic Survey, funded by the Natural Environment Research Council) as well as the graduate students, technicians and researchers at the Pelagic and Mesozoo-plankton Laboratory from the Centro de Investigacion Oceanografica del Pacifico Sur-Oriental de la Universidad de Concepcion, the Hatfield Marine Science Center of Oregon State University and the British Antarctic Survey for recording environmental information, and support in collecting zooplankton samples. In particular, we thank Ruben Escribano, Pamela Hidalgo, Ramiro Riquelme-Bugueno, Jocelyn Silva Aburto, C. Tracy Shaw, William T. Peterson, Jay Peterson, Sophie Fielding and Geraint A. Tarling. The Alfred Wegener Institute (AWI), Helmholtz Centre for Polar and Marine Research, supported this research (1.PACES 2.2: Integrating evolutionary ecology into coastal and shelf processes). We thank Karim Zanaty, Imke Ludeke and especially Stefanie Meyer for their excellence and technical help in the laboratory of AWI. We also thank Kai-Uwe Ludwichowski from the ecological chemistry group of AWI for his advice on the HPLC analysis. We thank the editor and two anonymous reviewers for their constructive comments, which helped us to improve the manuscript. N.T. had a doctoral scholarship from the Fonds de recherche sur la Nature et les Technologies du Quebec (Canada).</t>
  </si>
  <si>
    <t>0173-9565</t>
  </si>
  <si>
    <t>1439-0485</t>
  </si>
  <si>
    <t>MAR ECOL-EVOL PERSP</t>
  </si>
  <si>
    <t>Mar. Ecol.-Evol. Persp.</t>
  </si>
  <si>
    <t>10.1111/maec.12258</t>
  </si>
  <si>
    <t>DD7VT</t>
  </si>
  <si>
    <t>WOS:000370133500013</t>
  </si>
  <si>
    <t>Newsham, KK; Hopkins, DW; Carvalhais, LC; Fretwell, PT; Rushton, SP; O'Donnell, AG; Dennis, PG</t>
  </si>
  <si>
    <t>Newsham, Kevin K.; Hopkins, David W.; Carvalhais, Lilia C.; Fretwell, Peter T.; Rushton, Steven P.; O'Donnell, Anthony G.; Dennis, Paul G.</t>
  </si>
  <si>
    <t>Relationship between soil fungal diversity and temperature in the maritime Antarctic</t>
  </si>
  <si>
    <t>COMMUNITY; CLIMATE; DECOMPOSITION; RESPONSES; PLANTS</t>
  </si>
  <si>
    <t>Soil fungi have pivotal ecological roles as decomposers, pathogens and symbionts(1,2). Alterations to their diversity arising from climate change could have substantial effects on ecosystems, particularly those undergoing rapid warming that contain few species(3,4). Here, we report a study using pyrosequencing to assess fungal diversity in 29 soils sampled from a 1,650 km climatic gradient through the maritime Antarctic, the most rapidly warming region in the Southern Hemisphere(5,6). Using a 'space-for-time' substitution approach, we show that soil fungal diversity is higher in warmer habitats, with increases of 4.7 (observed) and 11.3 (predicted) fungal taxa per degree Celsius rise in surface temperature along the transect. Among 22 predictor variables, air temperature was the strongest and most consistent predictor of diversity. We propose that the current rapid warming in the maritime Antarctic (0.34 degrees C per decade(6)) will facilitate the colonization of soil by a wider diversity of fungi than at present, with data from regression models suggesting 20-27% increases in fungal species richness in the southern most soils by 2100. Such increases in diversity, which provide a sentinel for changes at lower latitudes, are likely to have substantial effects on nutrient cycling and, ultimately, productivity in the species-poor soils of maritime Antarctica.</t>
  </si>
  <si>
    <t>[Newsham, Kevin K.; Fretwell, Peter T.] British Antarctic Survey, NERC, Madingley Rd, Cambridge CB3 0ET, England; [Newsham, Kevin K.] Univ Ctr Svalbard, Dept Arctic Biol, POB 156, N-9171 Longyearbyen, Svalbard, Norway; [Hopkins, David W.] Royal Agr Univ, Cirencester GL7 6JS, Glos, England; [Carvalhais, Lilia C.; Dennis, Paul G.] Univ Queensland, Sch Agr &amp; Food Sci, Brisbane, Qld 4072, Australia; [Rushton, Steven P.] Newcastle Univ, Sch Biol, Newcastle Upon Tyne NE1 7RU, Tyne &amp; Wear, England; [O'Donnell, Anthony G.] Univ Western Australia, 35 Stirling Highway, Crawley, WA 6009, Australia</t>
  </si>
  <si>
    <t>UK Research &amp; Innovation (UKRI); Natural Environment Research Council (NERC); NERC British Antarctic Survey; University Centre Svalbard (UNIS); University of Queensland; Newcastle University - UK; University of Western Australia</t>
  </si>
  <si>
    <t>Dennis, PG (corresponding author), Univ Queensland, Sch Agr &amp; Food Sci, Brisbane, Qld 4072, Australia.</t>
  </si>
  <si>
    <t>p.dennis@uq.edu.au</t>
  </si>
  <si>
    <t>Carvalhais, Lilia C/JSL-5799-2023; Dennis, Paul G/H-2141-2017</t>
  </si>
  <si>
    <t>Carvalhais, Lilia C/0000-0001-9882-526X; Hopkins, David/0000-0003-0953-8643; O'Donnell, Tony/0000-0003-2001-4533</t>
  </si>
  <si>
    <t>UK Natural Environment Research Council Antarctic Funding Initiative grant [NE/D00893X/1, AFI 7/05]; University of Queensland Early Career Researcher Award; Natural Environment Research Council [NE/D00893X/1, bas010011, bas0100036, NBAF010002] Funding Source: researchfish; NERC [NE/D00893X/1, bas0100036, bas010011, NBAF010002] Funding Source: UKRI</t>
  </si>
  <si>
    <t>UK Natural Environment Research Council Antarctic Funding Initiative grant; University of Queensland Early Career Researcher Award; Natural Environment Research Council(UK Research &amp; Innovation (UKRI)Natural Environment Research Council (NERC)); NERC(UK Research &amp; Innovation (UKRI)Natural Environment Research Council (NERC))</t>
  </si>
  <si>
    <t>Logistical support was provided by the British Antarctic Survey and the Royal Navy (HMS Endurance). V. A. Laudicina, V. Ord, P. Coates, M. Dunn, P. Torode, M. Jobson, A. Clark, J. Wake, D. Hall, G. Marshall, M. Biszczuk and K. Bazeley provided technical support. This work was funded by a UK Natural Environment Research Council Antarctic Funding Initiative grant (NE/D00893X/1; AFI 7/05) led by D.W.H. and a University of Queensland Early Career Researcher Award to P.G.D. All are gratefully acknowledged.</t>
  </si>
  <si>
    <t>10.1038/NCLIMATE2806</t>
  </si>
  <si>
    <t>DE9NB</t>
  </si>
  <si>
    <t>WOS:000370963400020</t>
  </si>
  <si>
    <t>Boyd, PW; Dillingham, PW; McGraw, CM; Armstrong, EA; Cornwall, CE; Feng, YY; Hurd, CL; Gault-Ringold, M; Roleda, MY; Timmins-Schiffman, E; Nunn, BL</t>
  </si>
  <si>
    <t>Boyd, P. W.; Dillingham, P. W.; McGraw, C. M.; Armstrong, E. A.; Cornwall, C. E.; Feng, Y. -y.; Hurd, C. L.; Gault-Ringold, M.; Roleda, M. Y.; Timmins-Schiffman, E.; Nunn, B. L.</t>
  </si>
  <si>
    <t>Physiological responses of a Southern Ocean diatom to complex future ocean conditions</t>
  </si>
  <si>
    <t>MARINE-PHYTOPLANKTON; IRON LIMITATION; ANTARCTIC PHYTOPLANKTON; ELEMENTAL COMPOSITION; CARBON ACQUISITION; PSEUDO-NITZSCHIA; ELEVATED CO2; TEMPERATURE; MODEL; GROWTH</t>
  </si>
  <si>
    <t>A changing climate is altering many ocean properties that consequently will modify marine productivity. Previous phytoplankton manipulation studies have focused on individual or subsets of these properties. Here, we investigate the cumulative effects of multi-faceted change on a subantarctic diatom Pseudonitzschia multiseries by concurrently manipulating five stressors (light/nutrients/CO2/temperature/iron) that primarily control its physiology, and explore underlying reasons for altered physiological performance. Climate change enhances diatom growth mainly owing to warming and iron enrichment, and both properties decrease cellular nutrient quotas, partially offsetting any effects of decreased nutrient supply by 2100. Physiological diagnostics and comparative proteomics demonstrate the joint importance of individual and interactive effects of temperature and iron, and reveal biased future predictions from experimental outcomes when only a subset of multi-stressors is considered. Our findings for subantarctic waters illustrate how composite regional studies are needed to provide accurate global projections of future shifts in productivity and distinguish underlying species-specific physiological mechanisms.</t>
  </si>
  <si>
    <t>[Boyd, P. W.; Cornwall, C. E.; Hurd, C. L.] Univ Tasmania, Inst Marine &amp; Antarctic Studies, Hobart, Tas 7005, Australia; [Boyd, P. W.] Univ Tasmania, Antarctic Climate &amp; Ecosyst Cooperat Res Ctr, Private Bag 80, Hobart, Tas 7001, Australia; [Dillingham, P. W.; McGraw, C. M.] Univ New England, Sch Sci &amp; Technol, Armidale, NSW 2351, Australia; [McGraw, C. M.] Clark Univ, Gustaf H Carlson Sch Chem, Worcester, MA 01610 USA; [Armstrong, E. A.] Univ Otago, Res Ctr Oceanog, Dept Chem, NIWA, Dunedin 9054, New Zealand; [Cornwall, C. E.; Feng, Y. -y.; Hurd, C. L.; Roleda, M. Y.] Univ Otago, Dept Bot, POB 56, Dunedin 9054, New Zealand; [Gault-Ringold, M.] Univ Otago, Dept Chem, POB 56, Dunedin 9054, New Zealand; [Timmins-Schiffman, E.; Nunn, B. L.] Univ Washington, Dept Genome Sci, Box 355065, Seattle, WA 98195 USA; [Gault-Ringold, M.; Roleda, M. Y.] Univ Western Australia, Sch Earth &amp; Environm, Crawley, WA 6009, Australia; [Cornwall, C. E.] Univ Western Australia, ARC Ctr Excellence Coral Reef Studies, Crawley, WA 6009, Australia; [Feng, Y. -y.] Tianjin Univ Sci &amp; Technol, Tianjin 300457, Peoples R China; [Gault-Ringold, M.] Univ Tasmania, Antarctic Climate &amp; Ecosyst Cooperat Res Ctr, Private Bag 80, Hobart, Tas 7001, Australia; [Roleda, M. Y.] Norwegian Inst Bioecon Res, Kudalsveien 6, N-8049 Bodo, Norway</t>
  </si>
  <si>
    <t>University of Tasmania; University of Tasmania; Antarctic Climate &amp; Ecosystems Cooperative Research Centre (ACE CRC); University of New England; Clark University; University of Otago; University of Otago; University of Otago; University of Washington; University of Washington Seattle; University of Western Australia; University of Western Australia; Tianjin University Science &amp; Technology; University of Tasmania; Antarctic Climate &amp; Ecosystems Cooperative Research Centre (ACE CRC); Norwegian Institute of Bioeconomy Research</t>
  </si>
  <si>
    <t>Boyd, PW (corresponding author), Univ Tasmania, Inst Marine &amp; Antarctic Studies, Hobart, Tas 7005, Australia.;Boyd, PW (corresponding author), Univ Tasmania, Antarctic Climate &amp; Ecosyst Cooperat Res Ctr, Private Bag 80, Hobart, Tas 7001, Australia.</t>
  </si>
  <si>
    <t>philip.boyd@utas.edu.au</t>
  </si>
  <si>
    <t>Dillingham, Peter/AAC-6856-2022; Feng, Yuanyuan/K-5983-2012; Roleda, Michael Y./H-9645-2019; Cornwall, Christopher Edward/J-3982-2012; Dillingham, Peter/B-3972-2014; Hurd, Catriona/J-2411-2013; Boyd, Philip/J-7624-2014</t>
  </si>
  <si>
    <t>Dillingham, Peter/0000-0001-6302-3275; Feng, Yuanyuan/0000-0002-4565-8717; Roleda, Michael Y./0000-0003-0568-9081; Cornwall, Christopher Edward/0000-0002-6154-4082; Dillingham, Peter/0000-0001-6302-3275; Nunn, Brook/0000-0002-7361-4359; Hurd, Catriona/0000-0001-9965-4917; Boyd, Philip/0000-0001-7850-1911; East, Melanie/0000-0002-0040-6428; McGraw, Christina/0000-0001-5841-0748</t>
  </si>
  <si>
    <t>IMAS; ACE-CRC; Marsden [UOO0914]; National Science Foundation [OCE-1060300, OCE-123300]; University of Washingtcn Proteomics Bioinformatics Team [UWPR95794]; Directorate For Geosciences; Division Of Ocean Sciences [1233014] Funding Source: National Science Foundation</t>
  </si>
  <si>
    <t>IMAS; ACE-CRC(Australian GovernmentDepartment of Industry, Innovation and ScienceCooperative Research Centres (CRC) Programme); Marsden(Royal Society of New ZealandMarsden Fund (NZ)); National Science Foundation(National Science Foundation (NSF)); University of Washingtcn Proteomics Bioinformatics Team; Directorate For Geosciences; Division Of Ocean Sciences(National Science Foundation (NSF)NSF - Directorate for Geosciences (GEO))</t>
  </si>
  <si>
    <t>P.W.B. acknowledges support from IMAS and the ACE-CRC. C.L.H. received Marsden funding (UOO0914, Royal Society of New Zealand) to support M.Y.R., C.E.C. and Y.-y.F. B.L.N. and E.T.-S. were supported by National Science Foundation grants OCE-1060300 (B.L.N.) and OCE-123300 (E.T.-S,) and the University of Washingtcn Proteomics Bioinformatics Team (UWPR95794). We thank K.J.M. Dickinson and E. Breitbarth for provision of laboratory culture facilities and expertise in incubation set-up, respectively.</t>
  </si>
  <si>
    <t>10.1038/NCLIMATE2811</t>
  </si>
  <si>
    <t>WOS:000370963400025</t>
  </si>
  <si>
    <t>Hein, AS; Woodward, J; Marrero, SM; Dunning, SA; Steig, EJ; Freeman, SPHT; Stuart, FM; Winter, K; Westoby, MJ; Sugden, DE</t>
  </si>
  <si>
    <t>Hein, Andrew S.; Woodward, John; Marrero, Shasta M.; Dunning, Stuart A.; Steig, Eric J.; Freeman, Stewart P. H. T.; Stuart, Finlay M.; Winter, Kate; Westoby, Matthew J.; Sugden, David E.</t>
  </si>
  <si>
    <t>Evidence for the stability of the West Antarctic Ice Sheet divide for 1.4 million years</t>
  </si>
  <si>
    <t>NUCLIDE PRODUCTION-RATES; NE-21 CONCENTRATIONS; EAST ANTARCTICA; GROUNDING-LINE; SEA-LEVEL; HALF-LIFE; COLLAPSE; BE-10; INTERIOR; SURFACE</t>
  </si>
  <si>
    <t>Past fluctuations of the West Antarctic Ice Sheet (WAIS) are of fundamental interest because of the possibility of WAIS collapse in the future and a consequent rise in global sea level. However, the configuration and stability of the ice sheet during past interglacial periods remains uncertain. Here we present geomorphological evidence and multiple cosmogenic nuclide data from the southern Ellsworth Mountains to suggest that the divide of the WAIS has fluctuated only modestly in location and thickness for at least the last 1.4 million years. Fluctuations during glacial-interglacial cycles appear superimposed on a long-term trajectory of ice-surface lowering relative to the mountains. This implies that as a minimum, a regional ice sheet centred on the Ellsworth-Whitmore uplands may have survived Pleistocene warm periods. If so, it constrains the WAIS contribution to global sea level rise during interglacials to about 3.3 m above present.</t>
  </si>
  <si>
    <t>[Hein, Andrew S.; Marrero, Shasta M.; Steig, Eric J.; Sugden, David E.] Univ Edinburgh, Sch GeoSci, Drummond St, Edinburgh EH8 9XP, Midlothian, Scotland; [Woodward, John; Dunning, Stuart A.; Winter, Kate; Westoby, Matthew J.] Northumbria Univ, Dept Geog, Ellison Pl, Newcastle Upon Tyne NE1 8ST, Tyne &amp; Wear, England; [Dunning, Stuart A.] Newcastle Univ, Dept Geog, Sch Geog Polit &amp; Sociol, Newcastle Upon Tyne NE1 7RU, Tyne &amp; Wear, England; [Steig, Eric J.] Univ Washington, Quaternary Res Ctr, Seattle, WA 98195 USA; [Steig, Eric J.] Univ Washington, Dept Earth &amp; Space Sci, Seattle, WA 98195 USA; [Freeman, Stewart P. H. T.; Stuart, Finlay M.] Scottish Univ, Environm Res Ctr, Rankine Ave, E Kilbride G75 0QF, Lanark, Scotland</t>
  </si>
  <si>
    <t>University of Edinburgh; Northumbria University; Newcastle University - UK; University of Washington; University of Washington Seattle; University of Washington; University of Washington Seattle; Scottish Universities Research &amp; Reactor Center</t>
  </si>
  <si>
    <t>Hein, AS (corresponding author), Univ Edinburgh, Sch GeoSci, Drummond St, Edinburgh EH8 9XP, Midlothian, Scotland.</t>
  </si>
  <si>
    <t>Andy.Hein@ed.ac.uk</t>
  </si>
  <si>
    <t>Hein, Andrew/JWO-3756-2024; Stuart, Finlay M/E-7417-2010; Freeman, Stewart/AAA-6544-2020; Woodward, John/I-1046-2013; Steig, Eric J/G-9088-2015; Westoby, Matthew/JNE-9260-2023; Westoby, Matthew/D-3880-2016; Dunning, Stuart/A-1820-2010</t>
  </si>
  <si>
    <t>Freeman, Stewart/0000-0001-6148-3171; Westoby, Matthew/0000-0002-2070-5580; Woodward, John/0000-0002-4980-4080; Winter, Kate/0000-0003-2389-8637; Stuart, Finlay/0000-0002-6395-7868; Dunning, Stuart/0000-0002-2310-7367; Hein, Andrew/0000-0003-3397-3813; Marrero, Shasta/0000-0003-2917-0292</t>
  </si>
  <si>
    <t>UK Natural Environment Research Council [NE/I025840/1, NE/I027576/1, NE/I024194/1, NE/I025263/1]; NERC [NE/I027576/1, NE/I025840/1, NE/I024194/1, NE/I025263/1] Funding Source: UKRI; Natural Environment Research Council [NE/I024194/1, NE/I025840/1, NE/I025263/1, NE/I027576/1] Funding Source: researchfish</t>
  </si>
  <si>
    <t>The research was funded by the UK Natural Environment Research Council grant numbers NE/I025840/1, NE/I027576/1, NE/I024194/1 and NE/I025263/1. We thank the British Antarctic Survey for logistical support and Scott Webster, Malcolm Airey and Phil Stevens for field support. Reed Scherer checked till samples for marine diatoms. Claire Todd, John Stone and Mike Bentley provided helpful discussions. We thank Martin Siegert and the British Antarctic Survey for use of the RES data.</t>
  </si>
  <si>
    <t>10.1038/ncomms10325</t>
  </si>
  <si>
    <t>DF1WW</t>
  </si>
  <si>
    <t>Green Published, Green Accepted, Green Submitted, gold</t>
  </si>
  <si>
    <t>WOS:000371131100001</t>
  </si>
  <si>
    <t>Mongin, M; Baird, ME; Tilbrook, B; Matear, RJ; Lenton, A; Herzfeld, M; Wild-Allen, K; Skerratt, J; Margvelashvili, N; Robson, BJ; Duarte, CM; Gustafsson, MSM; Ralph, PJ; Steven, ADL</t>
  </si>
  <si>
    <t>Mongin, Mathieu; Baird, Mark E.; Tilbrook, Bronte; Matear, Richard J.; Lenton, Andrew; Herzfeld, Mike; Wild-Allen, Karen; Skerratt, Jenny; Margvelashvili, Nugzar; Robson, Barbara J.; Duarte, Carlos M.; Gustafsson, Malin S. M.; Ralph, Peter J.; Steven, Andrew D. L.</t>
  </si>
  <si>
    <t>The exposure of the Great Barrier Reef to ocean acidification</t>
  </si>
  <si>
    <t>CARBON-CHEMISTRY; TOTAL ALKALINITY; SEAWATER; WATER; CALCIFICATION; NITROGEN; SYSTEM; FLAT; TIME; AGE</t>
  </si>
  <si>
    <t>The Great Barrier Reef (GBR) is founded on reef-building corals. Corals build their exoskeleton with aragonite, but ocean acidification is lowering the aragonite saturation state of seawater (Omega(a)). The downscaling of ocean acidification projections from global to GBR scales requires the set of regional drivers controlling Omega(a) to be resolved. Here we use a regional coupled circulation-biogeochemical model and observations to estimate the Omega(a) experienced by the 3,581 reefs of the GBR, and to apportion the contributions of the hydrological cycle, regional hydrodynamics and metabolism on Omega(a) variability. We find more detail, and a greater range (1.43), than previously compiled coarse maps of Omega(a) of the region (0.4), or in observations (1.0). Most of the variability in Omega(a) is due to processes upstream of the reef in question. As a result, future decline in Omega(a) is likely to be steeper on the GBR than currently projected by the IPCC assessment report.</t>
  </si>
  <si>
    <t>[Mongin, Mathieu; Baird, Mark E.; Tilbrook, Bronte; Matear, Richard J.; Lenton, Andrew; Herzfeld, Mike; Wild-Allen, Karen; Skerratt, Jenny; Margvelashvili, Nugzar; Steven, Andrew D. L.] CSIRO Oceans &amp; Atmosphere, Hobart, Tas 7000, Australia; [Tilbrook, Bronte] Antarctic Climate &amp; Ecosyst Cooperat Res Ctr, Hobart, Tas 7000, Australia; [Robson, Barbara J.] CSIRO Land &amp; Water, Canberra, ACT 2601, Australia; [Duarte, Carlos M.] King Abdullah Univ Sci &amp; Technol, Red Sea Res Ctr, Thuval 239556900, Saudi Arabia; [Gustafsson, Malin S. M.; Ralph, Peter J.] Univ Technol Sydney, Fac Sci, Plant Funct Biol &amp; Climate Change Cluster C3, Sydney, NSW 2007, Australia</t>
  </si>
  <si>
    <t>Commonwealth Scientific &amp; Industrial Research Organisation (CSIRO); Antarctic Climate &amp; Ecosystems Cooperative Research Centre (ACE CRC); Commonwealth Scientific &amp; Industrial Research Organisation (CSIRO); CSIRO Land &amp; Water; King Abdullah University of Science &amp; Technology; University of Technology Sydney</t>
  </si>
  <si>
    <t>Mongin, M (corresponding author), CSIRO Oceans &amp; Atmosphere, Hobart, Tas 7000, Australia.</t>
  </si>
  <si>
    <t>Mathieu.Mongin@csiro.au</t>
  </si>
  <si>
    <t>Tilbrook, Bronte/W-4007-2019; Baird, Mark/GLU-2397-2022; Duarte, Carlos M/A-7670-2013; Robson, Barbara/B-8296-2008; Steven, Andrew D.L./I-5887-2012; Duarte Quesada, Carlos Manuel/ABD-6208-2021; Ralph, Peter/L-1527-2019; Wild-Allen, Karen/D-9263-2018; Margvelashvili, Nugzar/AAJ-2916-2021; Skerratt, Jennifer/F-2010-2015; skerratt, jennifer/N-4313-2019; Lenton, Andrew/D-2077-2012; matear, richard/C-5133-2011; mongin, mathieu/G-4169-2015</t>
  </si>
  <si>
    <t>Tilbrook, Bronte/0000-0001-9385-3827; Baird, Mark/0000-0003-4955-2298; Duarte, Carlos M/0000-0002-1213-1361; Robson, Barbara/0000-0002-1811-3527; Ralph, Peter/0000-0002-3103-7346; Skerratt, Jennifer/0000-0001-9023-4692; skerratt, jennifer/0000-0001-9023-4692; Lenton, Andrew/0000-0001-9437-8896; matear, richard/0000-0002-3225-0800; mongin, mathieu/0000-0001-9647-0530; Margvelashvili, Nugzar/0000-0003-2045-9946</t>
  </si>
  <si>
    <t>CSIRO Oceans and Atmosphere; Australian Government through the National Collaborative Research Infrastructure Strategy and the Super Science Initiative; CSIRO Marine and Coastal Carbon Biogeochemistry Cluster; Australian Climate Change Science Program</t>
  </si>
  <si>
    <t>CSIRO Oceans and Atmosphere; Australian Government through the National Collaborative Research Infrastructure Strategy and the Super Science Initiative(Australian GovernmentDepartment of Industry, Innovation and Science); CSIRO Marine and Coastal Carbon Biogeochemistry Cluster; Australian Climate Change Science Program</t>
  </si>
  <si>
    <t>This study was undertaken with the support of CSIRO Oceans and Atmosphere, and through resources made available through the eReefs project, the CSIRO Marine and Coastal Carbon Biogeochemistry Cluster, and the Australian Climate Change Science Program. The observations at Yongala were sourced as part of the Integrated Marine Observing System (IMOS)-IMOS is supported by the Australian Government through the National Collaborative Research Infrastructure Strategy and the Super Science Initiative. We thank Sven Uthicke for making his observations publically available, Professorss Tom Trull and Sabina Belli for their constructive comments on the manuscript, Miles Furnas who willingly shared his knowledge of the region and provided observations and three anonymous reviewers.</t>
  </si>
  <si>
    <t>10.1038/ncomms10732</t>
  </si>
  <si>
    <t>DF0NV</t>
  </si>
  <si>
    <t>WOS:000371036800005</t>
  </si>
  <si>
    <t>Liu, J; Milne, GA; Kopp, RE; Clark, PU; Shennan, I</t>
  </si>
  <si>
    <t>Liu, Jean; Milne, Glenn A.; Kopp, Robert E.; Clark, Peter U.; Shennan, Ian</t>
  </si>
  <si>
    <t>Sea-level constraints on the amplitude and source distribution of Meltwater Pulse 1A</t>
  </si>
  <si>
    <t>LAST GLACIAL MAXIMUM; ICE-AGE EARTH; SOUTHERN-OCEAN; MASS-BALANCE; SHEET; MODEL; ANTARCTICA; COLLAPSE; SURFACE; RECORD</t>
  </si>
  <si>
    <t>During the last deglaciation, sea levels rose as ice sheets retreated. This climate transition was punctuated by periods of more intense melting; the largest and most rapid of these-Meltwater Pulse 1A-occurred about 14,500 years ago, with rates of sea-level rise reaching approximately 4m per century(1-3). Such rates of rise suggest ice-sheet instability, but the meltwater sources are poorly constrained, thus limiting our understanding of the causes and impacts of the event(4-7). In particular, geophysical modelling studies constrained by tropical sea-level records(1,8,9) suggest an Antarctic contribution of more than seven metres, whereas most reconstructions(10) from Antarctica indicate no substantial change in ice-sheet volume around the time of Meltwater Pulse 1A. Here we use a glacial isostatic adjustment model to reinterpret tropical sea-level reconstructions from Barbados(2), the Sunda Shelf(3) and Tahiti(1). According to our results, global mean sea-level rise during Meltwater Pulse 1A was between 8.6 and 14.6m (95% probability). As for the melt partitioning, we find an allowable contribution from Antarctica of either 4.1 to 10.0m or 0 to 6.9m (95% probability), using two recent estimates(11,12) of the contribution from the North American ice sheets. We conclude that with current geologic constraints, the method applied here is unable to support or refute the possibility of a significant Antarctic contribution to Meltwater Pulse 1A.</t>
  </si>
  <si>
    <t>[Liu, Jean; Milne, Glenn A.] Univ Ottawa, Dept Earth &amp; Environm Sci, Ottawa, ON K1N 6N5, Canada; [Kopp, Robert E.] Rutgers State Univ, Dept Earth &amp; Planetary Sci, Rutgers Energy Inst, New Brunswick, NJ 08904 USA; [Kopp, Robert E.] Rutgers State Univ, Inst Earth Ocean &amp; Atmospher Sci, New Brunswick, NJ 08904 USA; [Clark, Peter U.] Oregon State Univ, Coll Earth Ocean &amp; Atmospher Sci, Corvallis, OR 97331 USA; [Shennan, Ian] Univ Durham, Dept Geog, Durham DH1 3LE, Durham, England</t>
  </si>
  <si>
    <t>University of Ottawa; Rutgers University System; Rutgers University New Brunswick; Rutgers University System; Rutgers University New Brunswick; Oregon State University; Durham University</t>
  </si>
  <si>
    <t>Milne, GA (corresponding author), Univ Ottawa, Dept Earth &amp; Environm Sci, Ottawa, ON K1N 6N5, Canada.</t>
  </si>
  <si>
    <t>gamilne@uottawa.ca</t>
  </si>
  <si>
    <t>Shennan, Ian/A-4612-2011; IPO, PAGES/JXY-7546-2024; Kopp, Robert E/B-8822-2008</t>
  </si>
  <si>
    <t>Shennan, Ian/0000-0003-3598-0224; Kopp, Robert/0000-0003-4016-9428</t>
  </si>
  <si>
    <t>Natural Sciences and Engineering Research Council of Canada; Canada Research Chairs programme; National Science Foundation (NSF) of the United States [ARC 1203415]; NSF Antarctic Glaciology Program [ANT1260719]; NSF Marine Geology and Geophysics Program [OCE1335197]; Office of Polar Programs (OPP); Directorate For Geosciences [1203415] Funding Source: National Science Foundation</t>
  </si>
  <si>
    <t>Natural Sciences and Engineering Research Council of Canada(Natural Sciences and Engineering Research Council of Canada (NSERC)CGIAR); Canada Research Chairs programme(Canada Research Chairs); National Science Foundation (NSF) of the United States(National Science Foundation (NSF)NSF - Directorate for Geosciences (GEO)); NSF Antarctic Glaciology Program(National Science Foundation (NSF)NSF - Directorate for Geosciences (GEO)); NSF Marine Geology and Geophysics Program(National Science Foundation (NSF)NSF - Directorate for Geosciences (GEO)); Office of Polar Programs (OPP); Directorate For Geosciences(National Science Foundation (NSF)NSF - Directorate for Geosciences (GEO))</t>
  </si>
  <si>
    <t>J.L. and G.A.M. are supported by the Natural Sciences and Engineering Research Council of Canada. G.A.M. is also supported by the Canada Research Chairs programme. R.E.K. acknowledges support from the National Science Foundation (NSF) of the United States (ARC 1203415). P.U.C. acknowledges support from the NSF Antarctic Glaciology Program (ANT1260719) and the NSF Marine Geology and Geophysics Program (OCE1335197). We thank J. Mitrovica for providing information that contributed to the work presented in this paper. This work benefited from discussions at several PALeo constraints on SEA level rise (PALSEA) workshops.</t>
  </si>
  <si>
    <t>10.1038/NGEO2616</t>
  </si>
  <si>
    <t>DC6IY</t>
  </si>
  <si>
    <t>WOS:000369324600017</t>
  </si>
  <si>
    <t>Mckay, DIA; Tyrrell, T; Wilson, PA</t>
  </si>
  <si>
    <t>Mckay, David I. Armstrong; Tyrrell, Toby; Wilson, Paul A.</t>
  </si>
  <si>
    <t>Global carbon cycle perturbation across the Eocene-Oligocene climate transition</t>
  </si>
  <si>
    <t>Eocene-Oligocene transition; Cenozoic cooling; Antarctic glaciation; permafrost; carbonate shelf-basin fractionation; carbon cycle</t>
  </si>
  <si>
    <t>ANTARCTIC GLACIATION; MAGNESIUM CONCENTRATION; CALCITE COMPENSATION; ISOTOPIC COMPOSITION; CENOZOIC GLACIATION; MARINE-SEDIMENTS; ATMOSPHERIC CO2; OCEAN; SEAWATER; EVOLUTION</t>
  </si>
  <si>
    <t>The Eocene-Oligocene transition (EOT), 34Ma, marks a tipping point in the long-term Cenozoic greenhouse to icehouse climate transition. Paleorecords reveal stepwise rapid cooling and ice growth across the EOT tightly coupled to a transient benthic C-13 excursion and a major and permanent deepening of the carbonate compensation depth (CCD). Based on biogeochemical box modeling, Merico et al. (2008) suggested that a combination of (1) glacioeustatic sea level fall-induced shelf-basin carbonate burial fractionation and (2) shelf carbonate weathering can account for the carbon cycle perturbation, but this finding has been questioned. Alternative proposed mechanisms include increased ocean ventilation, decreased carbonate burial, increased organic carbon burial, increased silicate weathering, and increased ocean calcium concentration. Here we use an improved version of the biogeochemical box model of Merico et al. (2008) to reevaluate these competing hypotheses and an additional mechanism, the expansion of carbon capacitors such as permafrost and peatlands. We find that changes in calcium concentration, silicate weathering, and carbonate or organic carbon burial each yield a response that is fundamentally at odds with the form and/or sign of the paleorecords. Shelf-basin carbonate burial fractionation (CCD change), plus shelf carbonate weathering, sequestration of C-12-enriched carbon into carbon capacitors, and possibly increased ocean ventilation (C-13 excursion), offers the best fit to the paleorecords. Further work is needed to understand why the EOT carbon cycle perturbation is so unique when the forcing mechanisms hypothesized to be responsible (cooling and ice growth) are not peculiar to this event.</t>
  </si>
  <si>
    <t>[Mckay, David I. Armstrong; Tyrrell, Toby; Wilson, Paul A.] Univ Southampton, Natl Oceanog Ctr, Southampton, Hants, England; [Mckay, David I. Armstrong] Univ Southampton, Geog &amp; Environm, Southampton, Hants, England</t>
  </si>
  <si>
    <t>University of Southampton; NERC National Oceanography Centre; University of Southampton</t>
  </si>
  <si>
    <t>Mckay, DIA (corresponding author), Univ Southampton, Natl Oceanog Ctr, Southampton, Hants, England.;Mckay, DIA (corresponding author), Univ Southampton, Geog &amp; Environm, Southampton, Hants, England.</t>
  </si>
  <si>
    <t>D.Armstrong-McKay@noc.soton.ac.uk</t>
  </si>
  <si>
    <t>Wilson, Paul/0000-0001-6425-8906; Armstrong McKay, David/0000-0002-0020-7461</t>
  </si>
  <si>
    <t>Natural Environment Research Council (NERC) [NE/J500112/1]; U.S. National Science Foundation; NERC Research Program; NERC [NE/I006168/1, NE/J500112/1, NE/K008390/1] Funding Source: UKRI; Natural Environment Research Council [1238888, NE/K008390/1, NE/I006168/1, NER/A/S/2003/00377] Funding Source: researchfish</t>
  </si>
  <si>
    <t>Natural Environment Research Council (NERC)(UK Research &amp; Innovation (UKRI)Natural Environment Research Council (NERC)); U.S. National Science Foundation(National Science Foundation (NSF)); NERC Research Program; NERC(UK Research &amp; Innovation (UKRI)Natural Environment Research Council (NERC)); Natural Environment Research Council(UK Research &amp; Innovation (UKRI)Natural Environment Research Council (NERC))</t>
  </si>
  <si>
    <t>This work was supported by a Natural Environment Research Council (NERC) studentship to D.I.A.M. (NE/J500112/1). We thank Agostino Merico for sharing the model developed in Merico et al. [2008]. The paleorecords used in this study can be found at the following locations: benthic isotopes and CaCO3 wt % from ODP site 1218 are available from Helen Coxall (helen.coxall@geo.su.se), the CCD in the equatorial Pacific is available from http://www.nature.com/nature/journal/v488/n7413/extref/nature11360-s1.pdf, and the boron isotope-based atmospheric CO2 reconstruction is available from http://doi.pangaea.de/10.1594/PANGAEA.815855. This work was inspired by paleorecords produced using material obtained by the (Integrated) Ocean Drilling Program (International Ocean Discovery Program), which is sponsored by the U.S. National Science Foundation and participating countries (UK through a NERC Research Program) under management of Joint Oceanographic Institutions, Inc.</t>
  </si>
  <si>
    <t>10.1002/2015PA002818</t>
  </si>
  <si>
    <t>WOS:000372727100007</t>
  </si>
  <si>
    <t>D'Amico, VL; Marcelo, B; Benzal, J; Coria, N; Vidal, V; Diaz, JI; Barbosa, A</t>
  </si>
  <si>
    <t>D'Amico, Veronica L.; Marcelo, Bertellotti; Benzal, Jesus; Coria, Nestor; Vidal, Virginia; Diaz, Julia I.; Barbosa, Andres</t>
  </si>
  <si>
    <t>Leukocyte counts in different populations of Antarctic Pygoscelid penguins along the Antarctic Peninsula</t>
  </si>
  <si>
    <t>Antarctica; Geographical context; Leukocyte counts; Pygoscelid penguins</t>
  </si>
  <si>
    <t>GENTOO PENGUINS; SOUTH SHETLAND; STRESS; VARIABILITY; PARASITES; ECOLOGY; DECLINE; HEALTH; GEORGE; ISLAND</t>
  </si>
  <si>
    <t>The Antarctic Peninsula is one of the areas where the climate is changing at the fastest pace, having several effects on the populations of pygoscelid penguins. Few studies have analysed the variation in immune parameters of antarctic birds in a geographical context; thus, analyses of geographical differences in the immune components of wild pygoscelid penguins are still scarce. Leukocyte counts in birds provide information on their immunity and physiological stress. The objective of this study was to analyse the leukocyte counts in penguins of the genus Pygoscelis (gentoo, Ad,lie and chinstrap penguins), covering sites along the South Shetland Islands and some islands on the west coast of the Antarctic Peninsula. Our results revealed differences in the number of heterophils and eosinophils and in the heterophil/lymphocyte ratio in the northeastern populations of gentoo and Ad,lie penguins as compared to the rest of the colonies studied. The results contribute to better understanding of the variations in physiological parameters of penguins related to a geographical context.</t>
  </si>
  <si>
    <t>[D'Amico, Veronica L.; Marcelo, Bertellotti] Consejo Nacl Invest Cient &amp; Tecn, Ctr Nacl Patagon, Blvd Brown 2915, RA-9120 Puerto Madryn, Chubut, Argentina; [Benzal, Jesus] CSIC, Estn Expt Zonas Aridas, Dept Ecol Func &amp; Evolut, Carretera Sacramento S-N, La Canada De San Urbano 04120, Almeria, Spain; [Coria, Nestor] Inst Antartico Argentino, Cerrito 1248,C1010AAZ, Buenos Aires, DF, Argentina; [Vidal, Virginia] Univ Murcia, Fac Vet, Dept Sanidad Anim, Campus Espinardo, E-30100 Murcia, Spain; [Diaz, Julia I.] Consejo Nacl Invest Cient &amp; Tecn, Ctr Estudios Parasitol &amp; Vectores, Calle 120 S-N, RA-1900 La Plata, Buenos Aires, Argentina; [Barbosa, Andres] CSIC, Museo Nacl Ciencias Nat, Dept Ecol Evolut, C Jose Gutierrez Abascal 2, E-28006 Madrid, Spain</t>
  </si>
  <si>
    <t>Centro Nacional Patagonico (CENPAT); Consejo Nacional de Investigaciones Cientificas y Tecnicas (CONICET); Consejo Superior de Investigaciones Cientificas (CSIC); CSIC - Estacion Experimental de Zonas Aridas (EEZA); Instituto Antartico Argentino; University of Murcia; Consejo Nacional de Investigaciones Cientificas y Tecnicas (CONICET); Consejo Superior de Investigaciones Cientificas (CSIC); CSIC - Museo Nacional de Ciencias Naturales (MNCN)</t>
  </si>
  <si>
    <t>D'Amico, VL (corresponding author), Consejo Nacl Invest Cient &amp; Tecn, Ctr Nacl Patagon, Blvd Brown 2915, RA-9120 Puerto Madryn, Chubut, Argentina.</t>
  </si>
  <si>
    <t>veronicalauradamico@gmail.com</t>
  </si>
  <si>
    <t>Barbosa, Andrés/C-3208-2008; Benzal, Jesús/T-4555-2017</t>
  </si>
  <si>
    <t>Barbosa, Andrés/0000-0001-8434-3649; Bertellotti, Marcelo/0000-0002-1834-7788</t>
  </si>
  <si>
    <t>Spanish Ministry of Science and Innovation [CGL2007-60369, CTM2011-24427]; CONICET; Spanish Council of Scientific Research (CSIC); European Social Fund [JAEPre08-01053]</t>
  </si>
  <si>
    <t>Spanish Ministry of Science and Innovation(Spanish Government); CONICET(Consejo Nacional de Investigaciones Cientificas y Tecnicas (CONICET)); Spanish Council of Scientific Research (CSIC); European Social Fund(European Social Fund (ESF))</t>
  </si>
  <si>
    <t>We appreciate the hospitality and logistic support of the Argentinean Antarctic Base Carlini and the Spanish Antarctic Base Gabriel de Castilla. We also thank the Spanish Polar Ship Las Palmas, which provided us with the logistic support and transport to the localities. We thank the logistic support provided by the Marine Technology Unit (CSIC) and Instituto Antartico Argentino (IAA). Permission to work in the study area and for penguin handling was given by the Spanish Polar Committee. We are very grateful to B. Fusaro and L. Longarzo for their help at Carlini. We thank Dr. Ralph Eric Thijl Vanstreels and the two anonymous reviewers for their insights, which have significantly improved our manuscript. Ma. Victoria Gonzalez Eusevi from Ingles Cientifico (www.inglescientifico.com) corrected the English language of the manuscript. This study was funded by the Spanish Ministry of Science and Innovation (Grant CGL2007-60369 and CTM2011-24427). VLD had a CONICET Postdoctoral fellowship and VV was supported by a Ph.D. Grant from the Spanish Council of Scientific Research (CSIC) and the European Social Fund (JAEPre08-01053). This study is a contribution to the International Polar Year project Birdhealth and to PINGUCLIM project.</t>
  </si>
  <si>
    <t>10.1007/s00300-015-1771-3</t>
  </si>
  <si>
    <t>WOS:000369067900001</t>
  </si>
  <si>
    <t>Martín, A; Miloslavich, P; Díaz, Y; Ortega, I; Klein, E; Troncoso, J; Aldea, C; Carbonini, AK</t>
  </si>
  <si>
    <t>Martin, Alberto; Miloslavich, Patricia; Diaz, Yusbelly; Ortega, Ileana; Klein, Eduardo; Troncoso, Jesus; Aldea, Cristian; Carbonini, Ana K.</t>
  </si>
  <si>
    <t>Intertidal benthic communities associated with the macroalgae Iridaea cordata and Adenocystis utricularis in King George Island, Antarctica</t>
  </si>
  <si>
    <t>Diversity; Macrobenthos; Macroalgae; Biomass; Amphipods; Gastropods</t>
  </si>
  <si>
    <t>DOMINANT SUBTIDAL MACROALGAE; SOUTH-SHETLAND-ISLANDS; SPECIES COMPOSITION; PALMER-STATION; COLONIZATION; ABUNDANCE; ZONATION; BIOMASS; SEA; PALATABILITY</t>
  </si>
  <si>
    <t>Antarctic benthos has been a main target in Antarctic research, but very few quantitative studies have been carried out in the littoral zone, which may be seasonally covered by macroalgae. In this work, we studied (1) cover and biomass of the macroalgae Iridaea cordata and Adenocystis utricularis, and (2) composition of macrobenthic assemblage associated with these macroalgal species at three locations at King George Island: Mareograph Beach (1 M), Tank's Bay (2R) and Ardley Bay (3R). Iridaea cordata was collected by completely detaching the algae from the substrate, while A. utricularis was scraped. Adenocystis utricularis covered more than 80 % of the substrate at all locations, while coverage of Iridaea cordata was below 53 % or absent (3R). Fresh biomass of I. cordata was 0.8-61.4 g/individual and 4.7-93.0 g/100 cm(2) for A. utricularis. The assemblage associated with both macroalgae differed significantly between sites. The studied fauna was composed mainly of amphipods, gastropods and bivalves. Species diversity was higher in the community associated with A. utricularis. A total of similar to 27 ind/g DW were found associated with I. cordata, while similar to 112 ind/g DW were found associated with A. utricularis. The most abundant groups associated with I. cordata were amphipods at 1 M (57 %) and gastropods at 2R (46 %). Both groups were responsible for the dissimilarity between localities (62.50 %). The most abundant groups associated with A. utricularis were the gastropods at all localities reaching up to 82 % at 1 M. This study provides a first baseline on the diversity and abundance of benthic assemblages associated with intertidal macroalgae in the southwest of King George Island.</t>
  </si>
  <si>
    <t>[Martin, Alberto; Miloslavich, Patricia; Diaz, Yusbelly; Ortega, Ileana; Klein, Eduardo; Carbonini, Ana K.] Univ Simon Bolivar, Dept Estudios Ambientales, Caracas 89000, Estado Miranda, Venezuela; [Miloslavich, Patricia] Australian Inst Marine Sci, PMB 3, Townsville, Qld 4810, Australia; [Ortega, Ileana] Univ Fed Rio Grande FURG, Programa Posgrad Oceanog Biol, Av Italia,Km 8,Campus Carreiros, BR-9620190 Rio Grande, RS, Brazil; [Troncoso, Jesus] Univ Vigo, ECIMAT Toralla Marine Sci Stn, Vigo 36331, Spain; [Troncoso, Jesus] Univ Vigo, Fac Ciencias Mar, Dept Ecol &amp; Biol Anim, Campus Lagoas Marcosende, Vigo 36310, Spain; [Aldea, Cristian] Univ Magallanes, Inst Patagonia, Lab Ecol &amp; Medio Ambiente, Ave Bulnes, Punta Arenas 01890, Chile; [Aldea, Cristian] Univ Magallanes, Programa GAIA Antartica, Punta Arenas, Chile</t>
  </si>
  <si>
    <t>Simon Bolivar University; Australian Institute of Marine Science; Universidade Federal do Rio Grande; Universidade de Vigo; CIM UVIGO; Universidade de Vigo; Universidad de Magallanes; Universidad de Magallanes</t>
  </si>
  <si>
    <t>Ortega, I (corresponding author), Univ Simon Bolivar, Dept Estudios Ambientales, Caracas 89000, Estado Miranda, Venezuela.</t>
  </si>
  <si>
    <t>ileanaortega@gmail.com</t>
  </si>
  <si>
    <t>Aldea, Cristian/J-5391-2013; Ortega, Ileana/O-7547-2016; Troncoso, Jesus/L-1823-2017</t>
  </si>
  <si>
    <t>Ortega, Ileana/0000-0002-6234-5720; Miloslavich, Patricia/0000-0001-5409-1401; Klein, Eduardo/0000-0003-2935-7065; Aldea, Cristian/0000-0002-4473-6509; Troncoso, Jesus/0000-0002-7305-6879</t>
  </si>
  <si>
    <t>Venezuelan Scientific Antarctic Program; Armada Nacional Bolivariana; Instituto Antartico Uruguayo</t>
  </si>
  <si>
    <t>This research was supported by the Venezuelan Scientific Antarctic Program, through the 2009 exploration campaign carried out by the Ministerio del Poder Popular para Ciencia, Tecnologia e Innovacion (MCTI) and the Armada Nacional Bolivariana, with the collaboration of the Instituto Antartico Uruguayo. Special thanks to Manuel Caballer and Nelsy Rivero, who helped in the fieldwork. We also wish to thank Sandra Lopez, Humberto Camisotti and Emiliana Mendoza, students at Universidad Simon Bolivar in Caracas, Venezuela for their laboratory assistance and Emanuel Valero for his assistance with the figures. We extend our gratitude to the four anonymous reviewers who provided invaluable comments and literature to significantly improve the manuscript.</t>
  </si>
  <si>
    <t>10.1007/s00300-015-1773-1</t>
  </si>
  <si>
    <t>WOS:000369067900002</t>
  </si>
  <si>
    <t>Ji, M; van Dorst, J; Bissett, A; Brown, MV; Palmer, AS; Snape, I; Siciliano, SD; Ferrari, BC</t>
  </si>
  <si>
    <t>Ji, Mukan; van Dorst, Josie; Bissett, Andrew; Brown, Mark V.; Palmer, Anne S.; Snape, Ian; Siciliano, Steven D.; Ferrari, Belinda C.</t>
  </si>
  <si>
    <t>Microbial diversity at Mitchell Peninsula, Eastern Antarctica: a potential biodiversity hotspot</t>
  </si>
  <si>
    <t>Antarctica; Soil; Bacterial diversity; Fungal diversity; Network analysis; Candidate division</t>
  </si>
  <si>
    <t>SOIL BACTERIAL DIVERSITY; 16S RIBOSOMAL-RNA; WINDMILL ISLANDS; DRY VALLEY; CANDIDATE DIVISION; COMMUNITY; VEGETATION; ELEVATION; ABUNDANCE; FUNGAL</t>
  </si>
  <si>
    <t>Mitchell Peninsula is located towards the East of the Windmill Islands in eastern Antarctica. It is an ice-free polar desert, and knowledge of its soil microbial taxonomic composition is limited. In this study, we investigated the soil microbial taxonomic composition using multiplex 454 pyrosequencing targeting the bacterial 16S rRNA and the fungal ITS genes; and the bacterial and fungal abundances were estimated using quantitative PCR. In total, 40 bacterial and five fungal phyla were identified comprising 111 bacterial and 22 fungal classes, respectively. Mitchell Peninsula soil exhibited a unique bacterial taxonomic profile. In contrast to the usual dominance of Proteobacteria, Firmicutes, Actinobacteria and Bacteroidetes in polar and temperate soils, Mitchell Peninsula was rich in the poorly studied Chloroflexi (31.7 %), candidate divisions WPS-2 (8.1 %) and AD3 (5.1 %), while the commonly observed Bacteroidetes and Firmicutes were present in relative abundances below 1 %. The fungal community consisted of Ascomycota (77 %) and Basidiomycota (10 %), and was dominated by the lichenous fungal class Lecanoromycetes (46.4 %). Network analysis revealed the presence of several microbial clusters that each potentially occupied a different environmental niche, and fewer numbers of correlations were identified between bacteria within each cluster compared with the lichen community, where extensive community dynamics may be present. As Mitchell Peninsula exhibits a unique microbial taxonomic composition, not previously observed in any reported polar or temperate ecosystem, we believe it is a potential microbial biodiversity hotspot, which warrants further investigation to examine the role of the dominance of these uncharacterised candidate divisions in this extreme ecosystem.</t>
  </si>
  <si>
    <t>[Ji, Mukan; van Dorst, Josie; Brown, Mark V.; Ferrari, Belinda C.] Univ New S Wales, Sch Biotechnol &amp; Biomol Sci, Kensington, NSW 2052, Australia; [Bissett, Andrew] CSIRO, Plant Ind, POB 1600, Canberra, ACT 2601, Australia; [Palmer, Anne S.; Snape, Ian] Australian Antarctic Div, Dept Sustainabil Environm Water Populat &amp; Communi, Channel Highway, Kingston, Tas 7050, Australia; [Siciliano, Steven D.] Univ Saskatchewan, Dept Soil Sci, 51 Campus Dr, Saskatoon, SK S7N 5A8, Canada</t>
  </si>
  <si>
    <t>University of New South Wales Sydney; Commonwealth Scientific &amp; Industrial Research Organisation (CSIRO); Plant Industry; Australian Antarctic Division; University of Saskatchewan</t>
  </si>
  <si>
    <t>Ferrari, BC (corresponding author), Univ New S Wales, Sch Biotechnol &amp; Biomol Sci, Kensington, NSW 2052, Australia.</t>
  </si>
  <si>
    <t>m.ji@unsw.edu.au; b.ferrari@unsw.edu.au</t>
  </si>
  <si>
    <t>Bissett, Andrew/AFR-3887-2022; Ferrari, Belinda/AAI-3022-2020; Ji, Mukan/AAI-5743-2020; Siciliano, Steven D/G-3370-2011</t>
  </si>
  <si>
    <t>Bissett, Andrew/0000-0001-7396-1484; Ferrari, Belinda/0000-0001-5043-3726; Siciliano, Steven/0000-0002-8994-3341; van Dorst, Josie/0000-0002-9353-8787; Ji, Mukan/0000-0001-8139-2875</t>
  </si>
  <si>
    <t>UNSW Australia; Australian Antarctic Division [2952]</t>
  </si>
  <si>
    <t>UNSW Australia; Australian Antarctic Division</t>
  </si>
  <si>
    <t>The authors would like to thank the 2006 field team that collected the soil samples from Mitchell Peninsula, Antarctica. We would also like to thank everyone who helped improve this manuscript. This research was supported by UNSW Australia and the Australian Antarctic Division, in particular Australian Antarctic Science Grant number 2952.</t>
  </si>
  <si>
    <t>10.1007/s00300-015-1776-y</t>
  </si>
  <si>
    <t>WOS:000369067900004</t>
  </si>
  <si>
    <t>Archer, SDJ; McDonald, IR; Herbold, CW; Lee, CK; Niederberger, TS; Cary, C</t>
  </si>
  <si>
    <t>Archer, Stephen D. J.; McDonald, Ian R.; Herbold, Craig W.; Lee, Charles K.; Niederberger, Thomas S.; Cary, Craig</t>
  </si>
  <si>
    <t>Temporal, regional and geochemical drivers of microbial community variation in the melt ponds of the Ross Sea region, Antarctica</t>
  </si>
  <si>
    <t>Antarctic; Planktonic; Microorganism; Community; Meltwater</t>
  </si>
  <si>
    <t>MCMURDO-ICE-SHELF; INTERGENIC SPACER ANALYSIS; SUMMER-WINTER TRANSITIONS; MELTWATER PONDS; DRY VALLEYS; SP NOV.; VICTORIA LAND; SALINITY GRADIENT; MAT COMMUNITIES; BRATINA ISLAND</t>
  </si>
  <si>
    <t>To expand the understanding of the poorly described planktonic bacterial communities inhabiting Antarctic meltwater ponds, this study characterized the community composition and identified environmental drivers influencing community structure from a total of 41 meltwater ponds: 37 from the McMurdo Ice Shelf (Bratina Island) and four from a terrestrial locale (Miers Valley) during three austral summers. DNA fingerprinting coupled with in situ pH and conductivity was utilized to select ponds for in-depth nutrient and chemical analysis and high-throughput sequencing of the bacterial 16S rRNA gene V5-V6 hypervariable region. Conductivity was the strongest driver of community structure across all ponds and for all time points; however, other influential factors (pH, climatological, Hg, Fe, and PO4) were also identified. Unique members of communities (sequences absent in at least one pond) represented a small percentage of total reads but also represented a large proportion of pond biodiversity that was strongly driven by differing environmental variables (Si, B and S). Significant temporal variation in community structure was also identified within the same ponds although major taxa remained present. Miers Valley ponds exhibit greater similarity to Bratina Island ponds rather than between each other, thereby suggesting regional movement of microorganisms. In summary, these data provide the first in-depth investigation of the intra-seasonal and regional variation of the microbial communities inhabiting these ponds and proved that a total of ten cosmopolitan OTUs were the dominant components of ponds throughout all sampling times and locations, their variable relative abundances driving the major dissimilarities in community structure.</t>
  </si>
  <si>
    <t>[Archer, Stephen D. J.; McDonald, Ian R.; Herbold, Craig W.; Lee, Charles K.; Niederberger, Thomas S.] Univ Waikato, Sch Sci, Int Ctr Terr Antarctic Res, Private Bag 3105, Hamilton, New Zealand; [Cary, Craig] Univ Waikato, Sch Sci, Private Bag 3105, Hamilton 3240, New Zealand</t>
  </si>
  <si>
    <t>University of Waikato; University of Waikato</t>
  </si>
  <si>
    <t>Archer, SDJ (corresponding author), Univ Waikato, Sch Sci, Int Ctr Terr Antarctic Res, Private Bag 3105, Hamilton, New Zealand.</t>
  </si>
  <si>
    <t>sdja2@students.waikato.ac.nz; caryc@waikato.ac.nz</t>
  </si>
  <si>
    <t>Lee, Charles/AAC-9417-2019; McDonald, Ian R/A-4851-2008; Herbold, Craig William/S-4397-2018; lee, charles/AAW-6627-2021</t>
  </si>
  <si>
    <t>Lee, Charles/0000-0002-6562-4733; McDonald, Ian R/0000-0002-4847-6492; Herbold, Craig William/0000-0003-3479-0197; lee, charles/0000-0001-6906-4895; Cary, Stephen/0000-0002-2876-2387</t>
  </si>
  <si>
    <t>International Centre for Terrestrial Antarctic Research; University of Waikato; Antarctica New Zealand; New Zealand Post</t>
  </si>
  <si>
    <t>This research was supported by the International Centre for Terrestrial Antarctic Research, the University of Waikato, Antarctica New Zealand and New Zealand Post. Logistical support was provided by Antarctica New Zealand through their postgraduate research program.</t>
  </si>
  <si>
    <t>10.1007/s00300-015-1780-2</t>
  </si>
  <si>
    <t>WOS:000369067900006</t>
  </si>
  <si>
    <t>Massie, PP; McIntyre, T; Ryan, PG; Bester, MN; Bornemann, H; Ansorge, IJ</t>
  </si>
  <si>
    <t>Massie, Philip P.; McIntyre, Trevor; Ryan, Peter G.; Bester, Marthan N.; Bornemann, Horst; Ansorge, Isabelle J.</t>
  </si>
  <si>
    <t>The role of eddies in the diving behaviour of female southern elephant seals</t>
  </si>
  <si>
    <t>Marion Island; Mirounga leonina; Antarctic Circumpolar Current; Mesoscale features; Energetics; Dive types; Southwest Indian Ridge</t>
  </si>
  <si>
    <t>PRINCE-EDWARD-ISLANDS; MIROUNGA-LEONINA; INDIAN-OCEAN; PREDATOR; CIRCULATION; ALBATROSS; LOCATION; DYNAMICS; SWIM; SINK</t>
  </si>
  <si>
    <t>As the Antarctic Circumpolar Current crosses the South-West Indian Ocean Ridge, it creates an extensive eddy field characterised by high sea level anomaly variability. We investigated the diving behaviour of female southern elephant seals from Marion Island during their post-moult migrations in relation to this eddy field in order to determine its role in the animals' at-sea dispersal. Most seals dived within the region significantly more often than predicted by chance, and these dives were generally shallower and shorter than dives outside the eddy field. Mixed effects models estimated reductions of 44.33 +/- A 3.00 m (maximum depth) and 6.37 +/- A 0.10 min (dive duration) as a result of diving within the region, along with low between-seal variability (maximum depth: 5.5 % and dive duration: 8.4 %). U-shaped dives increased in frequency inside the eddy field, whereas W-shaped dives with multiple vertical movements decreased. Results suggest that Marion Island's adult female elephant seals' dives are characterised by lowered cost-of-transport when they encounter the eddy field during the start and end of their post-moult migrations. This might result from changes in buoyancy associated with varying body condition upon leaving and returning to the island. Our results do not suggest that the eddy field is a vital foraging ground for Marion Island's southern elephant seals. However, because seals preferentially travel through this area and likely forage opportunistically while minimising transport costs, we hypothesise that climate-mediated changes in the nature or position of this region may alter the seals' at-sea dispersal patterns.</t>
  </si>
  <si>
    <t>[Massie, Philip P.; Ryan, Peter G.] Univ Cape Town, Percy Fitzpatrick Inst African Ornithol, DST NRF Ctr Excellence, ZA-7700 Rondebosch, South Africa; [Massie, Philip P.; Ansorge, Isabelle J.] Univ Cape Town, Dept Oceanog, Marine Res Inst, ZA-7700 Rondebosch, South Africa; [McIntyre, Trevor; Bester, Marthan N.] Univ Pretoria, Mammal Res Inst, Dept Zool &amp; Entomol, Private Bag X20, ZA-0028 Hatfield, South Africa; [Bornemann, Horst] Alfred Wegener Inst Helmholtz Zentrum Polar &amp; Mee, Handelshafen 12, D-27570 Bremerhaven, Germany</t>
  </si>
  <si>
    <t>University of Cape Town; National Research Foundation - South Africa; University of Cape Town; University of Pretoria; Helmholtz Association; Alfred Wegener Institute, Helmholtz Centre for Polar &amp; Marine Research</t>
  </si>
  <si>
    <t>Massie, PP (corresponding author), Univ Cape Town, Percy Fitzpatrick Inst African Ornithol, DST NRF Ctr Excellence, ZA-7700 Rondebosch, South Africa.</t>
  </si>
  <si>
    <t>pmassie@gmail.com</t>
  </si>
  <si>
    <t>ANSORGE, ISABELLE/AAY-7396-2020; Bester, Marthán N/E-5387-2010; McIntyre, Trevor/E-6846-2010</t>
  </si>
  <si>
    <t>McIntyre, Trevor/0000-0001-8395-7550; Ansorge, Isabelle/0000-0001-7071-8147</t>
  </si>
  <si>
    <t>science faculty of the University of Cape Town; National Research Foundation (South Africa); Alfred Wegener Institute for Polar and Marine Research (Germany); South African National Antarctic Programme</t>
  </si>
  <si>
    <t>science faculty of the University of Cape Town; National Research Foundation (South Africa)(National Research Foundation - South AfricaSouth African Medical Research Council); Alfred Wegener Institute for Polar and Marine Research (Germany); South African National Antarctic Programme</t>
  </si>
  <si>
    <t>Thanks go to Arjun Amar and Tim Reid for their time and advice regarding statistical and spatial modelling technicalities, to Joachim Plotz for access to the seal tracking data, as well as to the hard-working field assistants responsible for deploying the devices since 2004. We are also extremely grateful to the assistance we received in the form of R code provided courtesy of Martin Biuw. This research was funded by the science faculty of the University of Cape Town as well as by the National Research Foundation (South Africa), and their generosity is greatly appreciated. The Alfred Wegener Institute for Polar and Marine Research (Germany) and the South African National Antarctic Programme are acknowledged for financial and logistical support. Finally, thanks to Vera for her support.</t>
  </si>
  <si>
    <t>10.1007/s00300-015-1782-0</t>
  </si>
  <si>
    <t>WOS:000369067900008</t>
  </si>
  <si>
    <t>Collins, GE; Hogg, ID</t>
  </si>
  <si>
    <t>Collins, Gemma E.; Hogg, Ian D.</t>
  </si>
  <si>
    <t>Temperature-related activity of Gomphiocephalus hodgsoni (Collembola) mitochondrial DNA (COI) haplotypes in Taylor Valley, Antarctica</t>
  </si>
  <si>
    <t>Climate change; Ecosystem responses; Hypogastruridae; Mitochondrial DNA; Population genetics; Ross Dependency</t>
  </si>
  <si>
    <t>CLIMATE-CHANGE; VICTORIA LAND; COLD TOLERANCE; DRY VALLEYS; ICE-SHEET; SPRINGTAIL; RECONSTRUCTION; POPULATIONS; MOUNTAINS; SYSTEM</t>
  </si>
  <si>
    <t>Gomphiocephalus hodgsoni (Collembola) is the most common and widely distributed arthropod in the Dry Valleys of southern Victoria Land, and is genetically diverse with over 70 mitochondrial cytochrome c oxidase subunit I (COI) haplotypes. There is also considerable physiological variation among G. hodgsoni individuals in their cold tolerance and metabolic activity. Here, we assessed genetic haplotypes of G. hodgsoni relative to the environmental conditions during which individuals were active. We sequenced the COI region of 151 individuals collected in pitfall traps from three sites within Taylor Valley and found 19 unique haplotypes that separated into two distinct lineages (1.6 % divergence), with one lineage comprising 80 % of the sequenced population. During two-hourly sampling, air temperature was the strongest predictor of activity between the two lineages (R (2) = 0.56), and when combined with subsurface soil temperature, relative humidity and photosynthetically active radiation, explanatory power increased to R (2) = 0.71. With steadily increasing air temperatures predicted for much of Antarctica, it is likely that some haplotypes will have a selective advantage and potentially result in decreased genetic variability within populations. We suggest that temporal monitoring of the relative proportions of COI haplotypes or other appropriate genetic markers may provide a subtle measure of biological responses to environmental changes within Antarctic terrestrial ecosystems.</t>
  </si>
  <si>
    <t>[Collins, Gemma E.; Hogg, Ian D.] Univ Waikato, Sch Sci, Private Bag 3105, Hamilton 3240, New Zealand</t>
  </si>
  <si>
    <t>University of Waikato</t>
  </si>
  <si>
    <t>Hogg, ID (corresponding author), Univ Waikato, Sch Sci, Private Bag 3105, Hamilton 3240, New Zealand.</t>
  </si>
  <si>
    <t>hogg@waikato.ac.nz</t>
  </si>
  <si>
    <t>Hogg, Ian D./HNS-7393-2023</t>
  </si>
  <si>
    <t>Hogg, Ian D./0000-0002-6685-0089</t>
  </si>
  <si>
    <t>International Centre for Terrestrial Antarctic Research (ICTAR); Government of Canada through the Ontario Genomics Institute; Genome Canada; ICTAR Young Investigator Award; Environmental Research Institute Masters Research Scholarship</t>
  </si>
  <si>
    <t>International Centre for Terrestrial Antarctic Research (ICTAR); Government of Canada through the Ontario Genomics Institute; Genome Canada(Genome Canada); ICTAR Young Investigator Award; Environmental Research Institute Masters Research Scholarship</t>
  </si>
  <si>
    <t>We are extremely grateful to three anonymous reviewers for their thoughtful and constructive comments which improved the manuscript. Sequencing at the University of Waikato was financed by the International Centre for Terrestrial Antarctic Research (ICTAR) and funding from the Government of Canada through the Ontario Genomics Institute and Genome Canada supporting sequencing at the CCDB at the University of Guelph. We thank Antarctica New Zealand staff at Scott Base and Christchurch for their field and logistic support. Financial support of G.C. was provided by the ICTAR Young Investigator Award and the Environmental Research Institute Masters Research Scholarship. C. Lee, C. Cary, J. Sohm, U. Nielsen, B. Adams and D. Wall provided valuable advice and support in Antarctica.</t>
  </si>
  <si>
    <t>10.1007/s00300-015-1788-7</t>
  </si>
  <si>
    <t>WOS:000369067900014</t>
  </si>
  <si>
    <t>Scheffer, A; Trathan, PN; Edmonston, JG; Bost, CA</t>
  </si>
  <si>
    <t>Scheffer, Annette; Trathan, Philip N.; Edmonston, Johnnie G.; Bost, Charles-Andre</t>
  </si>
  <si>
    <t>Combined influence of meso-scale circulation and bathymetry on the foraging behaviour of a diving predator, the king penguin (Aptenodytes patagonicus)</t>
  </si>
  <si>
    <t>ANTARCTIC POLAR FRONT; SOUTHERN-OCEAN; MESOPELAGIC FISH; SHELF WATERS; KERGUELEN; SEA; TEMPERATURE; PREY; HABITAT; SUMMER</t>
  </si>
  <si>
    <t>Investigating the responses of marine predators to environmental features is of key importance for understanding their foraging behaviour and reproductive success. In this study we examined the foraging behaviour of king penguins breeding at Kerguelen (southern Indian Ocean) in relation to oceanographic and bathymetric features within their foraging ambit. We used ARGOS and Global Positioning System tracking together with Time-Depth-Temperature-Recorders (TDR) to follow the at-sea movements of incubating and brooding king penguins. Combining the penguin behaviour with oceanographic data at the surface through satellite data and at depth through in-situ recordings by the TDRs enabled us to explore how these predators adjusted their horizontal and vertical foraging movements in response to their physical environment. Relating the observed behaviour and oceanographic patterns to local bathymetry lead to a comprehensive picture of the combined influence of bathymetry and meso-scale circulation on the foraging behaviour of king penguins. During both breeding stages king penguins foraged in the area to the south-east of Kerguelen, where they explored an influx of cold waters of southern origin interacting with the Kerguelen Plateau bathymetry. Foraging in the Polar Front and at the thermocline was associated with high prey capture rates. However, foraging trip orientation and water mass utilization suggested that bathymetrically entrained cold-water features provided the most favourable foraging locations. Our study explicitly reports the exploration of bathymetry-related oceanographic features by foraging king penguins. It confirms the presence of Areas of Ecological Significance for marine predators on the Kerguelen Plateau, and suggests the importance of further areas related to the cold-water flow along the shelf break of the Kerguelen Plateau. (C) 2015 Elsevier Ltd. All rights reserved.</t>
  </si>
  <si>
    <t>[Scheffer, Annette; Bost, Charles-Andre] CEBC, CNRS UPR 1934, F-79369 Villiers En Bois, France; [Scheffer, Annette; Trathan, Philip N.; Edmonston, Johnnie G.] British Antarctic Survey, Nat Environm Res Council, Madingley Rd, Cambridge CB3 0ET, England</t>
  </si>
  <si>
    <t>Centre National de la Recherche Scientifique (CNRS); UK Research &amp; Innovation (UKRI); Natural Environment Research Council (NERC); NERC British Antarctic Survey</t>
  </si>
  <si>
    <t>Scheffer, A (corresponding author), British Antarctic Survey, Madingley Rd, Cambridge CB3 0ET, England.</t>
  </si>
  <si>
    <t>annette.scheffer@gmx.de</t>
  </si>
  <si>
    <t>Institut Polaire Francais Paul-Emile Victor (IPEV) [394]; Institut Polaire Francais Paul-Emile Victor (ANR MyctO-3D-MAP); Zone Atelier Antarctique (INSU-CNRS); T.A.A.F; ANR Glides; BAS Ecosystems Programme; Natural Environment Research Council [bas0100035] Funding Source: researchfish; NERC [bas0100035] Funding Source: UKRI</t>
  </si>
  <si>
    <t>Institut Polaire Francais Paul-Emile Victor (IPEV); Institut Polaire Francais Paul-Emile Victor (ANR MyctO-3D-MAP)(Agence Nationale de la Recherche (ANR)); Zone Atelier Antarctique (INSU-CNRS); T.A.A.F; ANR Glides(Agence Nationale de la Recherche (ANR)); BAS Ecosystems Programme; Natural Environment Research Council(UK Research &amp; Innovation (UKRI)Natural Environment Research Council (NERC)); NERC(UK Research &amp; Innovation (UKRI)Natural Environment Research Council (NERC))</t>
  </si>
  <si>
    <t>The present work was supported financially and logistically by the Institut Polaire Francais Paul-Emile Victor (IPEV, programmes no. 394 resp. C.-A. Bost and ANR MyctO-3D-MAP resp. Y. Cherel), the Zone Atelier Antarctique (INSU-CNRS), T.A.A.F and ANR Glides as well as by the BAS Ecosystems Programme. The Ethics Committee of Institut Polaire Francais Paul-Emile Victor approved all field procedures. We especially thank J.B. Charrassin for his participation in the work at the beginning of the study. We would like to thank A.C. Dragon and Hugh Venables for their advice with data analysis. We also thank all the fieldworkers at Kerguelen from 1998 for their invaluable help. Special thanks to Alexis Chevalier and Pierrick Giraudet and Nory Elksaby. We thank 4 anonymous reviewers for their helpful comments which greatly improved the manuscript.</t>
  </si>
  <si>
    <t>10.1016/j.pocean.2015.10.005</t>
  </si>
  <si>
    <t>WOS:000378101200001</t>
  </si>
  <si>
    <t>Hobday, AJ; Alexander, LV; Perkins, SE; Smale, DA; Straub, SC; Oliver, ECJ; Benthuysen, JA; Burrows, MT; Donat, MG; Peng, M; Holbrook, NJ; Moore, PJ; Scannell, HA; Sen Gupta, A; Wernberg, T</t>
  </si>
  <si>
    <t>Hobday, Alistair J.; Alexander, Lisa V.; Perkins, Sarah E.; Smale, Dan A.; Straub, Sandra C.; Oliver, Eric C. J.; Benthuysen, Jessica A.; Burrows, Michael T.; Donat, Markus G.; Peng, Ming; Holbrook, Neil J.; Moore, Pippa J.; Scannell, Hillary A.; Sen Gupta, Alex; Wernberg, Thomas</t>
  </si>
  <si>
    <t>A hierarchical approach to defining marine heatwaves</t>
  </si>
  <si>
    <t>GREAT-BARRIER-REEF; CLIMATE EXTREMES; GLOBAL PATTERNS; HEAT WAVES; TEMPERATURE; IMPACTS; ADAPTATION; AUSTRALIA; BIODIVERSITY; VARIABILITY</t>
  </si>
  <si>
    <t>Marine heatwaves (MHWs) have been observed around the world and are expected to increase in intensity and frequency under anthropogenic climate change. A variety of impacts have been associated with these anomalous events, including shifts in species ranges, local extinctions and economic impacts on seafood industries through declines in important fishery species and impacts on aquaculture. Extreme temperatures are increasingly seen as important influences on biological systems, yet a consistent definition of MHWs does not exist. A clear definition will facilitate retrospective comparisons between MHWs, enabling the synthesis and a mechanistic understanding of the role of MHWs in marine ecosystems. Building on research into atmospheric heatwaves, we propose both a general and specific definition for MHWs, based on a hierarchy of metrics that allow for different data sets to be used in identifying MHWs. We generally define a MHW as a prolonged discrete anomalously warm water event that can be described by its duration, intensity, rate of evolution, and spatial extent. Specifically, we consider an anomalously warm event to be a MHW if it lasts for five or more days, with temperatures warmer than the 90th percentile based on a 30-year historical baseline period. This structure provides flexibility with regard to the description of MHWs and transparency in communicating MHWs to a general audience. The use of these metrics is illustrated for three 21st century MHWs; the northern Mediterranean event in 2003, the Western Australia Ningaloo Nino in 2011, and the northwest Atlantic event in 2012. We recommend a specific quantitative definition for MHWs to facilitate global comparisons and to advance our understanding of these phenomena. Crown Copyright (C) 2016 Published by Elsevier Ltd. All rights reserved.</t>
  </si>
  <si>
    <t>[Hobday, Alistair J.] CSIRO Oceans &amp; Atmosphere, Hobart, Tas 7000, Australia; [Alexander, Lisa V.; Perkins, Sarah E.; Oliver, Eric C. J.; Donat, Markus G.; Holbrook, Neil J.; Sen Gupta, Alex] Univ New S Wales, ARC Ctr Excellence Climate Syst Sci, Sydney, NSW, Australia; [Alexander, Lisa V.; Perkins, Sarah E.; Donat, Markus G.; Sen Gupta, Alex] Univ New S Wales, Climate Change Res Ctr, Sydney, NSW, Australia; [Smale, Dan A.] Marine Biol Assoc UK, Lab, Citadel Hill, Plymouth PL1 2PB, Devon, England; [Smale, Dan A.; Straub, Sandra C.; Wernberg, Thomas] Univ Western Australia, UWA Oceans Inst, Crawley, WA 6009, Australia; [Smale, Dan A.; Straub, Sandra C.; Wernberg, Thomas] Univ Western Australia, Sch Plant Biol, Crawley, WA 6009, Australia; [Oliver, Eric C. J.; Holbrook, Neil J.] Univ Tasmania, Inst Marine &amp; Antarctic Studies, Hobart, Tas, Australia; [Benthuysen, Jessica A.] Australian Inst Marine Sci, PMB 3, Townsville, Qld 4810, Australia; [Burrows, Michael T.] Scottish Marine Inst, Scottish Assoc Marine Sci, Dept Ecol, Oban PA37 1QA, Argyll, Scotland; [Peng, Ming] CSIRO Oceans &amp; Atmosphere, Perth, WA, Australia; [Moore, Pippa J.] Aberystwyth Univ, Inst Biol Environm &amp; Rural Sci, Aberystwyth SY23 3DA, Dyfed, Wales; [Scannell, Hillary A.] Univ Washington, Sch Oceanog, Seattle, WA 98195 USA; [Scannell, Hillary A.] NOAA, Pacific Marine Environm Lab, 7600 Sand Point Way Ne, Seattle, WA 98115 USA</t>
  </si>
  <si>
    <t>Commonwealth Scientific &amp; Industrial Research Organisation (CSIRO); University of New South Wales Sydney; ARC Centre of Excellence for Climate System Science; University of New South Wales Sydney; Marine Biological Association United Kingdom; University of Western Australia; University of Western Australia; University of Tasmania; Australian Institute of Marine Science; UHI Millennium Institute; Commonwealth Scientific &amp; Industrial Research Organisation (CSIRO); Aberystwyth University; UK Research &amp; Innovation (UKRI); Biotechnology and Biological Sciences Research Council (BBSRC); Institute of Biological, Environmental, Rural &amp; Sciences (IBERS); University of Washington; University of Washington Seattle; National Oceanic Atmospheric Admin (NOAA) - USA</t>
  </si>
  <si>
    <t>Hobday, AJ (corresponding author), CSIRO Oceans &amp; Atmosphere, Hobart, Tas 7000, Australia.</t>
  </si>
  <si>
    <t>Moore, Pippa/H-8079-2013; Hobday, Alistair/A-1460-2012; Feng, Ming/F-5411-2010; Moore, Pippa/HCH-3738-2022; Smale, Daniel/Y-2909-2019; Wernberg, Thomas/B-4172-2010; Smale, Dan A/B-3240-2011; Burrows, Michael/ABF-4844-2020; Donat, Markus/J-8331-2012; Perkins-Kirkpatrick, Sarah E/O-5042-2015; Oliver, Eric/G-5118-2014; Alexander, Lisa/A-8477-2011; Holbrook, Neil/M-7544-2013; Sen Gupta, Alexander/B-7995-2011</t>
  </si>
  <si>
    <t>Moore, Pippa/0000-0002-9889-2216; Smale, Daniel/0000-0003-4157-541X; Wernberg, Thomas/0000-0003-1185-9745; Burrows, Michael/0000-0003-4620-5899; Donat, Markus/0000-0002-0608-7288; Perkins-Kirkpatrick, Sarah/0000-0001-9443-4915; Benthuysen, Jessica/0000-0001-7615-6587; Oliver, Eric/0000-0002-4006-2826; Alexander, Lisa/0000-0002-5635-2457; Holbrook, Neil/0000-0002-3523-6254; Straub, Sandra/0000-0003-2450-4978; Scannell, Hillary/0000-0002-6604-1695; Sen Gupta, Alexander/0000-0001-5226-871X</t>
  </si>
  <si>
    <t>University of Western Australia Research Collaboration Award; UWA School of Plant Biology synthesis grant; ARC Centre of Excellence for Climate System Science (ARCCSS); ARC [DE140100952, DE150100456, CE110001028, FT110100174, FS110200029]; NERC [IRF NE/K008439/1, NE/J024082/1]; Marie Curie CIG [PCIG10-GA-2011-303685]; Natural Environment Research Council [NE/N00678X/1, NE/J021938/1, NE/K008439/1, NE/J024082/1] Funding Source: researchfish; Australian Research Council [FS110200029] Funding Source: Australian Research Council; NERC [NE/N00678X/1, NE/J021938/1, NE/J024082/1, NE/K008439/1] Funding Source: UKRI</t>
  </si>
  <si>
    <t>University of Western Australia Research Collaboration Award; UWA School of Plant Biology synthesis grant; ARC Centre of Excellence for Climate System Science (ARCCSS)(Australian Research Council); ARC(Australian Research Council); NERC(UK Research &amp; Innovation (UKRI)Natural Environment Research Council (NERC)); Marie Curie CIG(European Union (EU)); Natural Environment Research Council(UK Research &amp; Innovation (UKRI)Natural Environment Research Council (NERC)); Australian Research Council(Australian Research Council); NERC(UK Research &amp; Innovation (UKRI)Natural Environment Research Council (NERC))</t>
  </si>
  <si>
    <t>This contribution is an outcome from the working group 'Marine Heatwaves - physical drivers and properties' hosted at the UWA Oceans Institute by TW, DAS, NJH and ECJO. The working group received support from a University of Western Australia Research Collaboration Award, a UWA School of Plant Biology synthesis grant, and the ARC Centre of Excellence for Climate System Science (ARCCSS). This work contributes to the World Climate Research Programme (WCRP) Grand Challenge on Extremes. The workshop, and this paper, makes a contribution to the interests and activities of the International Commission on Climate of IAMAS/IUGG. NOAA High Resolution SST data provided by the NOAA/OAR/ESRL PSD, Boulder, Colorado, USA, from their Web site at http://www.esrl.noaa.gov/psd/. Insightful comments from two reviewers and the editor helped refine our manuscript. This paper is recorded as PMEL contribution number 4403. SEP was supported by ARC grant number DE140100952, MGD by ARC grant DE150100456, LVA by ARC grant number CE110001028, DS by NERC IRF NE/K008439/1, TW by ARC grant number FT110100174. MTB was supported by NERC grant NE/J024082/1, JB acknowledges support from CE110001028, ECJO by ARC grant numbers FS110200029 and CE110001028, PJM by Marie Curie CIG PCIG10-GA-2011-303685 and NERC grant NE/J024082/1.</t>
  </si>
  <si>
    <t>10.1016/j.pocean.2015.12.014</t>
  </si>
  <si>
    <t>WOS:000378101200016</t>
  </si>
  <si>
    <t>Cook, J; Edwards, A; Takeuchi, N; Irvine-Fynn, T</t>
  </si>
  <si>
    <t>Cook, Joseph; Edwards, Arwyn; Takeuchi, Nozomu; Irvine-Fynn, Tristram</t>
  </si>
  <si>
    <t>Cryoconite: The dark biological secret of the cryosphere</t>
  </si>
  <si>
    <t>PROGRESS IN PHYSICAL GEOGRAPHY-EARTH AND ENVIRONMENT</t>
  </si>
  <si>
    <t>cryoconite; biogeochemistry; glaciology; albedo; nutrient cycling</t>
  </si>
  <si>
    <t>GLACIER NO. 1; MCMURDO DRY VALLEYS; HIGH-ARCTIC GLACIER; ORGANIC-MATTER; ABLATION ZONE; SURFACE DUST; BACTERIAL COMMUNITIES; MICROBIAL COMMUNITIES; IN-SITU; SUPRAGLACIAL DEBRIS</t>
  </si>
  <si>
    <t>Cryoconite is granular sediment found on glacier surfaces comprising both mineral and biological material. Despite long having been recognised as an important glaciological and biological phenomenon cryoconite remains relatively poorly understood. Here, we appraise the literature on cryoconite for the first time, with the aim of synthesising and evaluating current knowledge to direct future investigations. We review the properties of cryoconite, the environments in which it is found, the biology and biogeochemistry of cryoconite, and its interactions with climate and anthropogenic pollutants. We generally focus upon cryoconite in the Arctic in summer, with Antarctic and lower latitude settings examined individually. We then compare the current state-of-the-science with that at the turn of the twentieth century, and suggest directions for future research including specific recommendations for studies at a range of spatial scales and a framework for integrating these into a more holistic understanding of cryoconite and its role in the cryosphere.</t>
  </si>
  <si>
    <t>[Cook, Joseph] Univ Derby, Derby DE22 1GB, England; [Edwards, Arwyn; Irvine-Fynn, Tristram] Aberystwyth Univ, Aberystwyth SY23 3FG, Dyfed, Wales; [Takeuchi, Nozomu] Chiba Univ, Chiba, Japan</t>
  </si>
  <si>
    <t>University of Derby; Aberystwyth University; Chiba University</t>
  </si>
  <si>
    <t>Cook, J (corresponding author), Univ Derby, Coll Life &amp; Nat Sci, Derby DE22 1GB, England.</t>
  </si>
  <si>
    <t>j.cook1@derby.ac.uk</t>
  </si>
  <si>
    <t>Takeuchi, Nozomu/Q-7869-2016</t>
  </si>
  <si>
    <t>Takeuchi, Nozomu/0000-0002-3267-5534; Cook, Joseph/0000-0002-9270-363X; Irvine-Fynn, Tristram/0000-0003-3157-6646</t>
  </si>
  <si>
    <t>Royal Society [RG2013]; NERC [NE/K000942/1]; [262470]; Natural Environment Research Council [NE/K000942/1] Funding Source: researchfish; NERC [NE/K000942/1] Funding Source: UKRI; Grants-in-Aid for Scientific Research [23221004, 26247078, 26241020] Funding Source: KAKEN</t>
  </si>
  <si>
    <t>Royal Society(Royal Society); NERC(UK Research &amp; Innovation (UKRI)Natural Environment Research Council (NERC)); ; Natural Environment Research Council(UK Research &amp; Innovation (UKRI)Natural Environment Research Council (NERC)); NERC(UK Research &amp; Innovation (UKRI)Natural Environment Research Council (NERC)); Grants-in-Aid for Scientific Research(Ministry of Education, Culture, Sports, Science and Technology, Japan (MEXT)Japan Society for the Promotion of ScienceGrants-in-Aid for Scientific Research (KAKENHI))</t>
  </si>
  <si>
    <t>The author(s) disclosed receipt of the following financial support for the research, authorship, and/or publication of this article: This work was supported by the Royal Society (grant number RG2013) and NERC (grant number NE/K000942/1). Nozomu Takeuchi acknowledges Grant-in-Aid No. 262470.</t>
  </si>
  <si>
    <t>0309-1333</t>
  </si>
  <si>
    <t>1477-0296</t>
  </si>
  <si>
    <t>PROG PHYS GEOG</t>
  </si>
  <si>
    <t>Prog. Phys. Geogr.</t>
  </si>
  <si>
    <t>10.1177/0309133315616574</t>
  </si>
  <si>
    <t>DB9DV</t>
  </si>
  <si>
    <t>WOS:000368817500004</t>
  </si>
  <si>
    <t>Moorhead, DL; Sinsabaugh, RL; Hill, BH; Weintraub, MN</t>
  </si>
  <si>
    <t>Moorhead, Daryl L.; Sinsabaugh, Robert L.; Hill, Brian H.; Weintraub, Michael N.</t>
  </si>
  <si>
    <t>Vector analysis of ecoenzyme activities reveal constraints on coupled C, N and P dynamics</t>
  </si>
  <si>
    <t>Extracellular enzymes; Stoichiometry; Vectors; Nutrients</t>
  </si>
  <si>
    <t>ENZYME-ACTIVITY; STOICHIOMETRY; DEPOSITION; SOIL; LIMITATION; EFFICIENCY; FOREST; LEAF</t>
  </si>
  <si>
    <t>The primary goal of this study was to devise a quantitative method of interpreting the simultaneous microbial C, N, and P acquisition through the activities of four, key extracellular enzymes, 1,4-beta-glucosidase (BG), leucine aminopeptidase (LAP), 1,4-beta-N-acetylglucosaminidase (NAG) and acid/alkaline phosphatases (AP). To this end, the proportional activity of C vs. N acquiring enzymes (BG/[BG + NAG + LAP]) was plotted against C vs. P acquiring enzymes (BG/[BG + AP]). We then calculated the length and angle of the vector created by connecting a line between the plot origin and point represented by these proportions; the length quantifies relative C vs. nutrient limitation and the angle quantifies the relative P vs. N limitation. Analyses of large data sets obtained from soil, freshwater periphyton and aquatic sediments revealed that logarithmic, arcsine, arcsine-square-root and logit transformations did little to improve the statistical distribution of data over raw proportions. More importantly, the vector characteristics of enzyme activity loci are much easier to interpret for raw proportions than when data have been previously transformed. Analyses also revealed the importance of using consistent methods, i.e., omitting NAG assays for an acidic soil led to overestimates of P limitations, and the importance of understanding the nature of the system, i.e., soils of the Antarctic Dry Valleys had low BG activities, likely because there is little to no local production of cellulose. Further, analyses of four sites in Luquillo Forest, Puerto Rico, showed no differences among sites in relative C demand despite differences in BG activities, and higher P demand in the cloud than lower montane forest, despite higher AP activity at the latter site. Finally, analyses of three decomposing litter types over time revealed contrasting patterns of change in relative C, N and P demand over time, reflecting both stoichiometric and C quality effects on decomposer communities. Thus enzyme activity vectors reflect the simultaneous, relative resource demands of the microbial community independent of variations in total enzyme activity, such as may result from variations in total microbial biomass. (C) 2015 Elsevier Ltd. All rights reserved.</t>
  </si>
  <si>
    <t>[Moorhead, Daryl L.; Weintraub, Michael N.] Univ Toledo, Dept Environm Sci, 2801 W Bancroft St, Toledo, OH 43606 USA; [Sinsabaugh, Robert L.] Univ New Mexico, Dept Biol 1, Albuquerque, NM 87131 USA; [Hill, Brian H.] US EPA, Midcontinent Ecol Div, Natl Hlth &amp; Environm Effects Res Lab, Off Res &amp; Dev, Duluth, MN 55804 USA</t>
  </si>
  <si>
    <t>University System of Ohio; University of Toledo; University of New Mexico; United States Environmental Protection Agency</t>
  </si>
  <si>
    <t>Moorhead, DL (corresponding author), Univ Toledo, Dept Environm Sci, 2801 W Bancroft St, Toledo, OH 43606 USA.</t>
  </si>
  <si>
    <t>daryl.moorhead@utoledo.edu</t>
  </si>
  <si>
    <t>Schimel, Joshua/AAE-7380-2019; Hill, Brian H/E-6799-2013</t>
  </si>
  <si>
    <t>Schimel, Joshua/0000-0002-1022-6623; Weintraub, Michael/0000-0002-9623-2855</t>
  </si>
  <si>
    <t>NSF Ecosystems Program grant [DEB-0918718]</t>
  </si>
  <si>
    <t>NSF Ecosystems Program grant</t>
  </si>
  <si>
    <t>We thank Daniela F. Cusack for interpretation of the Luquillo data. DLM, MNW and RLS received support from the NSF Ecosystems Program grant DEB-0918718.</t>
  </si>
  <si>
    <t>10.1016/j.soilbio.2015.10.019</t>
  </si>
  <si>
    <t>DC4RE</t>
  </si>
  <si>
    <t>WOS:000369207200001</t>
  </si>
  <si>
    <t>Meredith, NP; Horne, RB; Isles, JD; Green, JC</t>
  </si>
  <si>
    <t>Meredith, Nigel P.; Horne, Richard B.; Isles, John D.; Green, Janet C.</t>
  </si>
  <si>
    <t>Extreme energetic electron fluxes in low Earth orbit: Analysis of POES E&gt;30, E&gt;100, and E&gt;300keV electrons</t>
  </si>
  <si>
    <t>SPACE WEATHER-THE INTERNATIONAL JOURNAL OF RESEARCH AND APPLICATIONS</t>
  </si>
  <si>
    <t>extreme space weather</t>
  </si>
  <si>
    <t>BELT; ACCELERATION</t>
  </si>
  <si>
    <t>Energetic electrons are an important space weather hazard. Electrons with energies less than about 100keV cause surface charging, while higher-energy electrons can penetrate materials and cause internal charging. In this study we conduct an extreme value analysis of the maximum 3-hourly flux of E &gt; 30keV, E &gt; 100keV, and E &gt; 300keV electrons in low Earth orbit as a function of L, for geomagnetic field lines that map to the outer radiation belt, using data from the National Oceanic and Atmospheric Administration Polar Operational Environmental Satellites (POES) from July 1998 to June 2014. The 1 in 10year flux of E &gt; 30keV electrons shows a general increasing trend with distance ranging from 1.8 x 10(7)cm(-2)s(-1)sr(-1) at L=3.0 to 6.6 x 10(7)cm(-2)s(-1)sr(-1) at L=8.0. The 1 in 10year flux of E &gt; 100keV electrons peaks at L=4.5-5.0 at 1.9 x 10(7)cm(-2)s(-1)sr(-1) decreasing to minima of 7.1 x 10(6) and 8.7 x 10(6)cm(-2)s(-1)sr(-1) at L=3.0 and 8.0, respectively. In contrast to the E &gt; 30keV electrons, the 1 in 10year flux of E &gt; 300keV electrons shows a general decreasing trend with distance, ranging from 2.4 x 10(6)cm(-2)s(-1)sr(-1) at L=3.0 to 1.2 x 10(5)cm(-2)s(-1)sr(-1) at L=8.0. Our analysis suggests that there is a limit to the E &gt; 30keV electrons with an upper bound in the range 5.1 x 10(7) to 8.8 x 10(7)cm(-2)s(-1)sr(-1). However, the results suggest that there is no upper bound for the E &gt; 100keV and E &gt; 300keV electrons.</t>
  </si>
  <si>
    <t>[Meredith, Nigel P.; Horne, Richard B.; Isles, John D.] British Antarctic Survey, Nat Environm Res Council, Cambridge CB3 0ET, England; [Green, Janet C.] Space Hazards Applicat LLC, Golden, CO USA</t>
  </si>
  <si>
    <t>Meredith, NP (corresponding author), British Antarctic Survey, Nat Environm Res Council, Cambridge CB3 0ET, England.</t>
  </si>
  <si>
    <t>nmer@bas.ac.uk</t>
  </si>
  <si>
    <t>Horne, Richard B/U-3764-2019; Meredith, Nigel P/C-5806-2018</t>
  </si>
  <si>
    <t>Horne, Richard B/0000-0002-0412-6407; Meredith, Nigel/0000-0001-5032-3463</t>
  </si>
  <si>
    <t>ESA/GSTP; Natural Environment Research Council; European Union [606716]; NERC [bas0100031] Funding Source: UKRI; Natural Environment Research Council [bas0100031] Funding Source: researchfish</t>
  </si>
  <si>
    <t>ESA/GSTP; Natural Environment Research Council(UK Research &amp; Innovation (UKRI)Natural Environment Research Council (NERC)); European Union(European Union (EU)); NERC(UK Research &amp; Innovation (UKRI)Natural Environment Research Council (NERC)); Natural Environment Research Council(UK Research &amp; Innovation (UKRI)Natural Environment Research Council (NERC))</t>
  </si>
  <si>
    <t>We would like to thank Justin Likar, David Pitchford, and David Wade for their useful discussions. We acknowledge the NOAA National Geophysical Data Center, now called the National Centers for Environmental Information, for the provision of the POES energetic particle data used in this study. The UNILIB library used in this study was developed by the Belgian Institute for Space Aeronomy under ESA/GSTP funding and is available at http://www.mag-unilib.eu/. The research leading to these results has received funding from the Natural Environment Research Council and the European Union Seventh Framework Programme (FP7/2007-2013) under grant agreement 606716 (SPACESTORM). The data used to generate the plots in this paper are stored at the BAS Polar Data Center and are available on request.</t>
  </si>
  <si>
    <t>1542-7390</t>
  </si>
  <si>
    <t>SPACE WEATHER</t>
  </si>
  <si>
    <t>Space Weather</t>
  </si>
  <si>
    <t>10.1002/2015SW001348</t>
  </si>
  <si>
    <t>Astronomy &amp; Astrophysics; Geochemistry &amp; Geophysics; Meteorology &amp; Atmospheric Sciences</t>
  </si>
  <si>
    <t>DH9MY</t>
  </si>
  <si>
    <t>WOS:000373121400007</t>
  </si>
  <si>
    <t>Xiao, WS; Frederichs, T; Gersonde, R; Kuhn, G; Esper, O; Zhang, X</t>
  </si>
  <si>
    <t>Xiao, Wenshen; Frederichs, Thomas; Gersonde, Rainer; Kuhn, Gerhard; Esper, Oliver; Zhang, Xu</t>
  </si>
  <si>
    <t>Constraining the dating of late Quaternary marine sediment records from the Scotia Sea (Southern Ocean)</t>
  </si>
  <si>
    <t>QUATERNARY GEOCHRONOLOGY</t>
  </si>
  <si>
    <t>Scotia sea; Magnetic susceptibility; AMS C-14; Geomagnetic paleointensity; Diatom stratigraphy; Tephrochronology</t>
  </si>
  <si>
    <t>ANTARCTIC CIRCUMPOLAR CURRENT; RELATIVE PALEOINTENSITY; ICE-CORE; GEOMAGNETIC PALEOINTENSITY; LATE PLEISTOCENE; ATLANTIC SECTOR; NORTH-ATLANTIC; TEPHRA LAYERS; INDIAN-OCEAN; ENVIRONMENTAL MAGNETISM</t>
  </si>
  <si>
    <t>In Southern Ocean sediments south of the Antarctic Polar Front, the scarcity of calcareous microfossils hampers the development of sediment chronologies based on radiocarbon dating and oxygen isotope stratigraphy established from carbonate. In this study, radiometric dating, magnetic susceptibility (MS), biogenic opal content, diatom abundance fluctuation, and paleomagnetic information were investigated on a north south transect of central Scotia Sea sediment cores to verify their reliability as stratigraphic tools in the study area. Radiocarbon dating on organic carbon humic acid fraction can be used to establish the stratigraphy of upper core sections, but regional comparison and correlation are needed to verify a possible bias by fossil carbon contamination. For the long-term stratigraphy, MS, which can be correlated to the Antarctic ice core dust/climate signal, represents the most valuable parameter. Fine-grained single domain magnetite, probably of biogenic origin, makes a significant contribution to the interglacial MS signal, while major contributions from detrital material affect the glacial MS record. The core from the southern Scotia Sea contains significant proportions of biogenic magnetite also in glacial sediments, suggesting depositional environments different from those of the northern Scotia Sea. Our data suggest low contributions of high-coercive minerals to the overall magnetic intensity of glacial and interglacial Scotia Sea sediments, which excludes dust as a main source of the magnetic signal. Opal content can be used to distinguish between cold and warm intervals for the past 300 thousand years. Abundance fluctuation patterns of diatom species Fragilariopsis kerguelensis and Eucampia antarctica are useful stratigraphic tools for periods back to Marine Isotope Stage (MIS) 6. The Mono Lake geomagnetic excursion is identified in Scotia Sea sediments for the first time. Possible correlations of ash layers are suggested between Scotia Sea sediments and East Antarctic ice cores. They have potential to serve as additional age markers for further studies in this area. (C) 2015 Elsevier B.V. All rights reserved.</t>
  </si>
  <si>
    <t>[Xiao, Wenshen; Gersonde, Rainer; Kuhn, Gerhard; Esper, Oliver; Zhang, Xu] Helmholtz Zentrum Polar &amp; Meersforsch, Alfred Wegener Inst, D-27568 Bremerhaven, Germany; [Xiao, Wenshen] Tongji Univ, State Key Lab Marine Geol, Shanghai 200092, Peoples R China; [Frederichs, Thomas] Univ Bremen, Fachbereich Geowissensch, D-28334 Bremen, Germany</t>
  </si>
  <si>
    <t>Helmholtz Association; Alfred Wegener Institute, Helmholtz Centre for Polar &amp; Marine Research; Tongji University; University of Bremen</t>
  </si>
  <si>
    <t>Xiao, WS (corresponding author), Helmholtz Zentrum Polar &amp; Meersforsch, Alfred Wegener Inst, D-27568 Bremerhaven, Germany.</t>
  </si>
  <si>
    <t>Zhang, Xu/AFX-8847-2022</t>
  </si>
  <si>
    <t>Zhang, Xu/0000-0003-1833-9689; Esper, Oliver/0000-0002-4342-3471</t>
  </si>
  <si>
    <t>Alfred Wegener Institute PACES program (Polar Regions and Coasts in the Changing Earth System); Deutsche Forschungsgemeinschaft DFG Research Center [FTZ-15 MARUM-OC3]; DFG [KU 683/9]; HOLOCLIP Project, a joint research project of ESF PolarCLIMATE program</t>
  </si>
  <si>
    <t>Alfred Wegener Institute PACES program (Polar Regions and Coasts in the Changing Earth System); Deutsche Forschungsgemeinschaft DFG Research Center(German Research Foundation (DFG)); DFG(German Research Foundation (DFG)); HOLOCLIP Project, a joint research project of ESF PolarCLIMATE program</t>
  </si>
  <si>
    <t>This work was co-supported by the Alfred Wegener Institute PACES program (Polar Regions and Coasts in the Changing Earth System), Deutsche Forschungsgemeinschaft DFG Research Center FTZ-15 MARUM-OC3 Project, DFG project KU 683/9, and the HOLOCLIP Project, a joint research project of ESF PolarCLIMATE program, funded by national contributions from Italy, France, Germany, Spain, Netherlands, Belgium and the United Kingdom. We thank the members of R/V Polarstern cruises ANT-X/5, ANT-XI/2, and ANT-XXII/4, for retrieving the study materials. The constructive comments from an anonymous reviewer and the editor were very helpful in improving the manuscript.</t>
  </si>
  <si>
    <t>1871-1014</t>
  </si>
  <si>
    <t>1878-0350</t>
  </si>
  <si>
    <t>QUAT GEOCHRONOL</t>
  </si>
  <si>
    <t>Quat. Geochronol.</t>
  </si>
  <si>
    <t>10.1016/j.quageo.2015.11.003</t>
  </si>
  <si>
    <t>CZ9JH</t>
  </si>
  <si>
    <t>WOS:000367413400010</t>
  </si>
  <si>
    <t>Chi, J; Kim, HC; Kang, SH</t>
  </si>
  <si>
    <t>Chi, Junhwa; Kim, Hyun-Cheol; Kang, Sung-Ho</t>
  </si>
  <si>
    <t>Machine learning-based temporal mixture analysis of hypertemporal Antarctic sea ice data</t>
  </si>
  <si>
    <t>Hypertemporal image (HTI) is often used to exploit the seasonal characteristics of environmental phenomena such as sea ice concentration (SIC). However, it is difficult to analyse the long-term time series acquired at high temporal frequencies and over extensive areas. This study performed temporal mixture analysis (TMA), which is algebraically similar to spectral mixture analysis (SMA), but occurs in the time domain instead of the spectral domain. TMA was used to investigate the temporal characteristics of Antarctic sea ice. Because endmember (EM) selection is critical to the success of both SMA and TMA, it is important to select proper EMs from large quantities of HTI. In this study, a machine learning (ML) technique is incorporated in identifying EMs without prior information to address the limitations of previous research. A fully linear mixing model was then implemented in an attempt to produce more robust and physically meaningful abundance estimates. Experiments that quantitatively and qualitatively evaluated the proposed approaches were conducted. A TMA of high-temporal-dimensional data provides a unique summary of long-term Antarctic sea ice and noise-whitened reconstruction images via inverse processing. Furthermore, comparisons of regional sea ice fractions from experimental results enhance the understanding of the overall Antarctic sea ice changes.</t>
  </si>
  <si>
    <t>[Chi, Junhwa; Kim, Hyun-Cheol; Kang, Sung-Ho] Korea Polar Res Inst, Div Polar Ocean Environm, Inchon, South Korea</t>
  </si>
  <si>
    <t>Korea Institute of Ocean Science &amp; Technology (KIOST); Korea Polar Research Institute (KOPRI)</t>
  </si>
  <si>
    <t>Kim, HC (corresponding author), Korea Polar Res Inst, Div Polar Ocean Environm, Inchon, South Korea.</t>
  </si>
  <si>
    <t>kimhc@kopri.re.kr</t>
  </si>
  <si>
    <t>Kim, Hyun-Cheol/AAP-1250-2020</t>
  </si>
  <si>
    <t>Kim, Hyun-Cheol/0000-0002-6831-9291; Chi, Junhwa/0000-0003-4943-3790</t>
  </si>
  <si>
    <t>Korea Polar Research Institute [PE15040]; Ministry of Ocean and Fishery [PM15040]</t>
  </si>
  <si>
    <t>Korea Polar Research Institute(Korea Polar Research Institute of Marine Research Placement (KOPRI)); Ministry of Ocean and Fishery</t>
  </si>
  <si>
    <t>This study was supported by the Korea Polar Research Institute [grant number PE15040] and the Ministry of Ocean and Fishery [grant number PM15040].</t>
  </si>
  <si>
    <t>10.1080/2150704X.2015.1121300</t>
  </si>
  <si>
    <t>CX4WH</t>
  </si>
  <si>
    <t>WOS:000365700600001</t>
  </si>
  <si>
    <t>Chen, J; Ke, CQ; Zhou, XB; Shao, ZD; Li, LY</t>
  </si>
  <si>
    <t>Chen Jun; Ke Changqing; Zhou Xiaobing; Shao Zhude; Li Lanyu</t>
  </si>
  <si>
    <t>Surface velocity estimations of ice shelves in the northern Antarctic Peninsula derived from MODIS data</t>
  </si>
  <si>
    <t>JOURNAL OF GEOGRAPHICAL SCIENCES</t>
  </si>
  <si>
    <t>surface velocities; ice shelf; northern Antarctic Peninsula; MODIS; spatiotemporal variations</t>
  </si>
  <si>
    <t>GLACIER VELOCITY; LAMBERT GLACIER; DISINTEGRATION; MOTION; FIELD; FLOW; STABILITY; ACCURACY; PATTERN; BASIN</t>
  </si>
  <si>
    <t>The ice shelves in the northern Antarctic Peninsula are highly sensitive to variations of temperature and have therefore served as indicators of global warming. In this study, we estimate the velocities of the ice shelves in the northern Antarctic Peninsula using co-registration of optically sensed images and correlation module (COSI-Corr) in the Environment for Visualizing Images (ENVI) based on Moderate Resolution Imaging Spectroradiometer (MODIS) images during 2000-2012, from which we conclude that the ice flow directions generally match the peninsulas pattern and the crevasse, ice flows mainly eastward into the Weddell Sea. The spatial pattern of velocity field exhibits an increasing trend from the western grounding line to the maximum at the middle part of the ice shelf front on Larsen C with a velocity of approximately 700 ma(-1), and the velocity field shows relatively higher values in its southerly neighboring ice shelf (e.g. Smith Inlet). Additionally, ice flows are relatively quicker in the outer part of the ice shelf than in the inner parts. Temporal changes in surface velocities show a continuous increase from 2000 to 2012. It is worth noting that, the acceleration rate during 2000-2009 is relatively higher than that during 2009-2012, while the ice movement on the southern Larsen C and Smith Inlet shows a deceleration from 2009 to 2012.</t>
  </si>
  <si>
    <t>[Chen Jun; Ke Changqing; Shao Zhude; Li Lanyu] Nanjing Univ, Jiangsu Prov Key Lab Geog Informat Sci &amp; Technol, Nanjing 210023, Jiangsu, Peoples R China; [Chen Jun; Ke Changqing; Shao Zhude; Li Lanyu] Nanjing Univ, Key Lab Satellite Mapping Technol &amp; Applicat, State Adm Surveying Mapping &amp; Geoinformat China, Nanjing 210023, Jiangsu, Peoples R China; [Zhou Xiaobing] Univ Montana, Montana Tech, Dept Geophys Engn, Butte, MT 59701 USA</t>
  </si>
  <si>
    <t>Nanjing University; Nanjing University; University of Montana System; Montana Technological University; University of Montana</t>
  </si>
  <si>
    <t>Ke, CQ (corresponding author), Nanjing Univ, Jiangsu Prov Key Lab Geog Informat Sci &amp; Technol, Nanjing 210023, Jiangsu, Peoples R China.</t>
  </si>
  <si>
    <t>gischen@126.com; kecq@nju.edu.cn</t>
  </si>
  <si>
    <t>li, lanyu/GSN-6045-2022</t>
  </si>
  <si>
    <t>National Nature Science Foundation of China [41371391]; Chinese National Antarctic and Arctic Research Expedition [CHINARE2015-02-02]; Specialized Research Fund for the Doctoral Program of Higher Education of China [20120091110017]; Priority Academic Program Development of Jiangsu Higher Education Institutions (PAPD); Collaborative Innovation Center of Novel Software Technology and Industrialization</t>
  </si>
  <si>
    <t>National Nature Science Foundation of China(National Natural Science Foundation of China (NSFC)); Chinese National Antarctic and Arctic Research Expedition; Specialized Research Fund for the Doctoral Program of Higher Education of China(Specialized Research Fund for the Doctoral Program of Higher Education (SRFDP)); Priority Academic Program Development of Jiangsu Higher Education Institutions (PAPD); Collaborative Innovation Center of Novel Software Technology and Industrialization</t>
  </si>
  <si>
    <t>National Nature Science Foundation of China, No. 41371391; Chinese National Antarctic and Arctic Research Expedition, No. CHINARE2015-02-02; Specialized Research Fund for the Doctoral Program of Higher Education of China, No. 20120091110017; A Project Funded by the Priority Academic Program Development of Jiangsu Higher Education Institutions (PAPD). And this work was partially supported by Collaborative Innovation Center of Novel Software Technology and Industrialization</t>
  </si>
  <si>
    <t>1009-637X</t>
  </si>
  <si>
    <t>1861-9568</t>
  </si>
  <si>
    <t>J GEOGR SCI</t>
  </si>
  <si>
    <t>J. Geogr. Sci.</t>
  </si>
  <si>
    <t>10.1007/s11442-016-1266-3</t>
  </si>
  <si>
    <t>Geography, Physical</t>
  </si>
  <si>
    <t>Physical Geography</t>
  </si>
  <si>
    <t>CY7YD</t>
  </si>
  <si>
    <t>WOS:000366624300008</t>
  </si>
  <si>
    <t>Haus, NW; Wilhelm, KR; Bockheim, JG; Fournelle, J; Miller, M</t>
  </si>
  <si>
    <t>Haus, Nicholas W.; Wilhelm, Kelly R.; Bockheim, James G.; Fournelle, John; Miller, Michael</t>
  </si>
  <si>
    <t>A case for chemical weathering in soils of Hurd Peninsula, Livingston Island, South Shetland Islands, Antarctica</t>
  </si>
  <si>
    <t>GEODERMA</t>
  </si>
  <si>
    <t>Antarctic soils; Entisols; Tephra; Omithogenic soils; Soil weathering</t>
  </si>
  <si>
    <t>MARITIME ANTARCTICA; CRYOSOLS; DISSOLUTION; OXALATE; RATES</t>
  </si>
  <si>
    <t>The soils of the South Shetland Islands, Antarctica are considered weakly developed. Chemical weathering processes are generally considered to be negligible except in areas that receive large additions of seabird guano. In this paper we describe and analyze 19 soils on Hurd Peninsula, Livingston Island in the South Shetland Island Archipelago. The soils were classified according to US Soil Taxonomy and were generally weakly developed Gelorthents, Humigelepts and Haplorthels. However, B horizon formation, rubification and increases in extractable Fe and Al were observed on toposequences of raised beaches. The deposition of tephra and/or guano is likely responsible for the chemically driven processes. Guano deposits contain phosphates and oxalic acid, causing phosphatization and/or dissolution of silicates. Input of tephra with easily weatherable minerals may account for metastable mineral formation. Tephra deposition in the oldest raised beaches has formed a fine-textured mantle overlying the coarser textured subsoils. Highly weatherable tephra, as opposed to guano deposition, appears to influence soil formation at Hurd Peninsula. (C) 2015 Elsevier B.V. All rights reserved.</t>
  </si>
  <si>
    <t>[Haus, Nicholas W.; Wilhelm, Kelly R.; Bockheim, James G.] Univ Wisconsin, Dept Soil Sci, Madison, WI 53706 USA; [Fournelle, John; Miller, Michael] Univ Wisconsin, Dept Geosci, Madison, WI 53706 USA</t>
  </si>
  <si>
    <t>Wilhelm, KR (corresponding author), Univ Wisconsin, Dept Soil Sci, 1525 Observ Dr, Madison, WI 53706 USA.</t>
  </si>
  <si>
    <t>krwilhelm@wisc.edu</t>
  </si>
  <si>
    <t>Wilhelm, Kelly/0000-0002-7117-4898; Fournelle, John/0000-0001-9689-8852</t>
  </si>
  <si>
    <t>National Science Foundation [NSF OPP-0943799]</t>
  </si>
  <si>
    <t>The National Science Foundation supported this research (NSF OPP-0943799). The Spanish and Bulgarian Antarctic Programs provided logistical support in 2011. A.S. Haus assisted in the geochemical modeling and reviews of this manuscript</t>
  </si>
  <si>
    <t>0016-7061</t>
  </si>
  <si>
    <t>1872-6259</t>
  </si>
  <si>
    <t>Geoderma</t>
  </si>
  <si>
    <t>10.1016/j.geoderma.2015.09.019</t>
  </si>
  <si>
    <t>CW5SK</t>
  </si>
  <si>
    <t>WOS:000365056700019</t>
  </si>
  <si>
    <t>Cook, JM; Hodson, AJ; Irvine-Fynn, TDL</t>
  </si>
  <si>
    <t>Cook, Joseph Mitchell; Hodson, Andy J.; Irvine-Fynn, Tristram D. L.</t>
  </si>
  <si>
    <t>Supraglacial weathering crust dynamics inferred from cryoconite hole hydrology</t>
  </si>
  <si>
    <t>HYDROLOGICAL PROCESSES</t>
  </si>
  <si>
    <t>glacier; hydrology; cryoconite; weathering crust; supraglacial</t>
  </si>
  <si>
    <t>GROUND-PENETRATING RADAR; ANTARCTIC ICE-SHEET; BACTERIAL COMMUNITIES; AUSTRE-BROGGERBREEN; MICROBIAL ACTIVITY; VALLEY GLACIERS; FLOW-CYTOMETRY; CARBON FLUXES; PEYTO GLACIER; SURFACE</t>
  </si>
  <si>
    <t>Water levels in cryoconite holes were monitored at high resolution over a 3-week period on Austre Broggerbreen (Svalbard). These data were combined with melt and energy balance modelling, providing insights into the evolution of the glacier's near-surface hydrology and confirming that the hydrology of the near-surface, porous ice known as the 'weathering crust' is dynamic and analogous to a shallow-perched aquifer. A positive correlation between radiative forcing of melt and drainage efficiency was found within the weathering crust. This likely resulted from diurnal contraction and dilation of interstitial pore spaces driven by variations in radiative and turbulent fluxes in the surface energy balance, occasionally causing 'sudden drainage events'. A linear decrease in water levels in cryoconite holes was also observed and attributed to cumulative increases in near-surface ice porosity over the measurement period. The transport of particulate matter and microbes between cryoconite holes through the porous weathering crust is shown to be dependent upon weathering crust hydraulics and particle size. Cryoconite holes therefore yield an indication of the hydrological dynamics of the weathering crust and provide long-term storage loci for cryoconite at the glacier surface. This study highlights the importance of the weathering crust as a crucial component of the hydrology, ecology and biogeochemistry of the glacier ecosystem and glacierized regions and demonstrates the utility of cryoconite holes as natural piezometers on glacier surfaces. Copyright (C) 2015 John Wiley &amp; Sons, Ltd.</t>
  </si>
  <si>
    <t>[Cook, Joseph Mitchell] Univ Derby, Coll Life &amp; Nat Sci, Derby DE22 1GB, England; [Hodson, Andy J.] Univ Sheffield, Dept Geog, Sheffield S10 2TN, S Yorkshire, England; [Hodson, Andy J.] Univ Ctr Svalbard, Arctic Geol, Longyearbyen, Norway; [Irvine-Fynn, Tristram D. L.] Aberystwyth Univ, Ctr Glaciol, Aberystwyth SY23 3DB, Dyfed, Wales</t>
  </si>
  <si>
    <t>University of Derby; University of Sheffield; University Centre Svalbard (UNIS); Aberystwyth University</t>
  </si>
  <si>
    <t>Cook, JM (corresponding author), Univ Derby, Coll Life &amp; Nat Sci, Derby DE22 1GB, England.</t>
  </si>
  <si>
    <t>Cook, Joseph/0000-0002-9270-363X; Irvine-Fynn, Tristram/0000-0003-3157-6646; Hodson, Andrew/0000-0002-1255-7987</t>
  </si>
  <si>
    <t>UK National Environment Research Council (NERC) [NE/G524152/1]</t>
  </si>
  <si>
    <t>UK National Environment Research Council (NERC)(UK Research &amp; Innovation (UKRI)Natural Environment Research Council (NERC))</t>
  </si>
  <si>
    <t>J. Cook acknowledges his UK National Environment Research Council (NERC) Doctoral Training grant (no. NE/G524152/1). A. Edwards and M. Sweet are thankful for the helpful comments on draft manuscripts.</t>
  </si>
  <si>
    <t>0885-6087</t>
  </si>
  <si>
    <t>1099-1085</t>
  </si>
  <si>
    <t>HYDROL PROCESS</t>
  </si>
  <si>
    <t>Hydrol. Process.</t>
  </si>
  <si>
    <t>JAN 30</t>
  </si>
  <si>
    <t>10.1002/hyp.10602</t>
  </si>
  <si>
    <t>DC4BS</t>
  </si>
  <si>
    <t>WOS:000369165500007</t>
  </si>
  <si>
    <t>Maronna, MM; Miranda, TP; Cantero, ALP; Barbeitos, MS; Marques, AC</t>
  </si>
  <si>
    <t>Maronna, Maximiliano M.; Miranda, Thais P.; Cantero, Alvaro L. Pena; Barbeitos, Marcos S.; Marques, Antonio C.</t>
  </si>
  <si>
    <t>Towards a phylogenetic classification of Leptothecata (Cnidaria, Hydrozoa)</t>
  </si>
  <si>
    <t>BENTHIC HYDROIDS CNIDARIA; BIVALVE-INHABITING HYDROZOANS; 16S RIBOSOMAL-RNA; LIFE-CYCLE; ANTARCTIC EXPEDITIONS; CHARACTER EVOLUTION; STAUROTHECA ALLMAN; FAMILIES LAFOEIDAE; CRYPTIC DIVERSITY; PHYLUM CNIDARIA</t>
  </si>
  <si>
    <t>Leptothecata are hydrozoans whose hydranths are covered by perisarc and gonophores and whose medusae bear gonads on their radial canals. They develop complex polypoid colonies and exhibit considerable morphological variation among species with respect to growth, defensive structures and mode of development. For instance, several lineages within this order have lost the medusa stage. Depending on the author, traditional taxonomy in hydrozoans may be either polyp-or medusa-oriented. Therefore, the absence of the latter stage in some lineages may lead to very different classification schemes. Molecular data have proved useful in elucidating this taxonomic challenge. We analyzed a super matrix of new and published rRNA gene sequences (16S, 18S and 28S), employing newly proposed methods to measure branch support and improve phylogenetic signal. Our analysis recovered new clades not recognized by traditional taxonomy and corroborated some recently proposed taxa. We offer a thorough taxonomic revision of the Leptothecata, erecting new orders, suborders, infraorders and families. We also discuss the origination and diversification dynamics of the group from a macroevolutionary perspective.</t>
  </si>
  <si>
    <t>[Maronna, Maximiliano M.; Miranda, Thais P.; Marques, Antonio C.] Univ Sao Paulo, Inst Biociencias, Dept Zool, Rua Matao Trav 14,101, BR-05508090 Sao Paulo, Brazil; [Cantero, Alvaro L. Pena] Univ Valencia, Dept Zool, Inst Cavanilles Biodiversidad &amp; Biol Evolut, Valencia, Spain; [Barbeitos, Marcos S.] Univ Fed Parana, Dept Zool, BR-81531990 Curitiba, Parana, Brazil; [Marques, Antonio C.] Univ Sao Paulo, Ctr Biol Marinha, Sao Sebastiao, Brazil</t>
  </si>
  <si>
    <t>Universidade de Sao Paulo; University of Valencia; Universidade Federal do Parana; Universidade de Sao Paulo</t>
  </si>
  <si>
    <t>Maronna, MM (corresponding author), Univ Sao Paulo, Inst Biociencias, Dept Zool, Rua Matao Trav 14,101, BR-05508090 Sao Paulo, Brazil.</t>
  </si>
  <si>
    <t>maxmaronna@gmail.com</t>
  </si>
  <si>
    <t>Fapesp, Biota/F-8655-2017; Marques, Antonio/E-8049-2011; Miranda, Thaís Pires/G-8617-2016; Barbeitos, Marcos S/L-3516-2016; Cantero, Álvaro Luis Peña/F-7888-2016; Maronna, Maximiliano Manuel/G-9432-2016</t>
  </si>
  <si>
    <t>Fapesp, Biota/0000-0002-9887-8449; Marques, Antonio/0000-0002-2884-0541; Miranda, Thaís Pires/0000-0001-7786-8738; Maronna, Maximiliano Manuel/0000-0002-2590-639X; Pena Cantero, Alvaro/0000-0003-3056-6673; Barbeitos, Marcos/0000-0001-6488-8254</t>
  </si>
  <si>
    <t>NSF grant [EF-0531779]; Fundacao de Amparo a Pesquisa do Estado de Sao Paulo (FAPESP) [2006/56211-6, 2010/06927-0, 2014/24407-5, 2004/09961-4, 2010/52324-6, 2011/50242-5, 2013/50484-4]; Conselho Nacional de Desenvolvimento Cientifico e Tecnologico (CNPq) [471960/2004-7, 557333/2005-9, 490348/2006-8, 563106/2010-7, 562143/2010-6, 477156/2011-8, 305805/2013-4, 445444/2014-2]; Ministerio de Ciencia e Innovacion de Espana y el Fondo Europeo de Desarrollo Regional (FEDER) [CTM2009-11128ANT]; Programa Santander de Bolsas de Mobilidade Internacional (International mobility program)</t>
  </si>
  <si>
    <t>NSF grant(National Science Foundation (NSF)); Fundacao de Amparo a Pesquisa do Estado de Sao Paulo (FAPESP)(Fundacao de Amparo a Pesquisa do Estado de Sao Paulo (FAPESP)); Conselho Nacional de Desenvolvimento Cientifico e Tecnologico (CNPq)(Conselho Nacional de Desenvolvimento Cientifico e Tecnologico (CNPQ)); Ministerio de Ciencia e Innovacion de Espana y el Fondo Europeo de Desarrollo Regional (FEDER); Programa Santander de Bolsas de Mobilidade Internacional (International mobility program)</t>
  </si>
  <si>
    <t>We want to dedicate this study to Dr. Paul F.S. Cornelius (1943-2014), for his outstanding contributions to the study of leptothecate taxonomy and evolution, and to his willingness to help and teach several generations oftaxonomists. We are grateful to many people and institutions that made this study possible, especially to all members (former and current) of the Laboratorio de Evolucao Marinha (Instituto de Biociencias, Universidade de Sao Paulo - IBUSP) for their support. Alvaro Migotto, Alberto Lindner, Otto Oliveira, Stefania Puce and Gabriel Genzano for providing samples; PIs of the project CnidariaTree of Life (NSF grant EF-0531779) Paulyn Cartwright and Allen Collins, and members of the project Nathaniel Evans and Annalise Nawrocki, for providing DNA sequences and access to Sequencer software. Sabrina Baroni and Fernando Marques (IB-USP) have supported part of the molecular work. To Riviane Garcez, Juliana Jordao, Sergio Stampar and James Roper for valuable comments. Carlos Moura, Peter Schuchert, Dale Calder and anonymous referee made many valuable criticisms on earlier versions of the manuscript and here they are gratefully acknowledged; any mistakes herein, however, are entirely our responsibility. This work was supported by Fundacao de Amparo a Pesquisa do Estado de Sao Paulo (FAPESP) (PhD grant 2006/56211-6 to MMM; PhD and postdoc grants, respectively, 2010/06927-0, 2014/24407-5 to TPM; research grants 2004/09961-4, 2010/52324-6, 2011/50242-5, 2013/50484-4 to ACM), Conselho Nacional de Desenvolvimento Cientifico e Tecnologico (CNPq) (research grants 471960/2004-7, 557333/2005-9, 490348/2006-8, 563106/2010-7, 562143/2010-6, 477156/2011-8, 305805/2013-4 and 445444/2014-2 to ACM), Ministerio de Ciencia e Innovacion de Espana y el Fondo Europeo de Desarrollo Regional (FEDER) (research grant CTM2009-11128ANT) to ALPC, and Programa Santander de Bolsas de Mobilidade Internacional (International mobility program for PhD students to MMM). This paper is a contribution of NP-BioMar, USP.</t>
  </si>
  <si>
    <t>JAN 29</t>
  </si>
  <si>
    <t>10.1038/srep18075</t>
  </si>
  <si>
    <t>DC0RE</t>
  </si>
  <si>
    <t>WOS:000368924600001</t>
  </si>
  <si>
    <t>Zúñiga-González, P; Zúñiga, GE; Pizarro, M; Casanova-Katny, A</t>
  </si>
  <si>
    <t>Zuniga-Gonzalez, Paz; Zuniga, Gustavo E.; Pizarro, Marisol; Casanova-Katny, Angelica</t>
  </si>
  <si>
    <t>Soluble carbohydrate content variation in Sanionia uncinata and Polytrichastrum alpinum, two Antarctic mosses with contrasting desiccation capacities</t>
  </si>
  <si>
    <t>BIOLOGICAL RESEARCH</t>
  </si>
  <si>
    <t>Antarctica; Antarctic vegetation; Bryophytes; Sugars</t>
  </si>
  <si>
    <t>RAFFINOSE FAMILY OLIGOSACCHARIDES; GALACTOSYL CYCLITOLS; TOLERANCE; METABOLISM; BRYOPHYTES; MECHANISMS; DISCOVERY; STRESS; LEAVES; PLANTS</t>
  </si>
  <si>
    <t>Background: Cryptogamic vegetation dominates the ice-free areas along the Antarctic Peninsula. The two mosses Sanionia uncinata and Polytrichastrum alpinum inhabit soils with contrasting water availability. Sanionia uncinata grows in soil with continuous water supply, while P. alpinum grows in sandy, non-flooded soils. Desiccation and rehydration experiments were carried out to test for differences in the rate of water loss and uptake, with non-structural carbohydrates analysed to test their role in these processes. Results: Individual plants of S. uncinata lost water 60 % faster than P. alpinum; however, clumps of S. uncinata took longer to dry than those of P. alpinum (11 vs. 5 h, respectively). In contrast, rehydration took less than 10 min for both mosses. Total non-structural carbohydrate content was higher in P. alpinum than in S. uncinata, but sugar levels changed more in P. alpinum during desiccation and rehydration (60-50 %) when compared to S. uncinata. We report the presence of galactinol (a precursor of the raffinose family) for the first time in P. alpinum. Galactinol was present at higher amounts than all other non-structural sugars. Conclusions: Individual plants of S. uncinata were not able to retain water for long periods but by growing and forming carpets, this species can retain water the longest. In contrast individual P. alpinum plants required more time to lose water than S. uncinata, but as moss cushions they suffered desiccation faster than the later. On the other hand, both species rehydrated very quickly. We found that when both mosses lost 50 % of their water, carbohydrates content remained stable and the plants did not accumulate non-structural carbohydrates during the desiccation prosses as usually occurs in vascular plants. The raffinose family oligosaccarides decreased during desiccation, and increased during rehydration, suggesting they function as osmoprotectors.</t>
  </si>
  <si>
    <t>[Zuniga-Gonzalez, Paz] Univ Concepcion, Fac Ciencias Nat &amp; Oceanog, Lab Micol &amp; Micorrizas, Concepcion, Chile; [Zuniga-Gonzalez, Paz] Univ Concepcion, Fac Ciencias Biol, Lab Invest Agentes Antibacterianos, Concepcion, Chile; [Zuniga, Gustavo E.; Pizarro, Marisol] Univ Santiago, Fac Quim &amp; Biol, Dept Biol, Alameda 3363, Santiago, Chile; [Casanova-Katny, Angelica] Univ Catolica Temuco, Nucleo Estudios Ambientales, Casilla 15-D, Temuco, Chile; [Casanova-Katny, Angelica] Univ Santiago, Fac Quim &amp; Biol, Alameda 3363, Santiago, Chile</t>
  </si>
  <si>
    <t>Universidad de Concepcion; Universidad de Concepcion; Universidad Catolica de Temuco</t>
  </si>
  <si>
    <t>Zúñiga, GE (corresponding author), Univ Santiago, Fac Quim &amp; Biol, Dept Biol, Alameda 3363, Santiago, Chile.;Casanova-Katny, A (corresponding author), Univ Catolica Temuco, Nucleo Estudios Ambientales, Casilla 15-D, Temuco, Chile.;Casanova-Katny, A (corresponding author), Univ Santiago, Fac Quim &amp; Biol, Alameda 3363, Santiago, Chile.</t>
  </si>
  <si>
    <t>gustavo.zuniga@usach.cl; angecasanova@gmail.com</t>
  </si>
  <si>
    <t>Zuñiga, Gustavo E/P-8306-2015; Casanova-Katny, Angelica/M-3994-2014</t>
  </si>
  <si>
    <t>Zuniga, Paz E./0000-0002-7531-7761; Zuniga, Gustavo/0000-0002-8286-9468</t>
  </si>
  <si>
    <t>FONDECYT [1120895, 1140189]; INACH FR [01-12]; General Directorate of Research and Postgraduate Studies of the Catholic University of Temuco, DGIPUCT [CD2010-01]; MECESUP UCT [0804]</t>
  </si>
  <si>
    <t>FONDECYT(Comision Nacional de Investigacion Cientifica y Tecnologica (CONICYT)CONICYT FONDECYT); INACH FR; General Directorate of Research and Postgraduate Studies of the Catholic University of Temuco, DGIPUCT; MECESUP UCT</t>
  </si>
  <si>
    <t>This research was funded by projects FONDECYT 1120895; INACH FR 01-12 granted to Angelica Casanova-Katny. FONDECYT 1140189 granted to Gustavo E. Zuniga. We thank Dr. Eugenio Sanfuentes von Stowasser of the Laboratorio de Patologia Forestal and Ms. Susana Casas from the Laboratory of Natural Resources of the Centro de Biotecnologia de la Universidad de Concepcion. Angelica Casanova Katny and Gustavo E. Zuniga, thanks Proyectos Basales y Vicerrectoria de Investigacion, Desarrollo e Innovacion, Codigo 021543ZN_INTEXCELENC, Universidad de Santiago de Chile. We thank Dr. Sharon Robinson from Wollongong University, for comments and english correction of this paper and two anonymous reviewers for constructive criticisms. Finally we acknowledge the support of the General Directorate of Research and Postgraduate Studies of the Catholic University of Temuco, DGIPUCT Project no. CD2010-01 and MECESUP UCT 0804.</t>
  </si>
  <si>
    <t>0716-9760</t>
  </si>
  <si>
    <t>0717-6287</t>
  </si>
  <si>
    <t>BIOL RES</t>
  </si>
  <si>
    <t>Biol. Res.</t>
  </si>
  <si>
    <t>JAN 28</t>
  </si>
  <si>
    <t>10.1186/s40659-015-0058-z</t>
  </si>
  <si>
    <t>DC0FG</t>
  </si>
  <si>
    <t>WOS:000368892000001</t>
  </si>
  <si>
    <t>Traversi, R; Becagli, S; Poluianov, S; Severi, M; Solanki, SK; Usoskin, IG; Udisti, R</t>
  </si>
  <si>
    <t>Traversi, R.; Becagli, S.; Poluianov, S.; Severi, M.; Solanki, S. K.; Usoskin, I. G.; Udisti, R.</t>
  </si>
  <si>
    <t>The Laschamp geomagnetic excursion featured in nitrate record from EPICA-Dome C ice core</t>
  </si>
  <si>
    <t>ANTARCTIC ICE; CHRONOLOGY AICC2012; RESOLUTION ANALYSIS; EAST ANTARCTICA; SOLAR-ACTIVITY; ICELAND BASIN; MONO LAKE; BE-10; SNOW; SYNCHRONIZATION</t>
  </si>
  <si>
    <t>Here we present the first direct comparison of cosmogenic Be-10 and chemical species in the period of 38-45.5 kyr BP spanning the Laschamp geomagnetic excursion from the EPICA-Dome C ice core. A principal component analysis (PCA) allowed to group different components as a function of the main sources, transport and deposition processes affecting the atmospheric aerosol at Dome C. Moreover, a wavelet analysis highlighted the high coherence and in-phase relationship between Be-10 and nitrate at this time. The evident preferential association of Be-10 with nitrate rather than with other chemical species was ascribed to the presence of a distinct source, here labelled as cosmogenic. Both the PCA and wavelet analyses ruled out a significant role of calcium in driving the Be-10 and nitrate relationship, which is particularly relevant for a plateau site such as Dome C, especially in the glacial period during which the Laschamp excursion took place. The evidence that the nitrate record from the EDC ice core is able to capture the Laschamp event hints toward the possibility of using this marker for studying galactic cosmic ray flux variations and thus also major geomagnetic field excursions at pluri-centennial-millennial time scales, thus opening up new perspectives in paleoclimatic studies.</t>
  </si>
  <si>
    <t>[Traversi, R.; Becagli, S.; Severi, M.; Udisti, R.] Univ Florence, Dept Chem Ugo Schiff, Via Lastruccia 3, I-50019 Florence, Italy; [Poluianov, S.; Usoskin, I. G.] Univ Oulu, Fac Sci, ReSoLVE Ctr Excellence, PL 3000, FIN-90014 Oulu, Finland; [Solanki, S. K.] Max Planck Inst Sonnensyst Forsch, Justus von Liebig Weg 3, D-37077 Gottingen, Germany; [Solanki, S. K.] Kyung Hee Univ, Sch Space Res, Yongin 446701, Gyeonggi, South Korea; [Usoskin, I. G.] Univ Oulu, Sodankyla Geophys Observ, Oulu Unit, FIN-90014 Oulu, Finland</t>
  </si>
  <si>
    <t>University of Florence; University of Oulu; Max Planck Society; Kyung Hee University; University of Oulu</t>
  </si>
  <si>
    <t>Traversi, R (corresponding author), Univ Florence, Dept Chem Ugo Schiff, Via Lastruccia 3, I-50019 Florence, Italy.</t>
  </si>
  <si>
    <t>Becagli, Silvia/GNW-2665-2022; Solanki, Sami K/E-2487-2013; Poluianov, Stepan/Q-6251-2019; Usoskin, Ilya/E-5089-2014; Severi, Mirko/J-2508-2012</t>
  </si>
  <si>
    <t>Solanki, Sami K/0000-0002-3418-8449; Usoskin, Ilya/0000-0001-8227-9081; Severi, Mirko/0000-0003-1511-6762; Poluianov, Stepan/0000-0002-9119-4298</t>
  </si>
  <si>
    <t>EU (EPICA-MIS); ReSoLVE Centre of Excellence (Academy of Finland) [272157]</t>
  </si>
  <si>
    <t>EU (EPICA-MIS)(European Union (EU)); ReSoLVE Centre of Excellence (Academy of Finland)</t>
  </si>
  <si>
    <t>We are grateful to Grant Raisbeck for providing the 10Be data set employed here. We also thank Eric Wolff and Hubertus Fischer for helpful discussions. This work is a contribution to the European Project for Ice Coring in Antarctica (EPICA), a joint European Science Foundation/European Commission (EC) scientific programme, funded by the EU (EPICA-MIS) and by national contributions from Belgium, Denmark, France, Germany, Italy, The Netherlands, Norway, Sweden, Switzerland and the UK. The main logistic support at Dome C was provided by IPEV and PNRA (at Dome C) and AWI (at Dronning Maud Land). This is EPICA publication number 303. This work was partly done in the framework of the ReSoLVE Centre of Excellence (Academy of Finland, project no. 272157).</t>
  </si>
  <si>
    <t>10.1038/srep20235</t>
  </si>
  <si>
    <t>DB8TH</t>
  </si>
  <si>
    <t>WOS:000368789000001</t>
  </si>
  <si>
    <t>Scheinert, M; Ferraccioli, F; Schwabe, J; Bell, R; Studinger, M; Damaske, D; Jokat, W; Aleshkova, N; Jordan, T; Leitchenkov, G; Blankenship, DD; Damiani, TM; Young, D; Cochran, JR; Richter, TD</t>
  </si>
  <si>
    <t>Scheinert, M.; Ferraccioli, F.; Schwabe, J.; Bell, R.; Studinger, M.; Damaske, D.; Jokat, W.; Aleshkova, N.; Jordan, T.; Leitchenkov, G.; Blankenship, D. D.; Damiani, T. M.; Young, D.; Cochran, J. R.; Richter, T. D.</t>
  </si>
  <si>
    <t>New Antarctic gravity anomaly grid for enhanced geodetic and geophysical studies in Antarctica</t>
  </si>
  <si>
    <t>SUBGLACIAL LAKE VOSTOK; DRONNING MAUD LAND; TRANSANTARCTIC MOUNTAINS; GLACIER REGION; FIELD MODEL; ICE-SHEET; EAST; GEOLOGY; INLAND; TOPOGRAPHY</t>
  </si>
  <si>
    <t>Gravity surveying is challenging in Antarctica because of its hostile environment and inaccessibility. Nevertheless, many ground-based, airborne, and shipborne gravity campaigns have been completed by the geophysical and geodetic communities since the 1980s. We present the first modern Antarctic-wide gravity data compilation derived from 13 million data points covering an area of 10 million km(2), which corresponds to 73% coverage of the continent. The remove-compute-restore technique was applied for gridding, which facilitated leveling of the different gravity data sets with respect to an Earth gravity model derived from satellite data alone. The resulting free-air and Bouguer gravity anomaly grids of 10 km resolution are publicly available. These grids will enable new high-resolution combined Earth gravity models to be derived and represent a major step forward toward solving the geodetic polar data gap problem. They provide a new tool to investigate continental-scale lithospheric structure and geological evolution of Antarctica.</t>
  </si>
  <si>
    <t>[Scheinert, M.; Schwabe, J.] Tech Univ Dresden, Inst Planetare Geodasie, D-01062 Dresden, Germany; [Ferraccioli, F.; Jordan, T.] British Antarctic Survey, Cambridge CB3 0ET, England; [Schwabe, J.] Bundesamt Kartog &amp; Geodasie, Leipzig, Germany; [Bell, R.; Cochran, J. R.] Columbia Univ, Lamont Doherty Earth Observ, Palisades, NY USA; [Studinger, M.] NASA, Goddard Space Flight Ctr, Greenbelt, MD USA; [Damaske, D.] Bundesanstalt Geowissensch &amp; Rohstoffe, Hannover, Germany; [Jokat, W.] Helmholtz Zentrum Polar &amp; Meeresforsch, Alfred Wegener Inst, Bremerhaven, Germany; [Jokat, W.] Univ Bremen, Dept Geosci, D-28359 Bremen, Germany; [Aleshkova, N.; Leitchenkov, G.] VNIIOkeangeologia, St Petersburg, Russia; [Leitchenkov, G.] St Petersburg State Univ, Dept Geophys, St Petersburg 199034, Russia; [Blankenship, D. D.; Young, D.; Richter, T. D.] Univ Texas Austin, Jackson Sch Geosci, Inst Geophys, Austin, TX 78712 USA; [Damiani, T. M.] NOAA, Natl Geodet Survey, Silver Spring, MD USA</t>
  </si>
  <si>
    <t>Technische Universitat Dresden; UK Research &amp; Innovation (UKRI); Natural Environment Research Council (NERC); NERC British Antarctic Survey; Columbia University; National Aeronautics &amp; Space Administration (NASA); NASA Goddard Space Flight Center; Helmholtz Association; Alfred Wegener Institute, Helmholtz Centre for Polar &amp; Marine Research; University of Bremen; Saint Petersburg State University; University of Texas System; University of Texas Austin; National Oceanic Atmospheric Admin (NOAA) - USA; National Geodetic Survey, NOAA</t>
  </si>
  <si>
    <t>Scheinert, M (corresponding author), Tech Univ Dresden, Inst Planetare Geodasie, D-01062 Dresden, Germany.</t>
  </si>
  <si>
    <t>mirko.scheinert@tu-dresden.de</t>
  </si>
  <si>
    <t>Young, Duncan A./G-6256-2010</t>
  </si>
  <si>
    <t>Leitchenkov, German/0000-0001-6316-8511; Jokat, Wilfried/0000-0002-7793-5854; Schwabe, Joachim/0009-0003-6156-1063; Scheinert, Mirko/0000-0002-0892-8941; Studinger, Michael/0000-0003-1265-4741; Ferraccioli, Fausto/0000-0002-9347-4736</t>
  </si>
  <si>
    <t>NERC [bas0100029] Funding Source: UKRI; Natural Environment Research Council [bas0100029] Funding Source: researchfish</t>
  </si>
  <si>
    <t>10.1002/2015GL067439</t>
  </si>
  <si>
    <t>DG4QG</t>
  </si>
  <si>
    <t>WOS:000372056400015</t>
  </si>
  <si>
    <t>Lu, JH; Wang, FC; Liu, HL; Lin, PF</t>
  </si>
  <si>
    <t>Lu, Jianhua; Wang, Fuchang; Liu, Hailong; Lin, Pengfei</t>
  </si>
  <si>
    <t>Stationary mesoscale eddies, upgradient eddy fluxes, and the anisotropy of eddy diffusivity</t>
  </si>
  <si>
    <t>ANTARCTIC CIRCUMPOLAR CURRENT; SOUTHERN-OCEAN; CIRCULATION; PARAMETERIZATION; EQUILIBRATION; ENHANCEMENT; TRANSPORT; MODELS</t>
  </si>
  <si>
    <t>The mesoscale eddies of which parameterization is needed in coarse-resolution ocean models include not only the transient eddies akin to baroclinic instability but also the stationary eddies associated with topography. By applying a modified Lorenz-type decomposition to the eddy-permitting Southern Ocean State Estimate, we show that the stationary mesoscale eddies contribute a significant part to the total eddy kinetic energy, eddy enstrophy, and the total eddy-induced isopycnal thickness and potential vorticity fluxes. We find that beneath middepth (about 1000 m) the upgradient eddy fluxes, or so-called negative eddy diffusivities, are mainly attributed to the stationary mesoscale eddies, whereas the remaining transient eddy diffusivity is positive, for which the Gent and McWilliams (1990) parameterization scheme applies well. A quantitative method of measuring the anisotropy of eddy diffusivity is presented. The effect of stationary mesoscale eddies is one of major sources responsible for the anisotropy of eddy diffusivity. We suggest that an independent parameterization scheme for stationary mesoscale eddies may be needed for coarse-resolution ocean models, although the transient eddies remain the predominant part of mesoscale eddies in the oceans.</t>
  </si>
  <si>
    <t>[Lu, Jianhua; Wang, Fuchang; Liu, Hailong; Lin, Pengfei] Chinese Acad Sci, Inst Atmospher Phys, LASG, Beijing, Peoples R China; [Lu, Jianhua] Florida State Univ, Ctr Ocean Atmospher Predict Studies, Tallahassee, FL 32306 USA; [Wang, Fuchang; Liu, Hailong] Univ Chinese Acad Sci, Coll Earth Sci, Beijing, Peoples R China</t>
  </si>
  <si>
    <t>Chinese Academy of Sciences; Institute of Atmospheric Physics, CAS; State University System of Florida; Florida State University; Chinese Academy of Sciences; University of Chinese Academy of Sciences, CAS</t>
  </si>
  <si>
    <t>Lu, JH; Liu, HL (corresponding author), Chinese Acad Sci, Inst Atmospher Phys, LASG, Beijing, Peoples R China.;Lu, JH (corresponding author), Florida State Univ, Ctr Ocean Atmospher Predict Studies, Tallahassee, FL 32306 USA.;Liu, HL (corresponding author), Univ Chinese Acad Sci, Coll Earth Sci, Beijing, Peoples R China.</t>
  </si>
  <si>
    <t>jlu@coaps.fsu.edu; lhl@lasg.iap.ac.cn</t>
  </si>
  <si>
    <t>Lu, Jianhua/B-8923-2008; Lin, Pengfei/AAJ-5379-2020; 王, 夫常/IXD-8169-2023; Lu, Jianhua/F-5734-2016</t>
  </si>
  <si>
    <t>Lin, Pengfei/0000-0003-2361-0066; Lu, Jianhua/0000-0002-8241-3356</t>
  </si>
  <si>
    <t>National Key Program for Developing Basic Sciences [2013CB956204]; National Natural Science Foundation of China [41275084, 41576025]; Strategic Priority Research Program Western Pacific Ocean System: Structure, Dynamics and Consequences of the Chinese Academy of Sciences [XDA11010304]</t>
  </si>
  <si>
    <t>National Key Program for Developing Basic Sciences; National Natural Science Foundation of China(National Natural Science Foundation of China (NSFC)); Strategic Priority Research Program Western Pacific Ocean System: Structure, Dynamics and Consequences of the Chinese Academy of Sciences</t>
  </si>
  <si>
    <t>The authors are supported by the National Key Program for Developing Basic Sciences (2013CB956204), the National Natural Science Foundation of China (41275084 and 41576025), and the Strategic Priority Research Program Western Pacific Ocean System: Structure, Dynamics and Consequences of the Chinese Academy of Sciences (grant XDA11010304). The authors appreciate Matt Mazloff at the Scripps Institute of Oceanography for providing the SOSE data and three anonymous reviewers for their constructive comments. All of the data are available from the corresponding authors.</t>
  </si>
  <si>
    <t>10.1002/2015GL067384</t>
  </si>
  <si>
    <t>WOS:000372056400032</t>
  </si>
  <si>
    <t>Hodgson, DA; Bentley, MJ; Smith, JA; Klepacki, J; Makinson, K; Smith, AM; Saw, K; Scherer, R; Powell, R; Tulaczyk, S; Rose, M; Pearce, D; Mowlem, M; Keen, P; Siegert, MJ</t>
  </si>
  <si>
    <t>Hodgson, Dominic A.; Bentley, Michael J.; Smith, James A.; Klepacki, Julian; Makinson, Keith; Smith, Andrew M.; Saw, Kevin; Scherer, Reed; Powell, Ross; Tulaczyk, Slawek; Rose, Mike; Pearce, David; Mowlem, Matt; Keen, Peter; Siegert, Martin J.</t>
  </si>
  <si>
    <t>Technologies for retrieving sediment cores in Antarctic subglacial settings</t>
  </si>
  <si>
    <t>PHILOSOPHICAL TRANSACTIONS OF THE ROYAL SOCIETY A-MATHEMATICAL PHYSICAL AND ENGINEERING SCIENCES</t>
  </si>
  <si>
    <t>subglacial; sediment; ice sheet history; extremophiles</t>
  </si>
  <si>
    <t>AMERY ICE SHELF; WEST ANTARCTICA; LAKE WHILLANS; SEA-LEVEL; BENEATH; LIFE; COLONIZATION; COLLAPSE; HISTORY</t>
  </si>
  <si>
    <t>Accumulations of sediment beneath the Antarctic Ice Sheet contain a range of physical and chemical proxies with the potential to document changes in ice sheet history and to identify and characterize life in subglacial settings. Retrieving subglacial sediments and sediment cores presents several unique challenges to existing technologies. This paper briefly reviews the history of sediment sampling in subglacial environments. It then outlines some of the technological challenges and constraints in developing the corers being used in sub-ice shelf settings (e.g. George VI Ice Shelf and Larsen Ice Shelf), under ice streams (e.g. Rutford Ice Stream), at or close to the grounding line (e.g. Whillans Ice Stream) and in subglacial lakes deep under the ice sheet (e.g. Lake Ellsworth). The key features of the corers designed to operate in each of these subglacial settings are described and illustrated together with comments on their deployment procedures.</t>
  </si>
  <si>
    <t>[Hodgson, Dominic A.; Smith, James A.; Klepacki, Julian; Makinson, Keith; Smith, Andrew M.; Rose, Mike; Pearce, David] British Antarctic Survey, Cambridge CB3 0ET, England; [Hodgson, Dominic A.; Bentley, Michael J.] Univ Durham, Sci Labs, Dept Geog, Durham DH1 3LE, England; [Saw, Kevin; Mowlem, Matt] Natl Oceanog Ctr, Southampton S014 3ZH, Hants, England; [Scherer, Reed] No Illinois Univ, Dept Geol &amp; Environm Geosci, De Kalb, IL 60115 USA; [Tulaczyk, Slawek] Univ Calif Santa Cruz, Earth &amp; Planetary Sci Dept, Santa Cruz, CA 95064 USA; [Pearce, David] Northumbria Univ, Dept Appl Sci, Newcastle Upon Tyne NE1 8ST, Tyne &amp; Wear, England; [Keen, Peter] Keen Marine Ltd, East Cowes PO32 6HD, Isle Of Wight, England; [Siegert, Martin J.] Univ London Imperial Coll Sci Technol &amp; Med, Grantham Inst, London SW7 2AZ, England; [Siegert, Martin J.] Univ London Imperial Coll Sci Technol &amp; Med, Dept Earth Sci &amp; Engn, London SW7 2AZ, England</t>
  </si>
  <si>
    <t>UK Research &amp; Innovation (UKRI); Natural Environment Research Council (NERC); NERC British Antarctic Survey; Durham University; NERC National Oceanography Centre; Northern Illinois University; University of California System; University of California Santa Cruz; Northumbria University; Imperial College London; Imperial College London</t>
  </si>
  <si>
    <t>Hodgson, DA (corresponding author), British Antarctic Survey, High Cross,Madingley Rd, Cambridge CB3 0ET, England.</t>
  </si>
  <si>
    <t>Siegert, Martin J/A-3826-2008; Makinson, Keith/A-2495-2013; Siegert, Martin/M-9939-2019; Bentley, Michael J/F-7386-2011; Tulaczyk, Slawek/O-7375-2018</t>
  </si>
  <si>
    <t>Siegert, Martin J/0000-0002-0090-4806; Makinson, Keith/0000-0002-5791-1767; Siegert, Martin/0000-0002-0090-4806; Bentley, Michael J/0000-0002-2048-0019; Hodgson, Dominic/0000-0002-3841-3746; Saw, Kevin/0000-0001-7461-3430; Mowlem, Matthew/0000-0001-7613-6121; Pearce, David/0000-0001-5292-4596; Tulaczyk, Slawek/0000-0002-9711-4332</t>
  </si>
  <si>
    <t>UK Natural Environment Research Council [NE/G006326/1]; NERC [NE/G00465X/2, noc010003, noc010013, bas0100030, NE/G006326/1, NE/G00336X/1, NE/G00465X/3, NE/G00465X/1, NE/G004242/1] Funding Source: UKRI; Natural Environment Research Council [NE/G00465X/2, NE/G00336X/1, bas0100030, NE/G00465X/3, NE/G004242/1, noc010003, noc010013, NE/G006326/1, NE/G00465X/1] Funding Source: researchfish; Directorate For Geosciences; Office of Polar Programs (OPP) [0839059, 0839107] Funding Source: National Science Foundation</t>
  </si>
  <si>
    <t>UK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 Directorate For Geosciences; Office of Polar Programs (OPP)(National Science Foundation (NSF)NSF - Directorate for Geosciences (GEO))</t>
  </si>
  <si>
    <t>This study was partly funded by a UK Natural Environment Research Council Consortium Grant (NE/G006326/1).</t>
  </si>
  <si>
    <t>1364-503X</t>
  </si>
  <si>
    <t>1471-2962</t>
  </si>
  <si>
    <t>PHILOS T R SOC A</t>
  </si>
  <si>
    <t>Philos. Trans. R. Soc. A-Math. Phys. Eng. Sci.</t>
  </si>
  <si>
    <t>10.1098/rsta.2015.0056</t>
  </si>
  <si>
    <t>DA0FC</t>
  </si>
  <si>
    <t>WOS:000367471500015</t>
  </si>
  <si>
    <t>Makinson, K; Pearce, D; Hodgson, DA; Bentley, MJ; Smith, AM; Tranter, M; Rose, M; Ross, N; Mowlem, M; Parnell, J; Siegert, MJ</t>
  </si>
  <si>
    <t>Makinson, Keith; Pearce, David; Hodgson, Dominic A.; Bentley, Michael J.; Smith, Andrew M.; Tranter, Martyn; Rose, Mike; Ross, Neil; Mowlem, Matt; Parnell, John; Siegert, Martin J.</t>
  </si>
  <si>
    <t>Clean subglacial access: prospects for future deep hot-water drilling</t>
  </si>
  <si>
    <t>deep hot-water drilling; subglacial environment; clean access; environmental stewardship</t>
  </si>
  <si>
    <t>ICE SHEETS; LAKE; ENVIRONMENT; ANTARCTICA; GREENLAND; DESIGN</t>
  </si>
  <si>
    <t>Accessing and sampling subglacial environments deep beneath the Antarctic Ice Sheet presents several challenges to existing drilling technologies. With over half of the ice sheet believed to be resting on a wet bed, drilling down to this environment must conform to international agreements on environmental stewardship and protection, making clean hot-water drilling the most viable option. Such a drill, and its water recovery system, must be capable of accessing significantly greater ice depths than previous hot-water drills, and remain fully operational after connecting with the basal hydrological system. The Subglacial Lake Ellsworth (SLE) project developed a comprehensive plan for deep (greater than 3000 m) subglacial lake research, involving the design and development of a clean deep-ice hot-water drill. However, during fieldwork in December 2012 drilling was halted after a succession of equipment issues culminated in a failure to link with a subsurface cavity and abandonment of the access holes. The lessons learned from this experience are presented here. Combining knowledge gained from these lessons with experience from other hot-water drilling programmes, and recent field testing, we describe the most viable technical options and operational procedures for future clean entry into SLE and other deep subglacial access targets.</t>
  </si>
  <si>
    <t>[Makinson, Keith; Hodgson, Dominic A.; Smith, Andrew M.; Rose, Mike] British Antarctic Survey, NERC, Cambridge CB3 0ET, England; [Pearce, David] Northumbria Univ, Fac Hlth &amp; Life Sci, Newcastle Upon Tyne NE1 8ST, Tyne &amp; Wear, England; [Bentley, Michael J.] Univ Durham, Dept Geog, Durham DH1 3LE, England; [Tranter, Martyn] Univ Bristol, Sch Geog Sci, Bristol BS8 1SS, Avon, England; [Ross, Neil] Newcastle Univ, Sch Geog Polit &amp; Sociol, Newcastle Upon Tyne NE1 7RU, Tyne &amp; Wear, England; [Mowlem, Matt] Univ Southampton, Natl Oceanog Ctr, Southampton SO14 3ZH, Hants, England; [Parnell, John] Univ Aberdeen, Kings Coll, Sch Geosci, Aberdeen AB24 3UE, Scotland; [Siegert, Martin J.] Univ London Imperial Coll Sci Technol &amp; Med, Grantham Inst, South Kensington SW7 2AZ, England; [Siegert, Martin J.] Univ London Imperial Coll Sci Technol &amp; Med, Dept Earth Sci &amp; Engn, South Kensington SW7 2AZ, England</t>
  </si>
  <si>
    <t>UK Research &amp; Innovation (UKRI); Natural Environment Research Council (NERC); NERC British Antarctic Survey; Northumbria University; Durham University; University of Bristol; Newcastle University - UK; University of Southampton; NERC National Oceanography Centre; University of Aberdeen; Imperial College London; Imperial College London</t>
  </si>
  <si>
    <t>Makinson, K (corresponding author), British Antarctic Survey, NERC, High Cross,Madingley Rd, Cambridge CB3 0ET, England.</t>
  </si>
  <si>
    <t>kmak@bas.ac.uk</t>
  </si>
  <si>
    <t>Makinson, Keith/A-2495-2013; Siegert, Martin J/A-3826-2008; Siegert, Martin/M-9939-2019; Bentley, Michael J/F-7386-2011; Tranter, Martyn/E-3722-2010</t>
  </si>
  <si>
    <t>Makinson, Keith/0000-0002-5791-1767; Siegert, Martin J/0000-0002-0090-4806; Siegert, Martin/0000-0002-0090-4806; Bentley, Michael J/0000-0002-2048-0019; Mowlem, Matthew/0000-0001-7613-6121; Pearce, David/0000-0001-5292-4596; Tranter, Martyn/0000-0003-2071-3094</t>
  </si>
  <si>
    <t>Natural Environment Research Council (NERC) [NE/G00465X/1]; British Antarctic Survey (BAS); UK National Oceanography Centre (NOC); University of Bristol; University of Aberdeen; University of Newcastle; University of Edinburgh; Imperial College London; NERC [NE/G00465X/1, NE/G00465X/3, NE/G00336X/1, NE/G00465X/2, NE/G004242/1, NE/G00322X/1, noc010003, noc010013, bas0100033] Funding Source: UKRI; Natural Environment Research Council [NE/G004242/1, NE/G00322X/1, noc010013, noc010003, NE/G00465X/1, NE/G00465X/2, NE/G00336X/1, bas0100033, NE/G00465X/3] Funding Source: researchfish</t>
  </si>
  <si>
    <t>Natural Environment Research Council (NERC)(UK Research &amp; Innovation (UKRI)Natural Environment Research Council (NERC)); British Antarctic Survey (BAS); UK National Oceanography Centre (NOC); University of Bristol; University of Aberdeen; University of Newcastle; University of Edinburgh; Imperial College London; NERC(UK Research &amp; Innovation (UKRI)Natural Environment Research Council (NERC)); Natural Environment Research Council(UK Research &amp; Innovation (UKRI)Natural Environment Research Council (NERC))</t>
  </si>
  <si>
    <t>The SLE Consortium, supported by Natural Environment Research Council (NERC) grant no. NE/G00465X/1, is a multidisciplinary group of science, engineering and support teams from the British Antarctic Survey (BAS), the UK National Oceanography Centre (NOC) and the Universities of Bristol, Durham, Aberdeen, Newcastle, Edinburgh and Imperial College London.</t>
  </si>
  <si>
    <t>10.1098/rsta.2014.0304</t>
  </si>
  <si>
    <t>WOS:000367471500011</t>
  </si>
  <si>
    <t>Mikucki, JA; Lee, PA; Ghosh, D; Purcell, AM; Mitchell, AC; Mankoff, KD; Fisher, AT; Tulaczyk, S; Carter, S; Siegfried, MR; Fricker, HA; Hodson, T; Coenen, J; Powell, R; Scherer, R; Vick-Majors, T; Achberger, AA; Christner, BC; Tranter, M</t>
  </si>
  <si>
    <t>Mikucki, J. A.; Lee, P. A.; Ghosh, D.; Purcell, A. M.; Mitchell, A. C.; Mankoff, K. D.; Fisher, A. T.; Tulaczyk, S.; Carter, S.; Siegfried, M. R.; Fricker, H. A.; Hodson, T.; Coenen, J.; Powell, R.; Scherer, R.; Vick-Majors, T.; Achberger, A. A.; Christner, B. C.; Tranter, M.</t>
  </si>
  <si>
    <t>WISSARD Sci Team</t>
  </si>
  <si>
    <t>Subglacial Lake Whillans microbial biogeochemistry: a synthesis of current knowledge</t>
  </si>
  <si>
    <t>Antarctica; subglacial lakes; microbial diversity; geomicrobiology; Whillans Ice Stream; WISSARD</t>
  </si>
  <si>
    <t>HOT-WATER DRILL; CRYPTIC SULFUR CYCLE; ICE STREAM; WEST ANTARCTICA; BENEATH; VOSTOK; BACTERIA; SYSTEM; CRATER; LIFE</t>
  </si>
  <si>
    <t>Liquid water occurs below glaciers and ice sheets globally, enabling the existence of an array of aquatic microbial ecosystems. In Antarctica, large subglacial lakes are present beneath hundreds to thousands of metres of ice, and scientific interest in exploring these environments has escalated over the past decade. After years of planning, the first team of scientists and engineers cleanly accessed and retrieved pristine samples from a West Antarctic subglacial lake ecosystem in January 2013. This paper reviews the findings to date on Subglacial Lake Whillans and presents new supporting data on the carbon and energy metabolism of resident microbes. The analysis of water and sediments from the lake revealed a diverse microbial community composed of bacteria and archaea that are close relatives of species known to use reduced N, S or Fe and CH4 as energy sources. The water chemistry of Subglacial Lake Whillans was dominated by weathering products from silicate minerals with a minor influence from seawater. Contributions to water chemistry from microbial sulfide oxidation and carbonation reactions were supported by genomic data. Collectively, these results provide unequivocal evidence that subglacial environments in this region of West Antarctica host active microbial ecosystems that participate in subglacial biogeochemical cycling.</t>
  </si>
  <si>
    <t>[Mikucki, J. A.; Ghosh, D.; Purcell, A. M.] Univ Tennessee, Dept Microbiol, Knoxville, TN 37996 USA; [Mikucki, J. A.] Middlebury Coll, Dept Biol, Middlebury, VT 05753 USA; [Lee, P. A.] Coll Charleston, Hollings Marine Lab, Charleston, SC 29412 USA; [Mitchell, A. C.] Aberystwyth Univ, Dept Geog &amp; Earth Sci, Aberystwyth SY23 3FG, Dyfed, Wales; [Mankoff, K. D.] Penn State Univ, Dept Geosci, University Pk, PA 16802 USA; [Fisher, A. T.; Tulaczyk, S.] Univ Calif Santa Cruz, Earth &amp; Planetary Sci, Santa Cruz, CA 95064 USA; [Carter, S.; Siegfried, M. R.; Fricker, H. A.] Univ Calif San Diego, Scripps Inst Oceanog, Inst Geophys &amp; Planetary Phys, La Jolla, CA 92093 USA; [Hodson, T.; Coenen, J.; Powell, R.; Scherer, R.] Univ Illinois, Dept Geol &amp; Environm Geosci Northerrn, De Kalb, IL 60115 USA; [Vick-Majors, T.] Montana State Univ, Dept Land Resources &amp; Environm Sci, Bozeman, MT 59717 USA; [Achberger, A. A.; Christner, B. C.] Louisiana State Univ, Dept Biol Sci, Baton Rouge, LA 70803 USA; [Tranter, M.] Univ Bristol, Bristol Glaciol Ctr, Geog Sci, Bristol BS8 1SS, Avon, England</t>
  </si>
  <si>
    <t>University of Tennessee System; University of Tennessee Knoxville; College of Charleston; Aberystwyth University; Pennsylvania Commonwealth System of Higher Education (PCSHE); Pennsylvania State University; Pennsylvania State University - University Park; University of California System; University of California Santa Cruz; University of California System; University of California San Diego; Scripps Institution of Oceanography; University of Illinois System; Montana State University System; Montana State University Bozeman; Louisiana State University System; Louisiana State University; University of Bristol</t>
  </si>
  <si>
    <t>Mikucki, JA (corresponding author), Univ Tennessee, Dept Microbiol, Knoxville, TN 37996 USA.</t>
  </si>
  <si>
    <t>jmikucki@middlebury.edu</t>
  </si>
  <si>
    <t>Alekhina, Irina A/L-2163-2016; Vick-Majors, Trista/AAQ-6258-2020; Mankoff, Kenneth/G-1197-2010; Tranter, Martyn/E-3722-2010; Tulaczyk, Slawek/O-7375-2018</t>
  </si>
  <si>
    <t>Vick-Majors, Trista/0000-0002-6868-4010; Mankoff, Kenneth/0000-0001-5453-2019; Fricker, Helen Amanda/0000-0002-0921-1432; Tranter, Martyn/0000-0003-2071-3094; Achberger, Amanda/0000-0001-5738-2255; Tulaczyk, Slawek/0000-0002-9711-4332</t>
  </si>
  <si>
    <t>Division Of Polar Programs; Directorate For Geosciences [0838941] Funding Source: National Science Foundation; Office of Polar Programs (OPP); Directorate For Geosciences [0839107] Funding Source: National Science Foundation; Office of Polar Programs (OPP); Directorate For Geosciences [0839059, 1439774] Funding Source: National Science Foundation</t>
  </si>
  <si>
    <t>Division Of Polar Programs; Directorate For Geosciences(National Science Foundation (NSF)NSF - Directorate for Geosciences (GEO)); Office of Polar Programs (OPP); Directorate For Geosciences(National Science Foundation (NSF)NSF - Directorate for Geosciences (GEO)); Office of Polar Programs (OPP); Directorate For Geosciences(National Science Foundation (NSF)NSF - Directorate for Geosciences (GEO))</t>
  </si>
  <si>
    <t>10.1098/rsta.2014.0290</t>
  </si>
  <si>
    <t>Green Submitted, Bronze, Green Published</t>
  </si>
  <si>
    <t>WOS:000367471500001</t>
  </si>
  <si>
    <t>Parnell, J; McMahon, S</t>
  </si>
  <si>
    <t>Parnell, John; McMahon, Sean</t>
  </si>
  <si>
    <t>Physical and chemical controls on habitats for life in the deep subsurface beneath continents and ice</t>
  </si>
  <si>
    <t>deep biosphere; subglacial life; Antarctica; biogeochemistry; cell density</t>
  </si>
  <si>
    <t>WEST ANTARCTIC ICE; MICROBIAL COMMUNITIES; SUBGLACIAL SEDIMENTS; ORGANIC-MATTER; GLACIAL ICE; LAKE VOSTOK; BACTERIA; METHANE; CARBON; BIOSPHERE</t>
  </si>
  <si>
    <t>The distribution of life in the continental subsurface is likely controlled by a range of physical and chemical factors. The fundamental requirements are for space to live, carbon for biomass and energy for metabolic activity. These are inter-related, such that adequate permeability is required to maintain a supply of nutrients, and facies interfaces invite colonization by juxtaposing porous habitats with nutrient-rich mudrocks. Viable communities extend to several kilometres depth, diminishing downwards with decreasing porosity. Carbon is contributed by recycling of organic matter originally fixed by photosynthesis, and chemoautotrophy using crustal carbon dioxide and methane. In the shallow crust, the recycled component predominates, as processed kerogen or hydrocarbons, but abiotic carbon sources may be significant in deeper, metamorphosed crust. Hydrogen to fuel chemosynthesis is available from radiolysis, mechanical deformation and mineral alteration. Activity in the subcontinental deep biosphere can be traced through the geological record back to the Precambrian. Before the colonization of the Earth's surface by land plants, a geologically recent event, subsurface life probably dominated the planet's biomass. In regions of thick ice sheets the base of the ice sheet, where liquid water is stable and a sediment layer is created by glacial erosion, can be regarded as a deep biosphere habitat. This environment may be rich in dissolved organic carbon and nutrients accumulated from dissolving ice, and from weathering of the bedrock and the sediment layer.</t>
  </si>
  <si>
    <t>[Parnell, John] Univ Aberdeen, Sch Geosci, Aberdeen AB24 3UE, Scotland; [McMahon, Sean] Yale Univ, Dept Geol &amp; Geophys, New Haven, CT 06511 USA</t>
  </si>
  <si>
    <t>University of Aberdeen; Yale University</t>
  </si>
  <si>
    <t>Parnell, J (corresponding author), Univ Aberdeen, Sch Geosci, Aberdeen AB24 3UE, Scotland.</t>
  </si>
  <si>
    <t>j.parnell@abdn.ac.uk</t>
  </si>
  <si>
    <t>McMahon, Sean/0000-0001-8589-2041</t>
  </si>
  <si>
    <t>STFC [ST/1506102/1]; NASA Astrobiology Institute Program on Foundations of Complex Life, Evolution, Preservation and Detection on Earth and Beyond [NNA13AA90A]; NERC [NE/G00322X/l]; NERC [NE/G00465X/1, NE/G00465X/2, NE/G00322X/1] Funding Source: UKRI; Natural Environment Research Council [NE/G00465X/2, NE/G00465X/1, NER/A/S/2001/01248, NE/G00322X/1] Funding Source: researchfish</t>
  </si>
  <si>
    <t>STFC(UK Research &amp; Innovation (UKRI)Science &amp; Technology Facilities Council (STFC)); NASA Astrobiology Institute Program on Foundations of Complex Life, Evolution, Preservation and Detection on Earth and Beyond; NERC(UK Research &amp; Innovation (UKRI)Natural Environment Research Council (NERC)); NERC(UK Research &amp; Innovation (UKRI)Natural Environment Research Council (NERC)); Natural Environment Research Council(UK Research &amp; Innovation (UKRI)Natural Environment Research Council (NERC))</t>
  </si>
  <si>
    <t>S.M. was funded by an STFC Aurora studentship (grant ST/1506102/1) and the NASA Astrobiology Institute Program on Foundations of Complex Life, Evolution, Preservation and Detection on Earth and Beyond (grant NNA13AA90A). J.P. was supported by NERC grant NE/G00322X/l.</t>
  </si>
  <si>
    <t>10.1098/rsta.2014.0293</t>
  </si>
  <si>
    <t>WOS:000367471500004</t>
  </si>
  <si>
    <t>Pattyn, F; Carter, SP; Thoma, M</t>
  </si>
  <si>
    <t>Pattyn, Frank; Carter, Sasha P.; Thoma, Malte</t>
  </si>
  <si>
    <t>Advances in modelling subglacial lakes and their interaction with the Antarctic ice sheet</t>
  </si>
  <si>
    <t>subglacial lakes; Antarctica; modelling</t>
  </si>
  <si>
    <t>WEST ANTARCTICA; EAST ANTARCTICA; GROUNDING-LINE; ACCRETED ICE; STICKY SPOTS; WATER PIRACY; SIPLE COAST; VOSTOK; BENEATH; STREAM</t>
  </si>
  <si>
    <t>Subglacial lakes have long been considered hydraulically isolated water bodies underneath ice sheets. This view changed radically with the advent of repeat-pass satellite altimetry and the discovery of multiple lake discharges and water infill, associated with water transfer over distances of more than 200 km. The presence of subglacial lakes also influences ice dynamics, leading to glacier acceleration. Furthermore, subglacial melting under the Antarctic ice sheet is more widespread than previously thought, and subglacial melt rates may explain the availability for water storage in subglacial lakes and water transport. Modelling of subglacial water discharge in subglacial lakes essentially follows hydraulics of subglacial channels on a hard bed, where ice sheet surface slope is a major control on triggering subglacial lake discharge. Recent evidence also points to the development of channels in deformable sediment in West Antarctica, with significant water exchanges between till and ice. Most active lakes drain over short time scales and respond rapidly to upstream variations. Several Antarctic subglacial lakes exhibit complex interactions with the ice sheet due to water circulation. Subglacial lakes can therefore-from a modelling point of view-be seen as confined small oceans underneath an imbedded ice shelf.</t>
  </si>
  <si>
    <t>[Pattyn, Frank] Univ Libre Bruxelles, Lab Glaciol, B-1050 Brussels, Belgium; [Carter, Sasha P.] Univ Calif San Diego, Scripps Inst Oceanog, San Diego, CA 92103 USA; [Thoma, Malte] Helmholtz Ctr Polar &amp; Marine Res, Alfred Wegener Inst, D-27570 Bremerhaven, Germany</t>
  </si>
  <si>
    <t>Universite Libre de Bruxelles; University of California System; University of California San Diego; Scripps Institution of Oceanography; Helmholtz Association; Alfred Wegener Institute, Helmholtz Centre for Polar &amp; Marine Research</t>
  </si>
  <si>
    <t>Pattyn, F (corresponding author), Univ Libre Bruxelles, Lab Glaciol, CP 160-03,Ave FD Roosevelt, B-1050 Brussels, Belgium.</t>
  </si>
  <si>
    <t>fpattyn@ulb.ac.be</t>
  </si>
  <si>
    <t>Pattyn, Frank/AAA-9640-2019</t>
  </si>
  <si>
    <t>Pattyn, Frank/0000-0003-4805-5636</t>
  </si>
  <si>
    <t>10.1098/rsta.2014.0296</t>
  </si>
  <si>
    <t>WOS:000367471500006</t>
  </si>
  <si>
    <t>Pearce, DA; Magiopoulos, I; Mowlem, M; Tranter, M; Holt, G; Woodward, J; Siegert, MJ</t>
  </si>
  <si>
    <t>Pearce, D. A.; Magiopoulos, I.; Mowlem, M.; Tranter, M.; Holt, G.; Woodward, J.; Siegert, M. J.</t>
  </si>
  <si>
    <t>Microbiology: lessons from a first attempt at Lake Ellsworth</t>
  </si>
  <si>
    <t>subglacial lakes; deep ice drilling; sterile technologies; Antarctic environments; Ellsworth; microbiology</t>
  </si>
  <si>
    <t>ANTARCTIC SUBGLACIAL LAKES; BACTERIAL DIVERSITY; ICE-SHEET; ACCRETION ICE; SP NOV.; SNOW; VOSTOK; LIFE; GLACIER; COMMUNITY</t>
  </si>
  <si>
    <t>During the attempt to directly access, measure and sample Subglacial Lake Ellsworth in 2012-2013, we conducted microbiological analyses of the drilling equipment, scientific instrumentation, field camp and natural surroundings. From these studies, a number of lessons can be learned about the cleanliness of deep Antarctic subglacial lake access leading to, in particular, knowledge of the limitations of some of the most basic relevant microbiological principles. Here, we focus on five of the core challenges faced and describe how cleanliness and sterilization were implemented in the field. In the light of our field experiences, we consider how effective these actions were, and what can be learnt for future subglacial exploration missions. The five areas covered are: (i) field camp environment and activities, (ii) the engineering processes surrounding the hot water drilling, (iii) sample handling, including recovery, stability and preservation, (iv) clean access methodologies and removal of sample material, and (v) the biodiversity and distribution of bacteria around the Antarctic. Comparisons are made between the microbiology of the Lake Ellsworth field site and other Antarctic systems, including the lakes on Signy Island, and on the Antarctic Peninsula at Lake Hodgson. Ongoing research to better define and characterize the behaviour of natural and introduced microbial populations in response to deep-ice drilling is also discussed. We recommend that future access programmes: (i) assess each specific local environment in enhanced detail due to the potential for local contamination, (ii) consider the sterility of the access in more detail, specifically focusing on single cell colonization and the introduction of new species through contamination of pre-existing microbial communities, (iii) consider experimental bias in methodological approaches, (iv) undertake in situ biodiversity detection to mitigate risk of non-sample return and post-sample contamination, and (v) address the critical question of how important these microbes are in the functioning of Antarctic ecosystems.</t>
  </si>
  <si>
    <t>[Pearce, D. A.; Holt, G.; Woodward, J.] Northumbria Univ, Fac Hlth &amp; Life Sci, Dept Appl Sci, Newcastle Upon Tyne NE1 8ST, Tyne &amp; Wear, England; [Pearce, D. A.] British Antarctic Survey, Cambridge CB3 0ET, England; [Pearce, D. A.] Univ Ctr Svalbard, Dept Arctic Biol, N-9171 Longyearbyen, Norway; [Magiopoulos, I.; Mowlem, M.] Univ Southampton, Natl Oceanog Ctr, Southampton SO14 3ZH, Hants, England; [Tranter, M.] Univ Bristol, Ctr Glaciol, Bristol BS8 1SS, Avon, England; [Siegert, M. J.] Univ London Imperial Coll Sci Technol &amp; Med, Grantham Inst, London SW7 2AZ, England; [Siegert, M. J.] Univ London Imperial Coll Sci Technol &amp; Med, Dept Earth Sci &amp; Engn, London SW7 2AZ, England</t>
  </si>
  <si>
    <t>Northumbria University; UK Research &amp; Innovation (UKRI); Natural Environment Research Council (NERC); NERC British Antarctic Survey; University Centre Svalbard (UNIS); University of Southampton; NERC National Oceanography Centre; University of Bristol; Imperial College London; Imperial College London</t>
  </si>
  <si>
    <t>Pearce, DA (corresponding author), Northumbria Univ, Fac Hlth &amp; Life Sci, Dept Appl Sci, Ellison Bldg, Newcastle Upon Tyne NE1 8ST, Tyne &amp; Wear, England.</t>
  </si>
  <si>
    <t>Woodward, John/I-1046-2013; Siegert, Martin J/A-3826-2008; Siegert, Martin/M-9939-2019; Tranter, Martyn/E-3722-2010</t>
  </si>
  <si>
    <t>Siegert, Martin J/0000-0002-0090-4806; Siegert, Martin/0000-0002-0090-4806; Woodward, John/0000-0002-4980-4080; Pearce, David/0000-0001-5292-4596; Tranter, Martyn/0000-0003-2071-3094; Magiopoulos, Iordanis/0000-0001-6475-7326; Holt, Giles/0000-0002-7494-3736; Mowlem, Matthew/0000-0001-7613-6121</t>
  </si>
  <si>
    <t>NERC [NE/G004242/1]; [NE/G005028/1]; [NE/G00336X/1]; [NE/G006067/1]; [NE/G00465X/1]; [NE/G00322X/1]; Natural Environment Research Council [NE/G00465X/3, NE/G004242/1, bas0100035, NE/G00322X/1, noc010013, noc010003, NE/G00465X/1, NE/G005028/1, NE/G00465X/2, NE/G00336X/1] Funding Source: researchfish; NERC [NE/G005028/1, NE/G00465X/3, NE/G00465X/1, NE/G00336X/1, NE/G00465X/2, NE/G004242/1, bas0100035, NE/G00322X/1, noc010003, noc010013] Funding Source: UKRI</t>
  </si>
  <si>
    <t>NERC(UK Research &amp; Innovation (UKRI)Natural Environment Research Council (NERC)); ; ; ; ; ; Natural Environment Research Council(UK Research &amp; Innovation (UKRI)Natural Environment Research Council (NERC)); NERC(UK Research &amp; Innovation (UKRI)Natural Environment Research Council (NERC))</t>
  </si>
  <si>
    <t>The project was funded by NERC through the responsive mode grant 'Direct measurement and sampling of Subglacial Lake Ellsworth' NE/G004242/1 and through Oceans 2025 Theme 8.1. P.K. (Keen Marine) was funded under subcontract from NE/G004242/1. The SLE consortium was funded under grant nos. NE/G005028/1, NE/G00336X/1, NE/G004242/1, NE/G006067/1, NE/G00465X/1 and NE/G00322X/1.</t>
  </si>
  <si>
    <t>10.1098/rsta.2014.0291</t>
  </si>
  <si>
    <t>WOS:000367471500002</t>
  </si>
  <si>
    <t>Siegert, MJ; Priscu, JC; Alekhina, IA; Wadham, JL; Lyons, AB</t>
  </si>
  <si>
    <t>Siegert, Martin J.; Priscu, John C.; Alekhina, Irina A.; Wadham, Jemma L.; Lyons, W. Berry</t>
  </si>
  <si>
    <t>Preface</t>
  </si>
  <si>
    <t>Antarctic; subglacial; lakes; extreme environments</t>
  </si>
  <si>
    <t>[Siegert, Martin J.] Univ London Imperial Coll Sci Technol &amp; Med, Dept Earth Sci &amp; Engn, Grantham Inst, London, England; [Priscu, John C.] Montana State Univ, Dept Land Resources &amp; Environm Sci, Bozeman, MT 59717 USA; [Alekhina, Irina A.] Arctic &amp; Antarctic Res Inst, St Petersburg 199226, Russia; [Wadham, Jemma L.] Univ Bristol, Sch Geog Sci, Bristol, Avon, England; [Lyons, W. Berry] Ohio State Univ, Sch Earth Sci, Columbus, OH 43210 USA</t>
  </si>
  <si>
    <t>Imperial College London; Montana State University System; Montana State University Bozeman; Arctic &amp; Antarctic Research Institute; University of Bristol; University System of Ohio; Ohio State University</t>
  </si>
  <si>
    <t>Siegert, MJ (corresponding author), Univ London Imperial Coll Sci Technol &amp; Med, Dept Earth Sci &amp; Engn, Grantham Inst, London, England.</t>
  </si>
  <si>
    <t>m.siegert@imperial.ac.uk</t>
  </si>
  <si>
    <t>Siegert, Martin/M-9939-2019; Wadham, Jemma L/G-3138-2014; Siegert, Martin J/A-3826-2008; Wadham, Jemma L/A-8352-2012; Alekhina, Irina/L-2163-2016</t>
  </si>
  <si>
    <t>Siegert, Martin/0000-0002-0090-4806; Siegert, Martin J/0000-0002-0090-4806; Alekhina, Irina/0000-0001-9820-8675</t>
  </si>
  <si>
    <t>NERC [NE/G00465X/1, NE/G00465X/3, NE/G00465X/2, NE/I008845/1] Funding Source: UKRI; Natural Environment Research Council [NE/G00465X/3, NE/G00465X/2, NE/I008845/1, NE/G00465X/1] Funding Source: researchfish</t>
  </si>
  <si>
    <t>10.1098/rsta.2015.0145</t>
  </si>
  <si>
    <t>WOS:000367471500016</t>
  </si>
  <si>
    <t>Siegert, MJ; Priscu, JC; Alekhina, IA; Wadham, JL; Lyons, WB</t>
  </si>
  <si>
    <t>Antarctic subglacial lake exploration: first results and future plans</t>
  </si>
  <si>
    <t>Antarctic; extreme environments; ice dynamics</t>
  </si>
  <si>
    <t>ICE; BENEATH; WATER; INVENTORY; VOSTOK</t>
  </si>
  <si>
    <t>After more than a decade of planning, three attempts were made in 2012-2013 to access, measure in situ properties and directly sample subglacial Antarctic lake environments. First, Russian scientists drilled into the top of Lake Vostok, allowing lake water to infiltrate, and freeze within, the lower part of the ice-core borehole, from which further coring would recover a frozen sample of surface lake water. Second, UK engineers tried unsuccessfully to deploy a clean-access hot-water drill, to sample the water column and sediments of subglacial Lake Ellsworth. Third, a US mission successfully drilled cleanly into subglacial Lake Whillans, a shallow hydraulically active lake at the coastal margin of West Antarctica, obtaining samples that would later be used to prove the existence of microbial life and active biogeochemical cycling beneath the ice sheet. This article summarizes the results of these programmes in terms of the scientific results obtained, the operational knowledge gained and the engineering challenges revealed, to collate what is known about Antarctic subglacial environments and how to explore them in future. While results from Lake Whillans testify to subglacial lakes as being viable biological habitats, the engineering challenges to explore deeper more isolated lakes where unique microorganisms and climate records may be found, as exemplified in the Lake Ellsworth and Vostok missions, are considerable. Through international cooperation, and by using equipment and knowledge of the existing subglacial lake exploration programmes, it is possible that such environments could be explored thoroughly, and at numerous sites, in the near future.</t>
  </si>
  <si>
    <t>[Siegert, Martin J.] Univ London Imperial Coll Sci Technol &amp; Med, Grantham Inst, London, South Kensingto, England; [Siegert, Martin J.] Univ London Imperial Coll Sci Technol &amp; Med, Dept Earth Sci &amp; Engn, London, South Kensingto, England; [Priscu, John C.] Montana State Univ, Dept Land Resources &amp; Environm Sci, Bozeman, MT 59717 USA; [Alekhina, Irina A.] Arctic &amp; Antarctic Res Inst, St Petersburg 199226, Russia; [Wadham, Jemma L.] Univ Bristol, Sch Geog Sci, Bristol, Avon, England; [Lyons, W. Berry] Ohio State Univ, Sch Earth Sci, Columbus, OH 43210 USA</t>
  </si>
  <si>
    <t>Imperial College London; Imperial College London; Montana State University System; Montana State University Bozeman; Arctic &amp; Antarctic Research Institute; University of Bristol; University System of Ohio; Ohio State University</t>
  </si>
  <si>
    <t>Siegert, MJ (corresponding author), Univ London Imperial Coll Sci Technol &amp; Med, Grantham Inst, London, South Kensingto, England.</t>
  </si>
  <si>
    <t>Siegert, Martin J/A-3826-2008; Wadham, Jemma L/A-8352-2012; Wadham, Jemma L/G-3138-2014; Siegert, Martin/M-9939-2019; Alekhina, Irina/L-2163-2016</t>
  </si>
  <si>
    <t>Siegert, Martin J/0000-0002-0090-4806; Siegert, Martin/0000-0002-0090-4806; Alekhina, Irina/0000-0001-9820-8675</t>
  </si>
  <si>
    <t>NERC [NE/I008845/1, NE/G00465X/1, NE/G00465X/3, NE/G00465X/2] Funding Source: UKRI; Natural Environment Research Council [NE/G00465X/1, NE/G00465X/3, NE/G00465X/2, NE/I008845/1] Funding Source: researchfish</t>
  </si>
  <si>
    <t>10.1098/rsta.2014.0466</t>
  </si>
  <si>
    <t>WOS:000367471500014</t>
  </si>
  <si>
    <t>Siegert, MJ; Ross, N; Le Brocq, AM</t>
  </si>
  <si>
    <t>Siegert, Martin J.; Ross, Neil; Le Brocq, Anne M.</t>
  </si>
  <si>
    <t>Recent advances in understanding Antarctic subglacial lakes and hydrology</t>
  </si>
  <si>
    <t>ice sheet; basal processes; ice flow; Antarctica</t>
  </si>
  <si>
    <t>ICE-SHEET; GROUNDING LINE; WATER-SYSTEM; BENEATH; MELTWATER; GLACIER; SURFACE; INVENTORY; DISCHARGE; VALLEYS</t>
  </si>
  <si>
    <t>It is now well documented that over 400 subglacial lakes exist across the bed of the Antarctic Ice Sheet. They comprise a variety of sizes and volumes (from the approx. 250 km long Lake Vostok to bodies of water less than 1 km in length), relate to a number of discrete topographic settings (from those contained within valleys to lakes that reside in broad flat terrain) and exhibit a range of dynamic behaviours (from 'active' lakes that periodically outburst some or all of their water to those isolated hydrologically for millions of years). Here we critique recent advances in our understanding of subglacial lakes, in particular since the last inventory in 2012. We show that within 3 years our knowledge of the hydrological processes at the ice-sheet base has advanced considerably. We describe evidence for further 'active' subglacial lakes, based on satellite observation of ice-surface changes, and discuss why detection of many 'active' lakes is not resolved in traditional radio-echo sounding methods. We go on to review evidence for large-scale subglacial water flow in Antarctica, including the discovery of ancient channels developed by former hydrological processes. We end by predicting areas where future discoveries may be possible, including the detection, measurement and significance of groundwater (i.e. water held beneath the ice-bed interface).</t>
  </si>
  <si>
    <t>[Siegert, Martin J.] Univ London Imperial Coll Sci Technol &amp; Med, Grantham Inst, London SW7 2AZ, England; [Siegert, Martin J.] Univ London Imperial Coll Sci Technol &amp; Med, Dept Earth Sci &amp; Engn, London SW7 2AZ, England; [Ross, Neil] Newcastle Univ, Sch Geog Polit &amp; Sociol, Newcastle Upon Tyne NE1 7RU, Tyne &amp; Wear, England; [Le Brocq, Anne M.] Univ Exeter, Coll Life &amp; Environm Sci, Geog, Exeter EX4 4RJ, Devon, England</t>
  </si>
  <si>
    <t>Imperial College London; Imperial College London; Newcastle University - UK; University of Exeter</t>
  </si>
  <si>
    <t>Siegert, MJ (corresponding author), Univ London Imperial Coll Sci Technol &amp; Med, Grantham Inst, London SW7 2AZ, England.</t>
  </si>
  <si>
    <t>Siegert, Martin/M-9939-2019; Siegert, Martin J/A-3826-2008</t>
  </si>
  <si>
    <t>Siegert, Martin/0000-0002-0090-4806; Siegert, Martin J/0000-0002-0090-4806</t>
  </si>
  <si>
    <t>UK NERC [NE/G013071/1, NE/D003733/1, NE/G00465X/1/2/3]; Natural Environment Research Council [NE/G013071/1, NE/G00465X/3, NE/G00465X/1, NE/G00465X/2] Funding Source: researchfish; NERC [NE/G013071/1, NE/G00465X/3, NE/G00465X/1, NE/G00465X/2] Funding Source: UKRI</t>
  </si>
  <si>
    <t>UK NERC(UK Research &amp; Innovation (UKRI)Natural Environment Research Council (NERC)); Natural Environment Research Council(UK Research &amp; Innovation (UKRI)Natural Environment Research Council (NERC)); NERC(UK Research &amp; Innovation (UKRI)Natural Environment Research Council (NERC))</t>
  </si>
  <si>
    <t>We acknowledge funding from the UK NERC, grant nos. NE/G013071/1, NE/D003733/1 and NE/G00465X/1/2/3.</t>
  </si>
  <si>
    <t>10.1098/rsta.2014.0306</t>
  </si>
  <si>
    <t>WOS:000367471500013</t>
  </si>
  <si>
    <t>Bulat, SA</t>
  </si>
  <si>
    <t>Bulat, Sergey A.</t>
  </si>
  <si>
    <t>Microbiology of the subglacial Lake Vostok: first results of borehole-frozen lake water analysis and prospects for searching for lake inhabitants</t>
  </si>
  <si>
    <t>Antarctica; subglacial Lake Vostok; borehole-frozen water; extremophiles; unknown bacteria; contamination</t>
  </si>
  <si>
    <t>ACCRETED ICE; ANTARCTICA; MICROORGANISMS</t>
  </si>
  <si>
    <t>This article examines the question of the possible existence of microbial life inhabiting the subglacial Lake Vostok buried beneath a 4 km thick Antarctic ice sheet. It represents the results of analysis of the only available frozen lake water samples obtained upon the first lake entry and subsequent re-coring the water frozen within the borehole. For comparison, results obtained by earlier molecular microbiological studies of accretion ice are included in this study, with the focus on thermophiles and an unknown bacterial phylotype. A description of two Lake Vostok penetrations is presented for the first time from the point of view of possible clean water sampling. Finally, the results of current studies of Lake Vostok frozen water samples are presented, with the focus on the discovery of another unknown bacterial phylotype w123-10 distantly related to the above-mentioned unknown phylotype AF532061 detected in Vostok accretion ice, both successfully passing all possible controls for contamination. The use of clean-room facilities and the establishment of a contaminant library are considered to be prerequisites for research on microorganisms from Lake Vostok. It seems that not yet recorded microbial life could exist within the Lake Vostok water body. In conclusion, the prospects for searching for lake inhabitants are expressed with the intention to sample the lake water as cleanly as possible in order to make sure that further results will be robust.</t>
  </si>
  <si>
    <t>[Bulat, Sergey A.] Kurchatov Inst, Natl Res Ctr, BP Konstantinov Petersburg Nucl Phys Inst, Div Mol &amp; Radiat Biophys, Gatchina 188300, Russia; [Bulat, Sergey A.] Ural Fed Univ, Inst Phys &amp; Technol, Dept Phys Methods &amp; Devices Qual Control, Ekaterinburg 620002, Russia</t>
  </si>
  <si>
    <t>National Research Centre - Kurchatov Institute; Petersburg Nuclear Physics Institute; Ural Federal University</t>
  </si>
  <si>
    <t>Bulat, SA (corresponding author), Kurchatov Inst, Natl Res Ctr, BP Konstantinov Petersburg Nucl Phys Inst, Div Mol &amp; Radiat Biophys, Gatchina 188300, Russia.</t>
  </si>
  <si>
    <t>bulat@omrb.pnpi.spb.ru</t>
  </si>
  <si>
    <t>Bulat, Sergey/0000-0002-2574-882X</t>
  </si>
  <si>
    <t>RFBR, RFBR-CNRS_a [14-05-93110]</t>
  </si>
  <si>
    <t>RFBR, RFBR-CNRS_a</t>
  </si>
  <si>
    <t>The reported study was partially supported by RFBR, research project RFBR-CNRS_a no. 14-05-93110.</t>
  </si>
  <si>
    <t>10.1098/rsta.2014.0292</t>
  </si>
  <si>
    <t>WOS:000367471500003</t>
  </si>
  <si>
    <t>Fricker, HA; Siegfried, MR; Carter, SP; Scambos, TA</t>
  </si>
  <si>
    <t>Fricker, Helen A.; Siegfried, Matthew R.; Carter, Sasha P.; Scambos, Ted A.</t>
  </si>
  <si>
    <t>A decade of progress in observing and modelling Antarctic subglacial water systems</t>
  </si>
  <si>
    <t>subglacial lakes; Antarctic ice sheet; satellite altimetry</t>
  </si>
  <si>
    <t>WHILLANS ICE STREAM; WEST ANTARCTICA; EAST ANTARCTICA; PENETRATING RADAR; GROUNDING-LINE; LAKE DRAINAGE; SIPLE COAST; SHEET; BENEATH; FLOW</t>
  </si>
  <si>
    <t>In the decade since the discovery of active Antarctic subglacial water systems by detection of subtle surface displacements, much progress has been made in our understanding of these dynamic systems. Here, we present some of the key results of observations derived from ICESat laser altimetry, CryoSat-2 radar altimetry, Operation IceBridge airborne laser altimetry, satellite image differencing and ground-based continuous Global Positioning System (GPS) experiments deployed in hydrologically active regions. These observations provide us with an increased understanding of various lake systems in Antarctica: Whillans/Mercer Ice Streams, Crane Glacier, Recovery Ice Stream, Byrd Glacier and eastern Wilkes Land. In several cases, subglacial water systems are shown to control ice flux through the glacier system. For some lake systems, we have been able to construct more than a decade of continuous lake activity, revealing internal variability on time scales ranging from days to years. This variability indicates that continuous, accurate time series of altimetry data are critical to understanding these systems. On Whillans Ice Stream, our results from a 5-year continuous GPS record demonstrate that subglacial lake flood events significantly change the regional ice dynamics. We also show how models for subglacial water flow have evolved since the availability of observations of lake volume change, from regional-scale models of water routeing to process models of channels carved into the subglacial sediment instead of the overlying ice. We show that progress in understanding the processes governing lake drainage now allows us to create simulated lake volume time series that reproduce time series from satellite observations. This transformational decade in Antarctic subglacial water research has moved us significantly closer to understanding the processes of water transfer sufficiently for inclusion in continental-scale ice-sheet models.</t>
  </si>
  <si>
    <t>[Fricker, Helen A.; Siegfried, Matthew R.; Carter, Sasha P.] Univ Calif San Diego, Scripps Inst Oceanog, La Jolla, CA 92093 USA; [Scambos, Ted A.] Univ Colorado, Natl Snow &amp; Ice Data Ctr, CIRES, Boulder, CO 80303 USA</t>
  </si>
  <si>
    <t>University of California System; University of California San Diego; Scripps Institution of Oceanography; University of Colorado System; University of Colorado Boulder</t>
  </si>
  <si>
    <t>Fricker, HA (corresponding author), Univ Calif San Diego, Scripps Inst Oceanog, 9500 Gilman Dr, La Jolla, CA 92093 USA.</t>
  </si>
  <si>
    <t>hafricker@ucsd.edu</t>
  </si>
  <si>
    <t>SCAMBOS, Ted A./0000-0003-4268-6322; Fricker, Helen Amanda/0000-0002-0921-1432</t>
  </si>
  <si>
    <t>NSF [ANT-0838885]; NASA [NNX11AQ78H, NNX10AG21G]; Directorate For Geosciences; Office of Polar Programs (OPP) [1439774] Funding Source: National Science Foundation; NASA [134118, NNX10AG21G, 138817, NNX11AQ78H] Funding Source: Federal RePORTER</t>
  </si>
  <si>
    <t>NSF(National Science Foundation (NSF)); NASA(National Aeronautics &amp; Space Administration (NASA)); Directorate For Geosciences; Office of Polar Programs (OPP)(National Science Foundation (NSF)NSF - Directorate for Geosciences (GEO)); NASA(National Aeronautics &amp; Space Administration (NASA))</t>
  </si>
  <si>
    <t>We thank NSF and NASA for funding (NASA grant NNX11AQ78H (M.R.S. and H.A.F.) and NNX10AG21G (T.A.S.), and NSF grant ANT-0838885 (H.A.F.)).</t>
  </si>
  <si>
    <t>10.1098/rsta.2014.0294</t>
  </si>
  <si>
    <t>WOS:000367471500005</t>
  </si>
  <si>
    <t>Mckay, RM; Barrett, PJ; Levy, RS; Naish, TR; Golledge, NR; Pyne, A</t>
  </si>
  <si>
    <t>Mckay, R. M.; Barrett, P. J.; Levy, R. S.; Naish, T. R.; Golledge, N. R.; Pyne, A.</t>
  </si>
  <si>
    <t>Antarctic Cenozoic climate history from sedimentary records: ANDRILL and beyond</t>
  </si>
  <si>
    <t>Cenozoic; palaeoclimate; ice sheets; sea level; subglacial; geology</t>
  </si>
  <si>
    <t>GLOBAL SEA-LEVEL; ICE-SHEET; LONG-TERM; DYNAMIC TOPOGRAPHY; CONTINENTAL-MARGIN; CARBON-DIOXIDE; PLIOCENE; MIOCENE; TEMPERATURE; OLIGOCENE</t>
  </si>
  <si>
    <t>Mounting evidence from models and geological data implies that the Antarctic Ice Sheet may behave in an unstable manner and retreat rapidly in response to a warming climate, which is a key factor motivating efforts to improve estimates of Antarctic ice volume contributions to future sea-level rise. Here, we review Antarctic cooling history since peak temperatures of the Middle Eocene Climatic Optimum (approx. 50 Ma) to provide a framework for future initiatives to recover sediment cores from subglacial lakes and sedimentary basins in Antarctica's continental interior. While the existing inventory of cores has yielded important insights into the biotic and climatic evolution of Antarctica, strata have numerous and often lengthy time breaks, providing a framework of 'snapshots' through time. Further cores, and more work on existing cores, are needed to reconcile Antarctic records with the more continuous 'farfield' records documenting the evolution of global ice volume and deep-sea temperature. To achieve this, we argue for an integrated portfolio of drilling and coring missions that encompasses existing methodologies using ship-and sea-ice-/ ice-shelf-based drilling platforms as well as recently developed seafloor-based drilling and subglacial access systems. We conclude by reviewing key technological issues that will need to be overcome.</t>
  </si>
  <si>
    <t>[Mckay, R. M.; Barrett, P. J.; Naish, T. R.; Golledge, N. R.; Pyne, A.] Victoria Univ Wellington, Antarctic Res Ctr, Wellington 6140, New Zealand; [Levy, R. S.; Naish, T. R.; Golledge, N. R.] GNS Sci, Lower Hutt 5040, New Zealand</t>
  </si>
  <si>
    <t>Victoria University Wellington; GNS Science - New Zealand</t>
  </si>
  <si>
    <t>Mckay, RM (corresponding author), Victoria Univ Wellington, Antarctic Res Ctr, POB 600, Wellington 6140, New Zealand.</t>
  </si>
  <si>
    <t>robert.mckay@vuw.ac.nz</t>
  </si>
  <si>
    <t>McKay, Robert/N-2449-2015</t>
  </si>
  <si>
    <t>McKay, Robert/0000-0002-5602-6985; Naish, Tim/0000-0002-1185-9932; Golledge, Nicholas/0000-0001-7676-8970</t>
  </si>
  <si>
    <t>Rutherford Discovery Fellowship [RDF-13-VUW-003]; Ministry of Business, Innovation, and Employment (MBIE) [C05X1001]; New Zealand Ministry of Business, Innovation &amp; Employment (MBIE) [C05X1001] Funding Source: New Zealand Ministry of Business, Innovation &amp; Employment (MBIE)</t>
  </si>
  <si>
    <t>Rutherford Discovery Fellowship(Royal Society of New Zealand); Ministry of Business, Innovation, and Employment (MBIE)(New Zealand Ministry of Business, Innovation and Employment (MBIE)); New Zealand Ministry of Business, Innovation &amp; Employment (MBIE)(New Zealand Ministry of Business, Innovation and Employment (MBIE))</t>
  </si>
  <si>
    <t>Financial support for this study was provided by the Rutherford Discovery Fellowship (RDF-13-VUW-003) and the Ministry of Business, Innovation, and Employment (MBIE) contract C05X1001.</t>
  </si>
  <si>
    <t>10.1098/rsta.2014.0301</t>
  </si>
  <si>
    <t>WOS:000367471500008</t>
  </si>
  <si>
    <t>Mowlem, M; Saw, K; Waugh, E; Cardwell, CL; Wyatt, J; Magiopoulos, I; Keen, P; Campbell, J; Rundle, N; Gkritzalis-Papadopoulos, A</t>
  </si>
  <si>
    <t>Mowlem, Matt; Saw, Kevin; Waugh, Edward; Cardwell, Christopher L.; Wyatt, James; Magiopoulos, Iordanis; Keen, Peter; Campbell, Jon; Rundle, Nicholas; Gkritzalis-Papadopoulos, Athanasios</t>
  </si>
  <si>
    <t>Probe technologies for clean sampling and measurement of subglacial lakes</t>
  </si>
  <si>
    <t>instrumentation; probe; sensors; samplers; clean; subglacial</t>
  </si>
  <si>
    <t>WHILLANS</t>
  </si>
  <si>
    <t>It is 4 years since the subglacial lake community published its plans for accessing, sampling, measuring and studying the pristine, and hitherto enigmatic and very different, Antarctic subglacial lakes, Vostok, Whillans and Ellsworth. This paper summarizes the contrasting probe technologies designed for each of these subglacial environments and briefly updates how these designs changed or were used differently when compared to previously published plans. A detailed update on the final engineering design and technical aspects of the probe for Subglacial Lake Ellsworth is presented. This probe is designed for clean access, is negatively buoyant (350 kg), 5.2 m long, 200 mm in diameter, approximately cylindrical and consists of five major units: (i) an upper power and communications unit attached to an optical and electrical conducting tether, (ii)-(iv) three water and particle samplers, and (v) a sensors, imaging and instrumentation pack tipped with a miniature sediment corer. To date, only in Subglacial Lake Whillans have instruments been successfully deployed. Probe technologies for Subglacial Lake Vostok (2014/15) and Lake Ellsworth (2012/13) were not deployed for technical reasons, in the case of Lake Ellsworth because hot-water drilling was unable to access the lake during the field season window. Lessons learned and opportunities for probe technologies in future subglacial access missions are discussed.</t>
  </si>
  <si>
    <t>[Mowlem, Matt; Saw, Kevin; Waugh, Edward; Wyatt, James; Magiopoulos, Iordanis; Campbell, Jon; Rundle, Nicholas] Nat Oceanog Ctr, Southampton SO14 3ZH, Hants, England; [Waugh, Edward] Dyson Ltd, Malmesbury SN16 0RP, Wiltshire, England; [Keen, Peter] Keen Marine Ltd, East Cowes PO32 6HD, Isle Of Wight, England; [Gkritzalis-Papadopoulos, Athanasios] Flanders Marine Inst VLIZ, B-8400 Oostende, Belgium</t>
  </si>
  <si>
    <t>NERC National Oceanography Centre; Dyson</t>
  </si>
  <si>
    <t>Mowlem, M (corresponding author), Nat Oceanog Ctr, EuropeanWay, Southampton SO14 3ZH, Hants, England.</t>
  </si>
  <si>
    <t>matm@noc.ac.uk</t>
  </si>
  <si>
    <t>Cardwell, Christopher L/M-9500-2017</t>
  </si>
  <si>
    <t>Cardwell, Christopher L/0000-0003-1305-4174; Magiopoulos, Iordanis/0000-0001-6475-7326; Mowlem, Matthew/0000-0001-7613-6121; Saw, Kevin/0000-0001-7461-3430</t>
  </si>
  <si>
    <t>NERC [NE/G004242/1]; [NE/G005028/1]; [NE/G00336X/1]; [NE/G006067/1]; [NE/G00465X/1]; [NE/G00322X/1]; NERC [noc010003, NE/G00465X/1, NE/G005028/1, NE/G00336X/1, NE/G00465X/2, NE/G004242/1, NE/G00322X/1, NE/G00465X/3, noc010013] Funding Source: UKRI; Natural Environment Research Council [NE/G00336X/1, NE/G00465X/3, NE/G004242/1, NE/G00322X/1, noc010013, noc010003, NE/G00465X/1, NE/G005028/1, NE/G00465X/2] Funding Source: researchfish</t>
  </si>
  <si>
    <t>NERC(UK Research &amp; Innovation (UKRI)Natural Environment Research Council (NERC)); ; ; ; ; ; NERC(UK Research &amp; Innovation (UKRI)Natural Environment Research Council (NERC)); Natural Environment Research Council(UK Research &amp; Innovation (UKRI)Natural Environment Research Council (NERC))</t>
  </si>
  <si>
    <t>All current and previous NOC staff (including A. G.-P., E.W. and C.L.C.) were funded by NERC through the responsive mode grant 'Direct measurement and sampling of Subglacial Lake Ellsworth' NE/G004242/1 and through Oceans 2025 Theme 8.1. P.K. (Keen Marine) was funded under subcontract from NE/G004242/1. The SLE Consortium was funded under grant nos. NE/G005028/1, NE/G00336X/1, NE/G004242/1, NE/G006067/1, NE/G00465X/1 and NE/G00322X/1.</t>
  </si>
  <si>
    <t>10.1098/rsta.2015.0267</t>
  </si>
  <si>
    <t>WOS:000367471500017</t>
  </si>
  <si>
    <t>Rack, FR</t>
  </si>
  <si>
    <t>Rack, Frank R.</t>
  </si>
  <si>
    <t>Enabling clean access into Subglacial Lake Whillans: development and use of the WISSARD hot water drill system</t>
  </si>
  <si>
    <t>clean hot water drill system; subglacial aquatic environments; clean access; environmental stewardship; West Antarctica; WISSARD project</t>
  </si>
  <si>
    <t>ANTARCTIC ICE-SHEET; WEST ANTARCTICA; GROUNDING-LINE; LASER ALTIMETRY; STREAM-B; BENEATH; BASAL; INVENTORY; SHELF; ENVIRONMENT</t>
  </si>
  <si>
    <t>Clean hot water drill systems (CHWDSs) are used with clean access protocols for the exploration of subglacial lakes and other subglacial aquatic environments (e.g. ice-shelf cavities) in Antarctica. A CHWDS developed for the Whillans Ice Stream Subglacial Access Research Drilling (WISSARD) project by the Science Management Office at the University of Nebraska-Lincoln (UNL-SMO), USA, was specifically designed for use in West Antarctica, where the US Antarctic Program's South Pole Traverse could assist with logistical support. The initial goal was to provide clean access holes through ice up to 1000 m thick following environmental stewardship guidelines; however, the existing design allows this CHWDS to be used for ice thicknesses up to 2000 m following modifications to accommodate longer hose lengths. In January 2013, the WISSARD CHWDS successfully provided for the first time a clean access borehole through 800 m of ice into Subglacial Lake Whillans beneath the West Antarctic Ice Sheet for the deployment of scientific instruments and sampling tools. The development and initial use of the WISSARD CHWDS required the project team to address a number of constraints while providing contingencies to meet the defined project scope, schedule and budget.</t>
  </si>
  <si>
    <t>[Rack, Frank R.] Univ Nebraska, ANDRILL Sci Management Off, Lincoln, NE 68588 USA</t>
  </si>
  <si>
    <t>University of Nebraska System; University of Nebraska Lincoln</t>
  </si>
  <si>
    <t>Rack, FR (corresponding author), Univ Nebraska, ANDRILL Sci Management Off, 126 Bessey Hall, Lincoln, NE 68588 USA.</t>
  </si>
  <si>
    <t>frack2@unl.edu</t>
  </si>
  <si>
    <t>US National Science Foundation, Directorate for Geosciences, Division of Polar Programs (GEO-PLR), Antarctic Sciences Section, Antarctic Integrated System Science Program; American Recovery and Reinvestment Act; NSF-GEO-PLR, ANT-AISS [0839142, 0839107, 0838933]; NSF-PLR-ANT [1146554]; Directorate For Geosciences; Division Of Polar Programs [0838933] Funding Source: National Science Foundation; Directorate For Geosciences; Office of Polar Programs (OPP) [1346249, 0839107] Funding Source: National Science Foundation; Directorate For Geosciences; Office of Polar Programs (OPP) [1439774] Funding Source: National Science Foundation</t>
  </si>
  <si>
    <t>US National Science Foundation, Directorate for Geosciences, Division of Polar Programs (GEO-PLR), Antarctic Sciences Section, Antarctic Integrated System Science Program(National Science Foundation (NSF)NSF - Directorate for Geosciences (GEO)); American Recovery and Reinvestment Act; NSF-GEO-PLR, ANT-AISS(National Science Foundation (NSF)NSF - Directorate for Geosciences (GEO)); NSF-PLR-ANT; Directorate For Geosciences; Division Of Polar Programs(National Science Foundation (NSF)NSF - Directorate for Geosciences (GEO)); Directorate For Geosciences; Office of Polar Programs (OPP)(National Science Foundation (NSF)NSF - Directorate for Geosciences (GEO)); Directorate For Geosciences; Office of Polar Programs (OPP)(National Science Foundation (NSF)NSF - Directorate for Geosciences (GEO))</t>
  </si>
  <si>
    <t>The WISSARD Project is a multi-disciplinary research project funded by the US National Science Foundation, Directorate for Geosciences, Division of Polar Programs (GEO-PLR), Antarctic Sciences Section, Antarctic Integrated System Science Program, using funding from the American Recovery and Reinvestment Act of 2009. The development of the WISSARD CHWDS by the UNL-SMO was funded through three research grants from NSF-GEO-PLR, including: (i) ANT-AISS no. 0839142 to the University of California-Santa Cruz, (ii) ANT-AISS no. 0839107 to Northern Illinois University, and (iii) ANT-AISS no. 0838933 to Montana State University. Additional funding was provided to the UNL-SMO through grant NSF-PLR-ANT no. 1146554.</t>
  </si>
  <si>
    <t>10.1098/rsta.2014.0305</t>
  </si>
  <si>
    <t>WOS:000367471500012</t>
  </si>
  <si>
    <t>Young, DA; Schroeder, DM; Blankenship, DD; Kempf, SD; Quartini, E</t>
  </si>
  <si>
    <t>Young, D. A.; Schroeder, D. M.; Blankenship, D. D.; Kempf, Scott D.; Quartini, E.</t>
  </si>
  <si>
    <t>The distribution of basal water between Antarctic subglacial lakes from radar sounding</t>
  </si>
  <si>
    <t>glaciology; remote sensing; Antarctica</t>
  </si>
  <si>
    <t>ICE STREAM-C; ACTIVE RESERVOIR BENEATH; WEST ANTARCTICA; AIRBORNE-RADAR; THWAITES GLACIER; BYRD GLACIER; PINE ISLAND; BED; GREENLAND; WHILLANS</t>
  </si>
  <si>
    <t>Antarctica's subglacial lakes have two end member geophysical expressions: as hydraulically flat, radar reflective regions highlighted in ice surface topography and radar sounding profiles ('definite lakes'), and as localized sites of elevation change identified from repeat elevation observations ('active lakes') that are often found in fast flowing ice streams or enhanced ice flow tributaries. While 'definite lakes' can be identified readily by high bed reflectivity in radar sounding, the identification and characterization of less distinct subglacial lakes and water systems with radar sounding are complicated by variable radio-wave attenuation in the overlying ice. When relying on repeat elevation observations, the relatively short times series and biased distribution of elevation observations, along with the episodic nature of 'active lake' outflow and replenishment, limit our understanding of how water flows under the ice sheet. Using recently developed methods for quantifying the radar scattering behaviour of the basal interface of the ice, we can avoid the problem of attenuation, and observe the plumbing of the subglacial landscape. In West Antarctica's Ross Sea Embayment, we confirm that extensive distributed water systems underlie these ice streams. Distributed water sheets are upstream in the onset regions of fast flow, while canal systems underly downstream regions of fast flow. In East Antarctica, we use specularity analysis to recover substantial hydraulic connectivity extending beyond previous knowledge, connecting the lakes already delineated by traditional radar sounding or surface elevation transients.</t>
  </si>
  <si>
    <t>[Young, D. A.; Blankenship, D. D.; Kempf, Scott D.; Quartini, E.] Univ Texas Austin, Inst Geophys, Austin, TX 78712 USA; [Schroeder, D. M.] CALTECH, Jet Prop Lab, Pasadena, CA 91125 USA</t>
  </si>
  <si>
    <t>University of Texas System; University of Texas Austin; California Institute of Technology; National Aeronautics &amp; Space Administration (NASA); NASA Jet Propulsion Laboratory (JPL)</t>
  </si>
  <si>
    <t>Young, DA (corresponding author), Univ Texas Austin, Inst Geophys, Austin, TX 78712 USA.</t>
  </si>
  <si>
    <t>duncan@ig.utexas.edu</t>
  </si>
  <si>
    <t>Young, Duncan/G-6256-2010</t>
  </si>
  <si>
    <t>Young, Duncan/0000-0002-6866-8176; Schroeder, Dustin/0000-0003-1916-3929; Quartini, Enrica/0000-0001-7485-543X</t>
  </si>
  <si>
    <t>Jackson School of Geophysics; NSF [PLR-1043761, PLR-0636724, PLR-104376, CDI-0941678]; NASA's Cryosphere program; G. Unger Vetlesen Foundation; National Science Foundation [PLR-0733025]; National Aeronautics and Space Administration [NNX09AR52G, NNG10HPO6C, NNX11AD33G]; Australian Antarctic Division projects [3013, 4077]; NERC [NE/D003733/1]; Jackson School of Geosciences; Antarctic Climate and Ecosystems Cooperative Research Centre; NASA [NNX08AN68G]; [PLR-0086316]; [PLR-0230197]; NASA [97564, NNX08AN68G] Funding Source: Federal RePORTER</t>
  </si>
  <si>
    <t>Jackson School of Geophysics; NSF(National Science Foundation (NSF)); NASA's Cryosphere program(National Aeronautics &amp; Space Administration (NASA)); G. Unger Vetlesen Foundation; National Science Foundation(National Science Foundation (NSF)); National Aeronautics and Space Administration(National Aeronautics &amp; Space Administration (NASA)); Australian Antarctic Division projects; NERC(UK Research &amp; Innovation (UKRI)Natural Environment Research Council (NERC)); Jackson School of Geosciences; Antarctic Climate and Ecosystems Cooperative Research Centre(Australian GovernmentDepartment of Industry, Innovation and ScienceCooperative Research Centres (CRC) Programme); NASA(National Aeronautics &amp; Space Administration (NASA)); ; ; NASA(National Aeronautics &amp; Space Administration (NASA))</t>
  </si>
  <si>
    <t>D.A.Y. was supported by the Jackson School of Geophysics and NSF grant no. PLR-1043761 (GIMBLE). D.M.S. developed the specularity content methodology under a NSF Graduate Fellowship; his work on this paper was supported by a grant from NASA's Cryosphere program. S.D.K. was supported by PLR-1043761 (GIMBLE). D.D.B. was supported by the Jackson School of Geophysics and NSF grant no. PLR-1043761 (GIMBLE). E.Q. was supported by NSF grant no. PLR-1043761 (GIMBLE) and the G. Unger Vetlesen Foundation. Funding for ICECAP data acquisition was provided by the National Science Foundation grant no. PLR-0733025, National Aeronautics and Space Administration grant nos. NNX09AR52G, NNG10HPO6C and NNX11AD33G (Operation Ice Bridge and the American Recovery and Reinvestment Act), Australian Antarctic Division projects 3013 and 4077, NERC grant no. NE/D003733/1, the Jackson School of Geosciences and the Antarctic Climate and Ecosystems Cooperative Research Centre. West Antarctic data were collected under grant nos. PLR-1043761, PLR-0086316 and PLR-0230197. These data analysis methods were developed under NSF grant nos. PLR-0636724, PLR-104376 and CDI-0941678, NASA grant no. NNX08AN68G and the G. Unger Vetlesen Foundation.</t>
  </si>
  <si>
    <t>10.1098/rsta.2014.0297</t>
  </si>
  <si>
    <t>WOS:000367471500007</t>
  </si>
  <si>
    <t>Aymerich, IF; Oliva, M; Giralt, S; Martín-Herrero, J</t>
  </si>
  <si>
    <t>Aymerich, Ismael F.; Oliva, Marc; Giralt, Santiago; Martin-Herrero, Julio</t>
  </si>
  <si>
    <t>Detection of Tephra Layers in Antarctic Sediment Cores with Hyperspectral Imaging</t>
  </si>
  <si>
    <t>SOUTH-SHETLAND-ISLANDS; LIVINGSTON-ISLAND; ANISOTROPIC DIFFUSION; BYERS PENINSULA; LAKE; ICE; ERUPTION; ICELAND; QUALITY; RECORD</t>
  </si>
  <si>
    <t>Tephrochronology uses recognizable volcanic ash layers (from airborne pyroclastic deposits, or tephras) in geological strata to set unique time references for paleoenvironmental events across wide geographic areas. This involves the detection of tephra layers which sometimes are not evident to the naked eye, including the so-called cryptotephras. Tests that are expensive, time-consuming, and/or destructive are often required. Destructive testing for tephra layers of cores from difficult regions, such as Antarctica, which are useful sources of other kinds of information beyond tephras, is always undesirable. Here we propose hyperspectral imaging of cores, Self-Organizing Map (SOM) clustering of the preprocessed spectral signatures, and spatial analysis of the classified images as a convenient, fast, non-destructive method for tephra detection. We test the method in five sediment cores from three Antarctic lakes, and show its potential for detection of tephras and cryptotephras.</t>
  </si>
  <si>
    <t>[Aymerich, Ismael F.; Martin-Herrero, Julio] Univ Vigo, AtlantTIC, Vigo 36310, Spain; [Oliva, Marc] Univ Lisbon, Ctr Geog Studies IGOT, P-1699 Lisbon, Portugal; [Giralt, Santiago] Inst Earth Sci Jaume Almera CSIC, Barcelona, Spain</t>
  </si>
  <si>
    <t>Universidade de Vigo; atlanTTic; Universidade de Lisboa; Consejo Superior de Investigaciones Cientificas (CSIC); CSIC - Geociencias Barcelona (GEO3BCN)</t>
  </si>
  <si>
    <t>Aymerich, IF (corresponding author), Univ Vigo, AtlantTIC, Vigo 36310, Spain.</t>
  </si>
  <si>
    <t>ismael.aymerich@gmail.com</t>
  </si>
  <si>
    <t>Giralt, Santiago/G-4823-2011; Martin-Herrero, Julio/D-3827-2009; Giralt, Santiago/AAA-8585-2020; Oliva, Marc/K-5423-2014</t>
  </si>
  <si>
    <t>Giralt, Santiago/0000-0001-8570-7838; Giralt, Santiago/0000-0001-8570-7838; Martin-Herrero, Julio/0000-0003-1109-6338; Oliva, Marc/0000-0001-6521-6388</t>
  </si>
  <si>
    <t>Portuguese Science Foundation through the HOLOANTAR (Holocene environmental change in the Maritime Antarctic: Interactions Between permafrost and the lacustrine environment) project; Portuguese Polar Program (PROPOLAR); AXA Research Fund</t>
  </si>
  <si>
    <t>Portuguese Science Foundation through the HOLOANTAR (Holocene environmental change in the Maritime Antarctic: Interactions Between permafrost and the lacustrine environment) project; Portuguese Polar Program (PROPOLAR); AXA Research Fund(AXA Research Fund)</t>
  </si>
  <si>
    <t>Core extraction and analyses were funded by the Portuguese Science Foundation through the HOLOANTAR (Holocene environmental change in the Maritime Antarctic: Interactions Between permafrost and the lacustrine environment) project and the Portuguese Polar Program (PROPOLAR). The AXA Research Fund sponsored M. Oliva's research activities in Antarctica. The funders had no role in study design, data collection and analysis, decision to publish, or preparation of the manuscript.</t>
  </si>
  <si>
    <t>JAN 27</t>
  </si>
  <si>
    <t>e0146578</t>
  </si>
  <si>
    <t>10.1371/journal.pone.0146578</t>
  </si>
  <si>
    <t>DC9GD</t>
  </si>
  <si>
    <t>WOS:000369528200017</t>
  </si>
  <si>
    <t>Prado, JHF; Mattos, PH; Silva, KG; Secchi, ER</t>
  </si>
  <si>
    <t>Prado, Jonatas H. F.; Mattos, Paulo H.; Silva, Kleber G.; Secchi, Eduardo R.</t>
  </si>
  <si>
    <t>Long-Term Seasonal and Interannual Patterns of Marine Mammal Strandings in Subtropical Western South Atlantic</t>
  </si>
  <si>
    <t>AMERICAN SEA LION; WHALES MEGAPTERA-NOVAEANGLIAE; DOLPHIN PONTOPORIA-BLAINVILLEI; ANTARCTIC FUR-SEAL; GRANDE-DO-SUL; CETACEAN STRANDINGS; OTARIA-FLAVESCENS; GILLNET FISHERIES; BYCATCH; COAST</t>
  </si>
  <si>
    <t>Understanding temporal patterns of marine mammal occurrence is useful for establishing conservation strategies. We used a 38 yr-long dataset spanning 1976 to 2013 to describe temporal patterns and trends in marine mammal strandings along a subtropical stretch of the east coast of South America. This region is influenced by a transitional zone between tropical and temperate waters and is considered an important fishing ground off Brazil. Generalized Additive Models were used to evaluate the temporal stranding patterns of the most frequently stranded species. Forty species were documented in 12,540 stranding events. Franciscana (n = 4,574), South American fur seal, (n = 3,419), South American sea lion (n = 2,049), bottlenose dolphins (n = 293) and subantarctic fur seal (n = 219) were the most frequently stranded marine mammals. The seasonality of strandings of franciscana and bottlenose dolphin coincided with periods of higher fishing effort and strandings of South American and subantarctic fur seals with post-reproductive dispersal. For South American sea lion the seasonality of strandings is associated with both fishing effort and post-reproductive dispersal. Some clear seasonal patterns were associated with occurrence of cold( e.g. subantarctic fur seal) and warm-water (e.g. rough-toothed dolphin) species in winter and summer, respectively. Inter-annual increases in stranding rate were observed for franciscana and South American fur seal and these are likely related to increased fishing effort and population growth, respectively. For subantarctic fur seal the stranding rate showed a slight decline while for bottlenose dolphin it remained steady. No significant year to year variation in stranding rate was observed for South American sea lion. The slight decrease in frequency of temperate/polar marine mammals and the increased occurrence of subtropical/tropical species since the late 1990s might be associated with environmental changes linked to climate change. This long-term study indicates that temporal stranding patterns of marine mammals might be explained by either fishing-related or environmental factors.</t>
  </si>
  <si>
    <t>[Prado, Jonatas H. F.; Secchi, Eduardo R.] Univ Fed Rio Grande, Lab Ecol &amp; Conservacao Megafauna Marinha, Inst Oceanog, Rio Grande, Brazil; [Mattos, Paulo H.] Univ Fed Rio Grande, Inst Oceanog, Lab Gerenciamento Costeiro, Rio Grande, Brazil; [Silva, Kleber G.] Nucl Educ &amp; Monitoramento Ambiental, Rio Grande, Brazil</t>
  </si>
  <si>
    <t>Universidade Federal do Rio Grande; Universidade Federal do Rio Grande</t>
  </si>
  <si>
    <t>Prado, JHF (corresponding author), Univ Fed Rio Grande, Lab Ecol &amp; Conservacao Megafauna Marinha, Inst Oceanog, Rio Grande, Brazil.</t>
  </si>
  <si>
    <t>jonatashenriquef@gmail.com</t>
  </si>
  <si>
    <t>Secchi, Eduardo R./ABF-1191-2020</t>
  </si>
  <si>
    <t>Secchi, Eduardo R./0000-0001-9087-9909</t>
  </si>
  <si>
    <t>Yaqu Pacha; Cetacean Society International; Fundacao O Boticario de Protecao a Natureza; Petrobras; Conselho Nacional para Desenvolvimento Cientifico e Tecnologico/CNPq; CNPq [140638/2012-1, PQ 307843/2014-0]; Yaqu Pacha (Germany); Fundacao O Boticario de Protecao a Natureza (Brazil); Conselho Nacional para Desenvolvimento Cientifico e Tecnologico/CNPq (Brazilian Government), Petrobras (Brazil); Cetacean Society International (USA)</t>
  </si>
  <si>
    <t>Yaqu Pacha; Cetacean Society International; Fundacao O Boticario de Protecao a Natureza; Petrobras(Fundacao de Amparo a Pesquisa do Amapa (FAPEAP)Petrobras); Conselho Nacional para Desenvolvimento Cientifico e Tecnologico/CNPq(Conselho Nacional de Desenvolvimento Cientifico e Tecnologico (CNPQ)Fundacao de Apoio a Pesquisa do Distrito Federal (FAPDF)); CNPq(Conselho Nacional de Desenvolvimento Cientifico e Tecnologico (CNPQ)); Yaqu Pacha (Germany); Fundacao O Boticario de Protecao a Natureza (Brazil); Conselho Nacional para Desenvolvimento Cientifico e Tecnologico/CNPq (Brazilian Government), Petrobras (Brazil); Cetacean Society International (USA)</t>
  </si>
  <si>
    <t>ES received support from Yaqu Pacha (http://www.yaqupacha.org/) and the Cetacean Society International (http://csiwhalesalive.org/). ES and KS received support from Fundacao O Boticario de Protecao a Natureza (http://www.fundacaogrupoboticario.org.br/pt/Pages/default.aspx). KS received support from Petrobras (http://sites.petrobras.com.br/ppa2010/home/). JP and ES received funding from Conselho Nacional para Desenvolvimento Cientifico e Tecnologico/CNPq (http://www.cnpq.br/). JP received a scholarship from CNPq (Process 140638/2012-1). CNPq also provided a Research Fellowship to ES(PQ 307843/2014-0). The funders had role in data collection providing financial support to carried out survey beach.; We are grateful to Dr. Maria Cristina Pinedo and Lic. Hugo P. Castello who initially implemented the Stranding Network in southern Brazil and to all researchers, students and volunteers from Laboratorio de Ecologia e Conservacao da Megafauna Marinha/EcoMega-FURG, Museu Oceanografico Prof. Eliezer C. Rios-FURG and Nucleo de Educacao e Monitoramento Ambiental/NEMA who participated in data collection over these 38 years. Financial support was provided by Yaqu Pacha (Germany), Fundacao O Boticario de Protecao a Natureza (Brazil), Conselho Nacional para Desenvolvimento Cientifico e Tecnologico/CNPq (Brazilian Government), Petrobras (Brazil) and Cetacean Society International (USA). Logistical support was provided by Universidade Federal de Rio Grande (FURG) and NEMA.). We also thank Luciano Dalla Rosa and Randall Reeves for kindly reviewing the manuscript. We are also grateful to Matthieu Authier and three anonymous referees provided useful suggestions to improved the manuscript. This study was part of the Prado's PhD thesis under the supervision of Secchi. Prado received a scholarship from CNPq (Process 140638/2012-1). CNPq also provided a Research Fellowship to E.R.Secchi (PQ 307843/2014-0). This is a contribution of the Research Group 'Ecologia e Conservacao da Megafauna Marinha-EcoMega/CNPq'.</t>
  </si>
  <si>
    <t>e0146339</t>
  </si>
  <si>
    <t>10.1371/journal.pone.0146339</t>
  </si>
  <si>
    <t>WOS:000369528200013</t>
  </si>
  <si>
    <t>Ghosh, B; Nguyen, TD; Crosbie, PBB; Nowak, BF; Bridle, AR</t>
  </si>
  <si>
    <t>Ghosh, Bikramjit; Nguyen, Thu D.; Crosbie, Philip B. B.; Nowak, Barbara F.; Bridle, Andrew R.</t>
  </si>
  <si>
    <t>Oral vaccination of first-feeding Atlantic salmon, Salmo salar L., confers greater protection against yersiniosis than immersion vaccination</t>
  </si>
  <si>
    <t>VACCINE</t>
  </si>
  <si>
    <t>S. solar; Oral vaccination; Y. ruckeri; First feeding; Fry; Mucosal vaccination; Microencapsulation</t>
  </si>
  <si>
    <t>ONCORHYNCHUS-MYKISS WALBAUM; ADAPTIVE IMMUNE-RESPONSES; RAINBOW-TROUT; INTESTINAL EPITHELIUM; INNATE IMMUNITY; NECROSIS VIRUS; BIOTYPE 2; RUCKERI; IMMUNIZATION; FISH</t>
  </si>
  <si>
    <t>Yersinia ruckeri is a ubiquitous pathogen of finfish capable of causing major mortalities in farmed fish stocks. It can be transmitted vertically from parent to progeny as well as horizontally in the water column from both clinically infected fish and asymptomatic carriers, and is consequently capable of infecting fish at early stages of development. Immunisation strategies that can protect small fry are therefore critical for the effective management of fish health, as is the ability to detect covertly infected fish. In this study, first feeding Atlantic salmon fry (&lt;0.5 g) were immunised either by oral administration of a microencapsulated Y. ruckeri vaccine formulation (0.38 g initial weight), or via immersion in bacterin suspension (0.26 g), with and without a booster immersion vaccination at 1 g size. Protection in groups receiving only immersion immunisation did not differ significantly from untreated controls when challenged with Y. ruckeri at approximately 5 g size, while orally immunised fish were significantly better protected than untreated controls (F=4.38, df=4,10, P=0.026), with RPS varying between 29.4% (ORAL) and 51% (ORAL+DIP). A quantitative real-time PCR assay was used to successfully detect covertly infected fish among challenge survivors, indicating more than 50% of surviving fish in each group were infected with no significant differences between immunised fish and untreated controls. (C) 2015 Elsevier Ltd. All rights reserved.</t>
  </si>
  <si>
    <t>[Ghosh, Bikramjit; Nguyen, Thu D.; Crosbie, Philip B. B.; Nowak, Barbara F.; Bridle, Andrew R.] Univ Tasmania, Inst Marine &amp; Antarctic Sci, Locked Bag 1370, Launceston, Tas 7250, Australia</t>
  </si>
  <si>
    <t>Ghosh, B (corresponding author), Univ Tasmania, Inst Marine &amp; Antarctic Sci, Locked Bag 1370, Launceston, Tas 7250, Australia.</t>
  </si>
  <si>
    <t>bikramjit.ghosh@utas.edu.au; Diem.Nguyen@utas.edu.au; philip.crosbie@utas.edu.au; b.nowak@utas.edu.au; andrew.bridle@utas.edu.au</t>
  </si>
  <si>
    <t>Bridle, Andrew R/B-4117-2013; Ghosh, Bikramjit/P-4916-2016; Nowak, Barbara/J-7261-2014</t>
  </si>
  <si>
    <t>Ghosh, Bikramjit/0000-0002-5144-263X; Nowak, Barbara/0000-0002-0347-643X; Crosbie, Philip/0000-0001-8856-1731; Bridle, Andrew/0000-0002-5788-1297</t>
  </si>
  <si>
    <t>0264-410X</t>
  </si>
  <si>
    <t>1873-2518</t>
  </si>
  <si>
    <t>Vaccine</t>
  </si>
  <si>
    <t>10.1016/j.vaccine.2015.12.044</t>
  </si>
  <si>
    <t>Immunology; Medicine, Research &amp; Experimental</t>
  </si>
  <si>
    <t>Immunology; Research &amp; Experimental Medicine</t>
  </si>
  <si>
    <t>DC4PV</t>
  </si>
  <si>
    <t>WOS:000369203700002</t>
  </si>
  <si>
    <t>Legrand, M; Yang, X; Preunkert, S; Theys, N</t>
  </si>
  <si>
    <t>Legrand, Michel; Yang, Xin; Preunkert, Susanne; Theys, Nicolas</t>
  </si>
  <si>
    <t>Year-round records of sea salt, gaseous, and particulate inorganic bromine in the atmospheric boundary layer at coastal (Dumont d'Urville) and central (Concordia) East Antarctic sites</t>
  </si>
  <si>
    <t>Antarctica; sea salt; inorganic bromine; Antarctic sea ice; oxidants</t>
  </si>
  <si>
    <t>DOME C; AEROSOL COMPOSITION; TROPOSPHERIC BRO; FROST FLOWERS; SNOW; CHEMISTRY; OZONE; ICE; SUMMER; CLIMATOLOGY</t>
  </si>
  <si>
    <t>Multiple year-round records of bulk and size-segregated compositions of aerosol were obtained at the coastal Dumont d'Urville (DDU) and inland Concordia sites located in East Antarctica. They document the sea-salt aerosol load and composition including, for the first time in Antarctica, the bromide depletion of sea-salt aerosol relative to sodium with respect to seawater. In parallel, measurements of bromide trapped in mist chambers and denuder tubes were done to investigate the concentrations of gaseous inorganic bromine species. These data are compared to simulations done with an off-line chemistry transport model, coupled with a full tropospheric bromine chemistry scheme and a process-based sea-salt production module that includes both sea-ice-sourced and open-ocean-sourced aerosol emissions. Observed and simulated sea-salt concentrations sometime differ by up to a factor of 2 to 3, particularly at DDU possibly due to local wind pattern. In spite of these discrepancies, both at coastal and inland Antarctica, the dominance of sea-ice-related processes with respect to open ocean emissions for the sea-salt aerosol load in winter is confirmed. For summer, observations and simulations point out sea salt as the main source of gaseous inorganic bromine species. Investigations of bromide in snow pit samples do not support the importance of snowpack bromine emissions over the Antarctic Plateau. To evaluate the overall importance of the bromine chemistry over East Antarctica, BrO simulations were also discussed with respect data derived from GOME-2 satellite observations over Antarctica.</t>
  </si>
  <si>
    <t>[Legrand, Michel; Preunkert, Susanne] Univ Grenoble Alpes, Lab Glaciol &amp; Geophys Environm, Grenoble, France; [Legrand, Michel; Preunkert, Susanne] CNRS, LGGE UMR 5183, Grenoble, France; [Yang, Xin] British Antarctic Survey, Nat Environm Res Council, Cambridge CB3 0ET, England; [Theys, Nicolas] Belgium Inst Space Aeron IASB BIRA, Brussels, Belgium</t>
  </si>
  <si>
    <t>Communaute Universite Grenoble Alpes; Universite Grenoble Alpes (UGA); Centre National de la Recherche Scientifique (CNRS); UK Research &amp; Innovation (UKRI); Natural Environment Research Council (NERC); NERC British Antarctic Survey</t>
  </si>
  <si>
    <t>Legrand, M (corresponding author), Univ Grenoble Alpes, Lab Glaciol &amp; Geophys Environm, Grenoble, France.</t>
  </si>
  <si>
    <t>legrand@lgge.obs.ujf-grenoble.fr</t>
  </si>
  <si>
    <t>Yang, Xin/AGB-3514-2022; Legrand, Michel/AAU-4678-2020</t>
  </si>
  <si>
    <t>Yang, Xin/0000-0002-3838-9758;</t>
  </si>
  <si>
    <t>Institut Polaire Francais-Paul Emile Victor (IPEV) [414, 903]; Agence Nationale de la Recherche [ANR-14-CE01-0001-01]; [NE/J023051/1]; Natural Environment Research Council [bas0100032, NE/J021172/1] Funding Source: researchfish; NERC [NE/J021172/1, bas0100032] Funding Source: UKRI</t>
  </si>
  <si>
    <t>Institut Polaire Francais-Paul Emile Victor (IPEV); Agence Nationale de la Recherche(Agence Nationale de la Recherche (ANR)); ; Natural Environment Research Council(UK Research &amp; Innovation (UKRI)Natural Environment Research Council (NERC)); NERC(UK Research &amp; Innovation (UKRI)Natural Environment Research Council (NERC))</t>
  </si>
  <si>
    <t>National financial support and field logistics supplies were provided by Institut Polaire Francais-Paul Emile Victor (IPEV) within program 414 and 903 and the Agence Nationale de la Recherche through contract ANR-14-CE01-0001-01 (ASUMA). Aerosol data were obtained within the framework of the French environmental observation service CESOA (Etude du cycle atmospherique du Soufre en relation avec le climat aux moyennes et hautes latitudes Sud, http://www-lgge.ujfgrenoble.fr/CESOA/rubri-que.php3?id_rubrique=2) dedicated to the study of the sulfur cycle at middle and high southern latitudes and supported by the CNRS (INSU) and IPEV. We thank Meteo France, who provided global irradiance and other basic meteorological parameters at DDU. Thanks to the Physical Sciences Division of the NOAA/OAR/ESRL PSD, Boulder, Colorado, USA, for NOAA_OI_SST_V2 sea ice data. We thank Bruno Jourdain from LGGE who assisted with preparations for the field campaigns. We thank Markus Frey from BAS who provide us typical values of salinity measured in blowing snow samples collected in the framework of the UK NERC-BLOWSEA project NE/J023051/1. We are also grateful to C. Legrand for good inspirations she gave us to finalize this rather long paper. Finally, we thank the three anonymous reviewers for their comments that improved data discussions. All surface data and corresponding model simulations presented in this paper are available at LGGE upon request (contact: legrand@lgge.obs.ujf-grenoble.fr or ps@lgge.obs.ujf-grenoble.fr). Other issues on model simulations are also available on request (contact: xinyang55@bas.ac.uk). The GOME-2 BrO data generated for this paper are available at BIRA-IASB (http://uv-vis.aeronomie.be) on request (contact: theys@aeronomie.be).</t>
  </si>
  <si>
    <t>10.1002/2015JD024066</t>
  </si>
  <si>
    <t>DE2QM</t>
  </si>
  <si>
    <t>WOS:000370471800026</t>
  </si>
  <si>
    <t>Norazmi-Lokman, NH; Purser, GJ; Patil, JG</t>
  </si>
  <si>
    <t>Norazmi-Lokman, Nor Hakim; Purser, G. J.; Patil, Jawahar G.</t>
  </si>
  <si>
    <t>Gravid Spot Predicts Developmental Progress and Reproductive Output in a Livebearing Fish, Gambusia holbrooki</t>
  </si>
  <si>
    <t>GUPPY POECILIA-RETICULATA; SOUTH-EASTERN AUSTRALIA; MEDAKA ORYZIAS LATIPES; NUPTIAL COLORATION; INTRODUCED MOSQUITOFISH; SEXUAL CHARACTERISTICS; METHYL TESTOSTERONE; PLAGUE MINNOW; AFFINIS; BIOLOGY</t>
  </si>
  <si>
    <t>In most livebearing fish, the gravid spot is an excellent marker to identify brooding females, however its use to predict progress of embryonic development, brood size, timing of parturition and overall reproductive potential of populations remain unexplored. Therefore, to understand these relationships, this study quantified visual attributes (intensity and size) of the gravid spot in relation to key internal development in Gambusia holbrooki. Observations show that the colour of the gravid spot arises from progressive melanisation on the surface of the ovarian sac at its hind margin, rather than melanisation of the developing embryos or the skin of the brooding mother. More importantly, the gravid spot intensity and size were closely linked with both developmental stages and clutch size, suggesting their reliable use as external surrogates of key internal developmental in the species. Using predictive consistency of the gravid spot, we also determined the effect of rearing temperature (23 degrees C and 25 degrees C) on gestation period and parturition behaviour. The results show that gestation period was significantly reduced (F = 364.58; df = 1,48; P&gt;0.05) at 25 degrees C. However there was no significant difference in average number of fry parturated in the two temperature groups (P&lt;0.05), reaffirming that gravid spot intensity is a reliable predictor of reproductive output. The parturition in the species occurred predominantly in the morning and in contrast to earlier reports, tails of the fry emerged first with a few exceptions of head-first, twin and premature births. This study demonstrates utility of the gravid spot for downstream reproductive investigations in a live-bearing fish both in the field and laboratory. The reproducibility of the relationships (intensity with both developmental stage and clutch size), imply that they are also relevant to wild populations that experience varying temperature climes and stressors, significant deviations of which may serve as indicators of environmental health and climate variability.</t>
  </si>
  <si>
    <t>[Norazmi-Lokman, Nor Hakim; Purser, G. J.] Univ Tasmania, Inst Marine &amp; Antarctic Studies, Fisheries &amp; Aquaculture Ctr, Launceston, Tas, Australia; [Patil, Jawahar G.] Univ Tasmania, Inst Marine &amp; Antarctic Studies, Fisheries &amp; Aquaculture Ctr, Hobart, Tas, Australia; [Patil, Jawahar G.] Inland Fisheries Serv, New Norfolk, Tas, Australia; [Norazmi-Lokman, Nor Hakim] Univ Malaysia Terengganu, Sch Fisheries &amp; Aquaculture Sci, Kuala Terengganu, Terengganu, Malaysia</t>
  </si>
  <si>
    <t>University of Tasmania; University of Tasmania; Universiti Malaysia Terengganu</t>
  </si>
  <si>
    <t>Patil, JG (corresponding author), Univ Tasmania, Inst Marine &amp; Antarctic Studies, Fisheries &amp; Aquaculture Ctr, Hobart, Tas, Australia.;Patil, JG (corresponding author), Inland Fisheries Serv, New Norfolk, Tas, Australia.</t>
  </si>
  <si>
    <t>Jawahar.Patil@utas.edu.au</t>
  </si>
  <si>
    <t>Norazmi, Lokman Nor Hakim/AAD-2229-2020; Patil, Jawahar G/B-9527-2012</t>
  </si>
  <si>
    <t>Norazmi, Lokman Nor Hakim/0000-0002-1927-6846; Patil, Jawahar G/0000-0002-2154-4627</t>
  </si>
  <si>
    <t>Australian Research Council; Inland Fisheries Service; Ministry of Higher Education, Malaysia</t>
  </si>
  <si>
    <t>Australian Research Council(Australian Research Council); Inland Fisheries Service; Ministry of Higher Education, Malaysia(Ministry of Education, Malaysia)</t>
  </si>
  <si>
    <t>The project was funded by the Australian Research Council and Inland Fisheries Service. NHNL received an academic staff training scholarship Ministry of Higher Education, Malaysia.</t>
  </si>
  <si>
    <t>JAN 25</t>
  </si>
  <si>
    <t>e0147711</t>
  </si>
  <si>
    <t>10.1371/journal.pone.0147711</t>
  </si>
  <si>
    <t>DC9FZ</t>
  </si>
  <si>
    <t>WOS:000369527800190</t>
  </si>
  <si>
    <t>Drago, M; Franco-Trecu, V; Cardona, L; Inchausti, P; Tapia, W; Páez-Rosas, D</t>
  </si>
  <si>
    <t>Drago, Massimiliano; Franco-Trecu, Valentina; Cardona, Luis; Inchausti, Pablo; Tapia, Washington; Paez-Rosas, Diego</t>
  </si>
  <si>
    <t>Stable Isotopes Reveal Long-Term Fidelity to Foraging Grounds in the Galapagos Sea Lion (Zalophus wollebaeki)</t>
  </si>
  <si>
    <t>ANTARCTIC FUR-SEAL; OTARIA-FLAVESCENS; LIPID EXTRACTION; MARINE PREDATOR; LIFE-HISTORY; STRATEGIES; BEHAVIOR; CARBON; PREY; EVOLUTION</t>
  </si>
  <si>
    <t>Most otariids have colony-specific foraging areas during the breeding season, when they behave as central place foragers. However, they may disperse over broad areas after the breeding season and individuals from different colonies may share foraging grounds at that time. Here, stable isotope ratios in the skull bone of adult Galapagos sea lions (Zalophus wollebaeki) were used to assess the long-term fidelity of both sexes to foraging grounds across the different regions of the Galapagos archipelago. Results indicated that the stable isotope ratios (delta C-13 and delta N-15) of sea lion bone significantly differed among regions of the archipelago, without any significant difference between sexes and with a non significant interaction between sex and region. Moreover, standard ellipses, estimated by Bayesian inference and used as a measure of the isotopic resource use area at the population level, overlapped widely for the sea lions from the southern and central regions, whereas the overlap of the ellipses for sea lions from the central and western regions was small and non-existing for those from the western and southern regions. These results suggest that males and females from the same region within the archipelago use similar foraging grounds and have similar diets. Furthermore, they indicate that the exchange of adults between regions is limited, thus revealing a certain degree of foraging philopatry at a regional scale within the archipelago. The constraints imposed on males by an expanded reproductive season (similar to 6 months), resulting from the weak reproductive synchrony among females, and those imposed on females by a very long lactation period (at least one year but up to three years), may explain the limited mobility of adult Galapagos sea lions of both sexes across the archipelago.</t>
  </si>
  <si>
    <t>[Drago, Massimiliano] Secretaria Educ Super Ciencia Tecnol &amp; Innovac, Programa PROMETEO SENESCYT, Quito, Ecuador; [Drago, Massimiliano; Inchausti, Pablo] Univ Republ UdeLaR, Ctr Univ Reg Este CURE, Dept Ecol &amp; Evolut, Maldonado, Uruguay; [Franco-Trecu, Valentina] Univ Republ UdeLaR, Fac Sci, Dept Ecol &amp; Evolut, Montevideo, Uruguay; [Cardona, Luis] Univ Barcelona, Fac Biol, Dept Anim Biol, Barcelona, Spain; [Tapia, Washington] Galapagos Natl Pk Serv, Dept Appl Res, Puerto Ayora, Galapagos, Ecuador; [Tapia, Washington] Galapagos Conservancy, Santa Cruz, Galapagos, Ecuador; [Paez-Rosas, Diego] Univ San Francisco Quito, San Cristobal, Galapagos, Ecuador; [Paez-Rosas, Diego] Galapagos Sci Ctr, San Cristobal, Galapagos, Ecuador; [Paez-Rosas, Diego] Unidad Tecn Operat San Cristobal, Direcc Parque Nacl Galapagos, Galapagos, Ecuador</t>
  </si>
  <si>
    <t>Universidad de la Republica, Uruguay; Universidad de la Republica, Uruguay; University of Barcelona; Universidad San Francisco de Quito; Universidad San Francisco de Quito</t>
  </si>
  <si>
    <t>Drago, M (corresponding author), Secretaria Educ Super Ciencia Tecnol &amp; Innovac, Programa PROMETEO SENESCYT, Quito, Ecuador.;Drago, M (corresponding author), Univ Republ UdeLaR, Ctr Univ Reg Este CURE, Dept Ecol &amp; Evolut, Maldonado, Uruguay.</t>
  </si>
  <si>
    <t>m.drago@ub.edu</t>
  </si>
  <si>
    <t>Drago, Massimiliano/K-1863-2017; Franco-Trecu, Valentina/N-5266-2019; Cardona, Luis/AAL-1354-2021; Franco-Trecu, Valentina/L-4649-2019; Drago, Massimiliano/JAN-9491-2023; Páez-Rosas, Diego/X-3047-2019</t>
  </si>
  <si>
    <t>Drago, Massimiliano/0000-0003-2764-9849; Cardona, Luis/0000-0002-7892-1323; Franco-Trecu, Valentina/0000-0003-1791-010X; Drago, Massimiliano/0000-0003-2764-9849; Páez-Rosas, Diego/0000-0002-2446-9888; Tapia, Washington/0000-0002-5222-1804</t>
  </si>
  <si>
    <t>Project Becas PROMETEO of the Secretaria de Educacion Superior, Ciencia, Tecnologia e Innovacion (SENESCYT), Ecuador</t>
  </si>
  <si>
    <t>The research was totally funded by the Project Becas PROMETEO of the Secretaria de Educacion Superior, Ciencia, Tecnologia e Innovacion (SENESCYT), Ecuador (http://prometeo.educacionsuperior.gob.ec/). The funders had no role in study design, data collection and analysis, decision to publish, or preparation of the manuscript.</t>
  </si>
  <si>
    <t>e0147857</t>
  </si>
  <si>
    <t>10.1371/journal.pone.0147857</t>
  </si>
  <si>
    <t>WOS:000369527800231</t>
  </si>
  <si>
    <t>Ratnarajah, L; Melbourne-Thomas, J; Marzloff, MP; Lannuzel, D; Meiners, KM; Chever, F; Nicol, S; Bowie, AR</t>
  </si>
  <si>
    <t>Ratnarajah, Lavenia; Melbourne-Thomas, Jessica; Marzloff, Martin P.; Lannuzel, Delphine; Meiners, Klaus M.; Chever, Fanny; Nicol, Stephen; Bowie, Andrew R.</t>
  </si>
  <si>
    <t>A preliminary model of iron fertilisation by baleen whales and Antarctic krill in the Southern Ocean: Sensitivity of primary productivity estimates to parameter uncertainty</t>
  </si>
  <si>
    <t>Iron; Antarctic krill; Whales; Primary productivity; Southern Ocean; Preliminary model</t>
  </si>
  <si>
    <t>PHYTOPLANKTON BLOOM; EUPHAUSIA-SUPERBA; MARINE-PHYTOPLANKTON; METAL CONCENTRATIONS; GROWTH-RATES; BEHAVIOR; BLUE; AVAILABILITY; LIMITATION; ENRICHMENT</t>
  </si>
  <si>
    <t>Large marine animals may play a crucial role in storing and recycling bioavailable iron in surface waters by consuming iron-rich prey and subsequent defecation of iron that is excess to their requirements. This biological recycling of iron could enhance primary productivity in iron-limited waters. However, quantifying the effects of marine animals on ocean primary productivity remains challenging because of a limited understanding of the key biogeochemical processes involved. In this paper, we develop a preliminary model that explores these uncertainties and examines the potential effects of historical populations of blue, fin and humpback whales, and the biomass of Antarctic krill required to support the whale populations, on primary productivity in the Southern Ocean. Our results suggest that, despite conservative estimates for key processes in our model, pre-exploitation populations of blue whales and, to a lesser extent fin and humpback whales, could have contributed to iron recycling, resulting in enhanced phytoplankton production in iron-limited Southern Ocean waters. Iron-rich defecation by un-exploited whale populations in the Southern Ocean, and the biomass Antarctic krill required to support them, could have resulted in a contribution to primary productivity of between 1.5 x 10(-4) to 23.4g Cm-2 yr(-1) (blue whales), 1.4x 10(-4) to 13.9 gC m(-2) yr(-1) (fin whales), and 2.4x 10(-5) to 1.7 g Cm-2 yr(-1) (humpback whales). However, only when all parameter estimates are at their upper limits does there appear to be this significant role for whales in enhancing primary productivity, and thus we need to assess the likelihood of these values arising. The high degree of uncertainty around the magnitude of these increases in primary productivity is mainly due to our limited quantitative understanding of key biogeochemical processes. To reduce uncertainty regarding the effect of whales on Southern Ocean primary productivity, future research will need to refine our understanding of five influential model parameters: iron content in krill; krill consumption rates by whales; persistence of whale faecal iron in the photic zone; bioavailability of this retained iron; and the carbon-to-iron ratio of phytoplankton. (C) 2015 Elsevier B.V. All rights reserved.</t>
  </si>
  <si>
    <t>[Ratnarajah, Lavenia; Marzloff, Martin P.; Lannuzel, Delphine; Nicol, Stephen; Bowie, Andrew R.] Univ Tasmania, Inst Marine &amp; Antarctic Studies, Hobart, Tas 7001, Australia; [Ratnarajah, Lavenia; Melbourne-Thomas, Jessica; Lannuzel, Delphine; Meiners, Klaus M.; Chever, Fanny; Nicol, Stephen; Bowie, Andrew R.] Univ Tasmania, Antarctic Climate &amp; Ecosyst Cooperat Res Ctr, Hobart, Tas 7001, Australia; [Melbourne-Thomas, Jessica; Meiners, Klaus M.] Australian Antarctic Div, Kingston, Tas 7050, Australia; [Chever, Fanny] Univ Brest, LEMAR, IUEM, F-29280 Plouzane, France; [Chever, Fanny] IFREMER, Ctr Brest, Dept REM, EEP,Lab Environm Profond, F-29280 Plouzane, France</t>
  </si>
  <si>
    <t>University of Tasmania; Antarctic Climate &amp; Ecosystems Cooperative Research Centre (ACE CRC); University of Tasmania; Australian Antarctic Division; Centre National de la Recherche Scientifique (CNRS); Ifremer; Institut de Recherche pour le Developpement (IRD); Universite de Bretagne Occidentale; Institut Universitaire Europeen de la Mer (IUEM); Ifremer</t>
  </si>
  <si>
    <t>Ratnarajah, L (corresponding author), Univ Tasmania, Inst Marine &amp; Antarctic Studies, Private Bag 129, Hobart, Tas 7001, Australia.</t>
  </si>
  <si>
    <t>Lavenia.Ratnarajah@utas.edu.au</t>
  </si>
  <si>
    <t>Marzloff, Martin/AAY-3833-2020; Melbourne-Thomas, Jess/N-2437-2019; lannuzel, delphine/J-7937-2014; Bowie, Andrew/C-8677-2013</t>
  </si>
  <si>
    <t>Marzloff, Martin/0000-0002-8152-4273; Melbourne-Thomas, Jess/0000-0001-6585-876X; lannuzel, delphine/0000-0001-6154-1837; Bowie, Andrew/0000-0002-5144-7799; Ratnarajah, Lavenia/0000-0002-1021-1923</t>
  </si>
  <si>
    <t>Australian Government's Cooperative Research Centres Programme through the Antarctic Climate and Ecosystem Cooperative Research Centre; Institute for Marine and Antarctic Studies; Holsworth Wildlife Research Endowment; European Union COST Action [ES0801]; Australian Antarctic Science Grants [4343, 4347]</t>
  </si>
  <si>
    <t>Australian Government's Cooperative Research Centres Programme through the Antarctic Climate and Ecosystem Cooperative Research Centre(Australian GovernmentDepartment of Industry, Innovation and ScienceCooperative Research Centres (CRC) Programme); Institute for Marine and Antarctic Studies; Holsworth Wildlife Research Endowment; European Union COST Action; Australian Antarctic Science Grants</t>
  </si>
  <si>
    <t>We would like to thank Tino Bowie-Proemse for insightful discussions, Prof. Tom Trull, Dr. So Kawaguchi, Prof. Philip Boyd, Dr Mike Double, Dr Bill de la Mare, and the two anonymous reviewers for their comments and suggestions during the development of this project and manuscript. This study was supported by the Australian Government's Cooperative Research Centres Programme through the Antarctic Climate and Ecosystem Cooperative Research Centre, the Institute for Marine and Antarctic Studies, the Holsworth Wildlife Research Endowment, the European Union COST Action ES0801 and through Australian Antarctic Science Grants 4343 and 4347.</t>
  </si>
  <si>
    <t>JAN 24</t>
  </si>
  <si>
    <t>10.1016/j.ecolmodel.2015.10.007</t>
  </si>
  <si>
    <t>DB2BM</t>
  </si>
  <si>
    <t>WOS:000368313300019</t>
  </si>
  <si>
    <t>Chan, QHS; Chikaraishi, Y; Takano, Y; Ogawa, NO; Ohkouchi, N</t>
  </si>
  <si>
    <t>Chan, Queenie Hoi Shan; Chikaraishi, Yoshito; Takano, Yoshinori; Ogawa, Nanako O.; Ohkouchi, Naohiko</t>
  </si>
  <si>
    <t>Amino acid compositions in heated carbonaceous chondrites and their compound-specific nitrogen isotopic ratios</t>
  </si>
  <si>
    <t>EARTH PLANETS AND SPACE</t>
  </si>
  <si>
    <t>Carbonaceous chondrites; Meteorites; Astrochemistry; Compound-specific isotopic analysis; Nitrogen isotopes; Amino acids; Organic materials; Meteoritic composition; Gas chromatography/combustion/isotope ratio mass spectrometry</t>
  </si>
  <si>
    <t>INSOLUBLE ORGANIC-MATTER; SOLAR-SYSTEM; PARENT-BODY; THERMAL METAMORPHISM; CO3 CHONDRITES; MURCHISON; CI; METEORITES; ABUNDANCES; MINERALOGY</t>
  </si>
  <si>
    <t>A novel method has been developed for compound-specific nitrogen isotope compositions with an achiral column which was previously shown to offer high precision for nitrogen isotopic analysis. We applied the method to determine the amino acid contents and stable nitrogen isotopic compositions of individual amino acids from the thermally metamorphosed (above 500 degrees C) Antarctic carbonaceous chondrites Ivuna-like (CI) 1 (or CI-like) Yamato (Y) 980115 and Ornans-like (CO) 3.5 Allan Hills (ALH) A77003 with the use of gas chromatography/combustion/isotope ratio mass spectrometry. ALHA77003 was deprived of amino acids due to its extended thermal alteration history. Amino acids were unambiguously identified in Y-980115, and the delta N-15 values of selected amino acids (glycine +144.8 %; alpha-alanine + 121.2%) are clearly extraterrestrial. Y-980115 has experienced an extended period of aqueous alteration as indicated by the presence of hydrous mineral phases. It has also been exposed to at least one post-hydration short-lived thermal metamorphism. Glycine and alanine were possibly produced shortly after the accretion event of the asteroid parent body during the course of an extensive aqueous alteration event and have abstained from the short-term post-aqueous alteration heating due to the heterogeneity of the parent body composition and porosity. These carbonaceous chondrite samples are good analogs that offer important insights into the target asteroid Ryugu of the Hayabusa-2 mission, which is a C-type asteroid likely composed of heterogeneous materials including hydrated and dehydrated minerals.</t>
  </si>
  <si>
    <t>[Chan, Queenie Hoi Shan; Chikaraishi, Yoshito; Takano, Yoshinori; Ogawa, Nanako O.; Ohkouchi, Naohiko] Japan Agcy Marine Earth Sci &amp; Technol, Dept Biogeochem, Yokosuka, Kanagawa 2370061, Japan</t>
  </si>
  <si>
    <t>Japan Agency for Marine-Earth Science &amp; Technology (JAMSTEC)</t>
  </si>
  <si>
    <t>Chan, QHS (corresponding author), NASA, Johnson Space Ctr, 2101 NASA Pkwy, Houston, TX 77058 USA.</t>
  </si>
  <si>
    <t>hschan@nasa.gov</t>
  </si>
  <si>
    <t>Chikaraishi, Yoshito/O-5250-2019; Ogawa, Nanako O./AAJ-6456-2020; Ohkouchi, Naohiko/B-2071-2008</t>
  </si>
  <si>
    <t>Chikaraishi, Yoshito/0000-0002-7506-1524; Ohkouchi, Naohiko/0000-0002-6355-7469; OGAWA, Nanako O/0000-0002-3823-6444; Chan, Queenie Hoi Shan/0000-0001-7205-8699</t>
  </si>
  <si>
    <t>Japan Society for the Promotion of Science (JSPS); JSPS; Grants-in-Aid for Scientific Research [25108006, 24684041] Funding Source: KAKEN</t>
  </si>
  <si>
    <t>Japan Society for the Promotion of Science (JSPS)(Ministry of Education, Culture, Sports, Science and Technology, Japan (MEXT)Japan Society for the Promotion of Science); JSPS(Ministry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</si>
  <si>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We thank NIPR for providing the meteorite samples. This study was funded by the Japan Society for the Promotion of Science (JSPS). QHSC acknowledges support from the postdoctoral fellowship offered by JSPS and is currently supported by an appointment to the NASA Postdoctoral Program at the Johnson Space Center, administered by Oak Ridge Associated Universities through a contract with NASA. We are grateful for A. Burton and the reviewers for their helpful comments and inspiring discussions. We would also like to thank J. Cheung, J. Law, and M. Shah for proofreading the entire manuscript.</t>
  </si>
  <si>
    <t>SPRINGEROPEN</t>
  </si>
  <si>
    <t>CAMPUS, 4 CRINAN ST, LONDON, N1 9XW, ENGLAND</t>
  </si>
  <si>
    <t>1880-5981</t>
  </si>
  <si>
    <t>EARTH PLANETS SPACE</t>
  </si>
  <si>
    <t>Earth Planets Space</t>
  </si>
  <si>
    <t>JAN 21</t>
  </si>
  <si>
    <t>10.1186/s40623-016-0382-8</t>
  </si>
  <si>
    <t>DB3CM</t>
  </si>
  <si>
    <t>WOS:000368387600001</t>
  </si>
  <si>
    <t>Ade, PAR; Ahmed, Z; Aikin, RW; Alexander, KD; Barkats, D; Benton, SJ; Bischoff, CA; Bock, JJ; Bowens-Rubin, R; Brevik, JA; Buder, I; Bullock, E; Buza, V; Connors, J; Crill, BP; Duband, L; Dvorkin, C; Filippini, JP; Fliescher, S; Grayson, J; Halpern, M; Harrison, S; Hilton, GC; Hui, H; Irwin, KD; Karkare, KS; Karpel, E; Kaufman, JP; Keating, BG; Kefeli, S; Kernasovskiy, SA; Kovac, JM; Kuo, CL; Leitch, EM; Lueker, M; Megerian, KG; Netterfield, CB; Nguyen, HT; O'Brient, R; Ogburn, RW; Orlando, A; Pryke, C; Richter, S; Schwarz, R; Sheehy, CD; Staniszewski, ZK; Steinbach, B; Sudiwala, RV; Teply, GP; Thompson, KL; Tolan, JE; Tucker, C; Turner, AD; Vieregg, AG; Weber, AC; Wiebe, DV; Willmert, J; Wong, CL; Wu, WLK; Yoon, KW</t>
  </si>
  <si>
    <t>Ade, P. A. R.; Ahmed, Z.; Aikin, R. W.; Alexander, K. D.; Barkats, D.; Benton, S. J.; Bischoff, C. A.; Bock, J. J.; Bowens-Rubin, R.; Brevik, J. A.; Buder, I.; Bullock, E.; Buza, V.; Connors, J.; Crill, B. P.; Duband, L.; Dvorkin, C.; Filippini, J. P.; Fliescher, S.; Grayson, J.; Halpern, M.; Harrison, S.; Hilton, G. C.; Hui, H.; Irwin, K. D.; Karkare, K. S.; Karpel, E.; Kaufman, J. P.; Keating, B. G.; Kefeli, S.; Kernasovskiy, S. A.; Kovac, J. M.; Kuo, C. L.; Leitch, E. M.; Lueker, M.; Megerian, K. G.; Netterfield, C. B.; Nguyen, H. T.; O'Brient, R.; Ogburn, R. W.; Orlando, A.; Pryke, C.; Richter, S.; Schwarz, R.; Sheehy, C. D.; Staniszewski, Z. K.; Steinbach, B.; Sudiwala, R. V.; Teply, G. P.; Thompson, K. L.; Tolan, J. E.; Tucker, C.; Turner, A. D.; Vieregg, A. G.; Weber, A. C.; Wiebe, D. V.; Willmert, J.; Wong, C. L.; Wu, W. L. K.; Yoon, K. W.</t>
  </si>
  <si>
    <t>Keck Array Collaboration; BICEP2 Collaboration</t>
  </si>
  <si>
    <t>Improved Constraints on Cosmology and Foregrounds from BICEP2 and Keck Array Cosmic Microwave Background Data with Inclusion of 95 GHz Band</t>
  </si>
  <si>
    <t>PHYSICAL REVIEW LETTERS</t>
  </si>
  <si>
    <t>B-MODE POLARIZATION; THERMAL EMISSION; SCALES</t>
  </si>
  <si>
    <t>We present results from an analysis of all data taken by the BICEP2 and Keck Array cosmic microwave background (CMB) polarization experiments up to and including the 2014 observing season. This includes the first Keck Array observations at 95 GHz. The maps reach a depth of 50 nK deg in Stokes Q and U in the 150 GHz band and 127 nK deg in the 95 GHz band. We take auto-and cross-spectra between these maps and publicly available maps from WMAP and Planck at frequencies from 23 to 353 GHz. An excess over lensed Lambda CDM is detected at modest significance in the 95 x 150 BB spectrum, and is consistent with the dust contribution expected from our previous work. No significant evidence for synchrotron emission is found in spectra such as 23 x 95, or for correlation between the dust and synchrotron sky patterns in spectra such as 23 x 353. We take the likelihood of all the spectra for a multicomponent model including lensed Lambda CDM, dust, synchrotron, and a possible contribution from inflationary gravitational waves (as parametrized by the tensor-to-scalar ratio r) using priors on the frequency spectral behaviors of dust and synchrotron emission from previous analyses of WMAP and Planck data in other regions of the sky. This analysis yields an upper limit r(0.05) &lt; 0.09 at 95% confidence, which is robust to variations explored in analysis and priors. Combining these B-mode results with the (more model-dependent) constraints from Planck analysis of CMB temperature plus baryon acoustic oscillations and other data yields a combined limit r(0.05) &lt; 0.07 at 95% confidence. These are the strongest constraints to date on inflationary gravitational waves.</t>
  </si>
  <si>
    <t>[Ade, P. A. R.; Sudiwala, R. V.; Tucker, C.] Cardiff Univ, Sch Phys &amp; Astron, Cardiff CF24 3AA, S Glam, Wales; [Ahmed, Z.; Irwin, K. D.; Kuo, C. L.; Ogburn, R. W.; Thompson, K. L.; Yoon, K. W.] SLAC Natl Accelerator Lab, Kavli Inst Particle Astrophys &amp; Cosmol, 2575 Sand Hill Rd, Menlo Pk, CA 94025 USA; [Ahmed, Z.; Grayson, J.; Irwin, K. D.; Karpel, E.; Kernasovskiy, S. A.; Kuo, C. L.; Ogburn, R. W.; Thompson, K. L.; Tolan, J. E.; Wu, W. L. K.; Yoon, K. W.] Stanford Univ, Dept Phys, Stanford, CA 94305 USA; [Aikin, R. W.; Bock, J. J.; Brevik, J. A.; Filippini, J. P.; Hui, H.; Kefeli, S.; Lueker, M.; O'Brient, R.; Orlando, A.; Staniszewski, Z. K.; Steinbach, B.; Teply, G. P.] CALTECH, Dept Phys, Pasadena, CA 91125 USA; [Alexander, K. D.; Barkats, D.; Bischoff, C. A.; Bowens-Rubin, R.; Buder, I.; Buza, V.; Connors, J.; Harrison, S.; Karkare, K. S.; Kovac, J. M.; Richter, S.; Vieregg, A. G.; Wong, C. L.] Harvard Smithsonian Ctr Astrophys, 60 Garden St MS 42, Cambridge, MA 02138 USA; [Benton, S. J.; Netterfield, C. B.] Univ Toronto, Dept Phys, Toronto, ON M5S 1A7, Canada; [Bock, J. J.; Crill, B. P.; Megerian, K. G.; Nguyen, H. T.; O'Brient, R.; Staniszewski, Z. K.; Turner, A. D.; Weber, A. C.] CALTECH, Jet Prop Lab, 4800 Oak Grove Dr, Pasadena, CA 91109 USA; [Bullock, E.; Pryke, C.] Univ Minnesota, Minnesota Inst Astrophys, Minneapolis, MN 55455 USA; [Buza, V.; Dvorkin, C.; Kovac, J. M.; Wong, C. L.] Harvard Univ, Dept Phys, Cambridge, MA 02138 USA; [Duband, L.] CEA Grenoble, Serv Basses Temp, F-38054 Grenoble, France; [Filippini, J. P.] Univ Illinois, Dept Phys, 1110 W Green St, Urbana, IL 61801 USA; [Fliescher, S.; Pryke, C.; Schwarz, R.; Sheehy, C. D.; Willmert, J.] Univ Minnesota, Sch Phys &amp; Astron, Minneapolis, MN 55455 USA; [Halpern, M.; Wiebe, D. V.] Univ British Columbia, Dept Phys &amp; Astron, Vancouver, BC V6T 1Z1, Canada; [Hilton, G. C.; Irwin, K. D.] NIST, Boulder, CO 80305 USA; [Kaufman, J. P.; Keating, B. G.; Orlando, A.; Teply, G. P.] Univ Calif San Diego, Dept Phys, La Jolla, CA 92093 USA; [Leitch, E. M.; Sheehy, C. D.; Vieregg, A. G.] Univ Chicago, Kavli Inst Cosmol Phys, Chicago, IL 60637 USA; [Netterfield, C. B.] Canadian Inst Adv Res, Toronto, ON M5G 1Z8, Canada; [Vieregg, A. G.] Univ Chicago, Enrico Fermi Inst, Dept Phys, Chicago, IL 60637 USA</t>
  </si>
  <si>
    <t>Cardiff University; Stanford University; United States Department of Energy (DOE); SLAC National Accelerator Laboratory; Stanford University; California Institute of Technology; Harvard University; Smithsonian Institution; Smithsonian Astrophysical Observatory; University of Toronto; National Aeronautics &amp; Space Administration (NASA); NASA Jet Propulsion Laboratory (JPL); California Institute of Technology; University of Minnesota System; University of Minnesota Twin Cities; Harvard University; CEA; University of Illinois System; University of Illinois Urbana-Champaign; University of Minnesota System; University of Minnesota Twin Cities; University of British Columbia; National Institute of Standards &amp; Technology (NIST) - USA; University of California System; University of California San Diego; University of Chicago; Canadian Institute for Advanced Research (CIFAR); University of Chicago</t>
  </si>
  <si>
    <t>Kovac, JM (corresponding author), Harvard Smithsonian Ctr Astrophys, 60 Garden St MS 42, Cambridge, MA 02138 USA.;Pryke, C (corresponding author), Univ Minnesota, Minnesota Inst Astrophys, Minneapolis, MN 55455 USA.;Kovac, JM (corresponding author), Harvard Univ, Dept Phys, Cambridge, MA 02138 USA.;Pryke, C (corresponding author), Univ Minnesota, Sch Phys &amp; Astron, Minneapolis, MN 55455 USA.</t>
  </si>
  <si>
    <t>jmkovac@cfa.harvard.edu; pryke@physics.umn.edu</t>
  </si>
  <si>
    <t>kaufman, jarrod/GXV-3683-2022; sun, huan/JEO-7152-2023; Orlando, Angiola/AAI-3379-2021; Nguyen, H.T/AAG-1974-2021; Nguyễn, Hương/JUV-6128-2023; Orlando, Angiola/AAH-6918-2020; Orlando, Angiola/T-3869-2017; Keating, Brian/J-6063-2017</t>
  </si>
  <si>
    <t>Nguyen, H.T/0000-0001-5580-2877; Orlando, Angiola/0000-0001-9464-3100; Pryke, Clement/0000-0003-3983-6668; Alexander, Kate/0000-0002-8297-2473; Kovac, John/0009-0003-5432-7180; Keating, Brian/0000-0003-3118-5514; Bowens-Rubin, Rachel/0000-0001-5831-9530; Ahmed, Zeeshan/0000-0002-9957-448X; Willmert, Justin/0000-0002-6452-4693; Wu, Kimmy/0000-0001-5411-6920; Crill, Brendan/0000-0002-4650-8518; Irwin, Kent/0000-0002-2998-9743; Tucker, Carole/0000-0002-1851-3918; Bischoff, Colin/0000-0001-9185-6514; Barkats, Denis/0000-0002-8971-1954; Hui, Howard/0000-0001-5812-1903; /0000-0002-5215-6993</t>
  </si>
  <si>
    <t>National Science Foundation [ANT-1145172, ANT-1145143, ANT-1145248]; Keck Foundation; JPL Research and Technology Development Fund; NASA [06-ARPA206-0040, 10-SAT10-0017]; Gordon and Betty Moore Foundation at Caltech; Canada Foundation for Innovation grant; U.S. DOE Office of Science; Science and Technology Facilities Council [ST/N000706/1] Funding Source: researchfish; Direct For Mathematical &amp; Physical Scien; Division Of Astronomical Sciences [1255358] Funding Source: National Science Foundation; Directorate For Geosciences; Office of Polar Programs (OPP) [1145143] Funding Source: National Science Foundation; Directorate For Geosciences; Office of Polar Programs (OPP) [1145172] Funding Source: National Science Foundation; Division Of Physics; Direct For Mathematical &amp; Physical Scien [1125897] Funding Source: National Science Foundation; STFC [ST/N000706/1, ST/K000926/1] Funding Source: UKRI</t>
  </si>
  <si>
    <t>National Science Foundation(National Science Foundation (NSF)); Keck Foundation(W.M. Keck Foundation); JPL Research and Technology Development Fund; NASA(National Aeronautics &amp; Space Administration (NASA)); Gordon and Betty Moore Foundation at Caltech(Gordon and Betty Moore Foundation); Canada Foundation for Innovation grant(Canada Foundation for Innovation); U.S. DOE Office of Science(United States Department of Energy (DOE)); Science and Technology Facilities Council(UK Research &amp; Innovation (UKRI)Science &amp; Technology Facilities Council (STFC)); Direct For Mathematical &amp; Physical Scien; Division Of Astronomical Sciences(National Science Foundation (NSF)NSF - Directorate for Mathematical &amp; Physical Sciences (MPS)); Directorate For Geosciences; Office of Polar Programs (OPP)(National Science Foundation (NSF)NSF - Directorate for Geosciences (GEO)); Directorate For Geosciences; Office of Polar Programs (OPP)(National Science Foundation (NSF)NSF - Directorate for Geosciences (GEO)); Division Of Physics; Direct For Mathematical &amp; Physical Scien(National Science Foundation (NSF)NSF - Directorate for Mathematical &amp; Physical Sciences (MPS)); STFC(UK Research &amp; Innovation (UKRI)Science &amp; Technology Facilities Council (STFC))</t>
  </si>
  <si>
    <t>The Keck Array project has been made possible through support from the National Science Foundation under Grants No. ANT-1145172 (Harvard), No. ANT-1145143 (Minnesota), and No. ANT-1145248 (Stanford), and from the Keck Foundation (Caltech). The development of antenna-coupled detector technology was supported by the JPL Research and Technology Development Fund and Grants No. 06-ARPA206-0040 and No. 10-SAT10-0017 from the NASA APRA and SAT programs. The development and testing of focal planes were supported by the Gordon and Betty Moore Foundation at Caltech. Readout electronics were supported by a Canada Foundation for Innovation grant to UBC. The computations in this Letter were run on the Odyssey cluster supported by the FAS Science Division Research Computing Group at Harvard University. The analysis effort at Stanford and SLAC is partially supported by the U.S. DOE Office of Science. We thank the staff of the U.S. Antarctic Program and, in particular, the South Pole Station without whose help this research would not have been possible. Most special thanks go to Robert Schwarz and Steffen Richter. We thank all those who have contributed past efforts to the BICEP-Keck Array series of experiments, including the BICEP1 team. We also thank the Planck and WMAP teams for the use of their data.</t>
  </si>
  <si>
    <t>0031-9007</t>
  </si>
  <si>
    <t>1079-7114</t>
  </si>
  <si>
    <t>PHYS REV LETT</t>
  </si>
  <si>
    <t>Phys. Rev. Lett.</t>
  </si>
  <si>
    <t>JAN 20</t>
  </si>
  <si>
    <t>10.1103/PhysRevLett.116.031302</t>
  </si>
  <si>
    <t>DB4ZX</t>
  </si>
  <si>
    <t>WOS:000368523400001</t>
  </si>
  <si>
    <t>Smiley, KM; Emmerson, LM</t>
  </si>
  <si>
    <t>Smiley, Kathleen M.; Emmerson, Louise M.</t>
  </si>
  <si>
    <t>A matter of timing: Adelie penguin reproductive success in a seasonally varying environment</t>
  </si>
  <si>
    <t>Seabird ecology; Breeding phenology; Breeding success; Windchill; Chick rearing; Snow days</t>
  </si>
  <si>
    <t>PYGOSCELIS-ADELIAE; SEA-ICE; BREEDING SUCCESS; HATCHING DATE; PARENTAL QUALITY; CHICK GROWTH; ROSS SEA; AGE; SEABIRD; PERFORMANCE</t>
  </si>
  <si>
    <t>Earlier breeding has been shown to be advantageous for the reproductive outcomes of a variety of avian species inhabiting a diverse range of environments. However, it is generally unclear how this advantage translates for polar seabirds that breed in a highly seasonal and restricted breeding season. The present study determined whether there was an overall advantage or disadvantage of early or late breeding on the reproductive outcomes of Adelie penguins Pygoscelis adeliae breeding at Bechervaise Island, East Antarctica. We examined this for individual nests within each year as well as for the overall population over a 13 yr period, using between 69 and 166 monitored nests each year. We investigated whether any advantage was related to bird age, and quantified the different environmental conditions (windchill and snow days) that early and late breeders and their eggs and chicks experienced. In just under half of the years, laying eggs late in the breeding season resulted in a reduced chance of chicks creching, and early egg laying was advantageous in only 2 years. We found no evidence that the advantage of early breeding or the disadvantage of late laying was due to the age and associated experience of the birds. We are unable to generate a consistent explanation for why the timing of clutch initiation in some years was important for reproductive success, yet in others it was not. The years when timing was important were not consistently harsh nor were they particularly favourable for overall reproductive success.</t>
  </si>
  <si>
    <t>[Smiley, Kathleen M.] Univ Tasmania, Inst Marine &amp; Antarct Studies, Private Bag 129, Hobart, Tas 7001, Australia; [Smiley, Kathleen M.; Emmerson, Louise M.] Australian Antarctic Div, Dept Environm, Channel Highway, Kingston, Tas 7050, Australia</t>
  </si>
  <si>
    <t>University of Tasmania; Australian Antarctic Division</t>
  </si>
  <si>
    <t>Emmerson, LM (corresponding author), Australian Antarctic Div, Dept Environm, Channel Highway, Kingston, Tas 7050, Australia.</t>
  </si>
  <si>
    <t>louise.emmerson@aad.gov.au</t>
  </si>
  <si>
    <t>Smiley, Kathleen/0000-0002-0110-1554</t>
  </si>
  <si>
    <t>Australian Antarctic Science projects [2205, 2722, 4087]</t>
  </si>
  <si>
    <t>Australian Antarctic Science projects</t>
  </si>
  <si>
    <t>We thank the numerous dedicated Bechervaise Island field teams, particularly Judy Clarke and Megan Tierney. Our sincere thanks to Knowles Kerry, who initiated the penguin monitoring program, and to Colin Southwell, who continued the monitoring program, with whom it was a delight to discuss ideas and who provided useful insight as always. Neil Adams kindly provided the Australian Bureau of Meteorology temperature, wind and snow data. Thanks to Simon Wotherspoon for statistical advice. All penguin population counts, marking of birds and nest censuses were approved by the Australian Antarctic Animal Ethics Committee (AAEC). This investigation was supported by Australian Antarctic Science projects 2205, 2722 and 4087. The reviewers provided helpful comments that prompted much thinking and great improvement of the manuscript.</t>
  </si>
  <si>
    <t>JAN 19</t>
  </si>
  <si>
    <t>10.3354/meps11536</t>
  </si>
  <si>
    <t>DC0QN</t>
  </si>
  <si>
    <t>WOS:000368922900018</t>
  </si>
  <si>
    <t>Smith, TM; York, PH; Macreadie, PI; Keough, MJ; Ross, DJ; Sherman, CDH</t>
  </si>
  <si>
    <t>Smith, Timothy M.; York, Paul H.; Macreadie, Peter I.; Keough, Michael J.; Ross, D. Jeff; Sherman, Craig D. H.</t>
  </si>
  <si>
    <t>Recovery pathways from small-scale disturbance in a temperate Australian seagrass</t>
  </si>
  <si>
    <t>Zostera nigricaulis; Port Phillip Bay; Sexual reproduction; Asexual reproduction; Resilience; Spatial scales; Heterozostera nigricaulis</t>
  </si>
  <si>
    <t>PORT PHILLIP BAY; EELGRASS ZOSTERA-MARINA; CHESAPEAKE BAY; REGIME SHIFTS; RESILIENCE; MEADOW; RECOLONIZATION; GERMINATION; ECOSYSTEM; PERSISTENCE</t>
  </si>
  <si>
    <t>Recovery from disturbance is a key element of ecosystem persistence, and recovery can be influenced by large-scale regional differences and smaller local-scale variations in environmental conditions. Seagrass beds are an important yet threatened nearshore habitat and recover from disturbance by regrowth, vegetative extension and dispersive propagules. We described recovery pathways from small-scale disturbances in the seagrass Zostera nigricaulis in Port Phillip Bay, a large embayment in southeastern Australia, and tested whether these pathways differed between 5 regions with different hydrodynamic conditions and water quality, and between sites within those regions. Recovery pathways were broadly consistent. When aboveground biomass was removed, recovery, defined as the point at which disturbed areas converged with undisturbed controls, took from 2 to 8 mo, but when we removed above-and below-ground biomass, it took between 2 and 13 mo. There was no evidence of recovery resulting from sexual reproduction at any sites regardless of the presence of seeds in the sediment or flower production. We found no differences in recovery at the regional scale, but we found substantial differences between local sites. At some sites, rapid recovery occurred because seagrasses grew quickly, but at others, apparent recovery occurred because regrowth coincided with overall declines in cover of undisturbed areas. Recovery time was unrelated to seagrass canopy height, biomass, percentage cover, stem density, seed bank density, epiphyte cover or sediment organic matter in seagrass adjacent to disturbance experiments. This study highlights the importance of understanding fine-scale variation in local recovery mechanisms, which may override or obscure any regional signal.</t>
  </si>
  <si>
    <t>[Smith, Timothy M.; York, Paul H.; Sherman, Craig D. H.] Deakin Univ, Ctr Integrat Ecol, Sch Life &amp; Environm Sci, Waurn Ponds Campus,75 Pigdons Rd Locked Bag 20000, Geelong, Vic 3220, Australia; [York, Paul H.] James Cook Univ, Ctr Trop Water &amp; Aquat Ecosyst Res TropWATER, POB 6811, Cairns, Qld 4870, Australia; [Macreadie, Peter I.] Deakin Univ, Ctr Integrat Ecol, Sch Life &amp; Environm Sci, Burwood Campus,221 Burwood Highway, Burwood, Vic 3125, Australia; [Macreadie, Peter I.] Univ Technol Sydney, Sch Environm, Plant Funct Biol &amp; Climate Change Cluster C3, Broadway, NSW 2007, Australia; [Smith, Timothy M.; York, Paul H.; Keough, Michael J.] Univ Melbourne, Sch BioSci, Melbourne, Vic 3010, Australia; [Ross, D. Jeff] Univ Tasmania, Inst Marine &amp; Antarctic Studies, Taroona, Tas 7053, Australia</t>
  </si>
  <si>
    <t>Deakin University; James Cook University; Deakin University; University of Technology Sydney; Melbourne Genomics Health Alliance; University of Melbourne; University of Tasmania</t>
  </si>
  <si>
    <t>Smith, TM (corresponding author), Deakin Univ, Ctr Integrat Ecol, Sch Life &amp; Environm Sci, Waurn Ponds Campus,75 Pigdons Rd Locked Bag 20000, Geelong, Vic 3220, Australia.;Smith, TM (corresponding author), Univ Melbourne, Sch BioSci, Melbourne, Vic 3010, Australia.</t>
  </si>
  <si>
    <t>tim.smith@deakin.edu.au</t>
  </si>
  <si>
    <t>York, Paul H./C-4120-2009; Smith, Timothy/C-9283-2013; Sherman, Craig/A-2484-2010; Ross, Donald/F-7607-2012</t>
  </si>
  <si>
    <t>York, Paul H./0000-0003-3530-4146; Smith, Timothy/0000-0001-8612-8600; Sherman, Craig/0000-0003-2099-0462; Ross, Donald/0000-0002-8659-3833; Keough, Michael/0000-0002-3382-3068</t>
  </si>
  <si>
    <t>Department of Environment, Land, Water and Planning (Australia); Australian Research Council [DE130101084]; [DP1093230]; Australian Research Council [DE130101084, DP1093230] Funding Source: Australian Research Council</t>
  </si>
  <si>
    <t>Department of Environment, Land, Water and Planning (Australia); Australian Research Council(Australian Research Council); ; Australian Research Council(Australian Research Council)</t>
  </si>
  <si>
    <t>This work was funded by the Department of Environment, Land, Water and Planning (Australia). P.I.M. was supported by Australian Research Council Discovery Early Career Researcher Award DE130101084. Additional support came from Discovery Award DP1093230 to M.J.K. All work was performed at the Victorian Marine Science Consortium. Assistance in the field and laboratory was provided by E. Cumming, R. Watson, D. Lees, A. Wayman and P. Ho.</t>
  </si>
  <si>
    <t>10.3354/meps11531</t>
  </si>
  <si>
    <t>WOS:000368922900008</t>
  </si>
  <si>
    <t>Roberts, J; Gottschalk, J; Skinner, LC; Peck, VL; Kender, S; Elderfield, H; Waelbroeck, C; Riveiros, NV; Hodell, DA</t>
  </si>
  <si>
    <t>Roberts, Jenny; Gottschalk, Julia; Skinner, Luke C.; Peck, Victoria L.; Kender, Sev; Elderfield, Henry; Waelbroeck, Claire; Riveiros, Natalia Vazquez; Hodell, David A.</t>
  </si>
  <si>
    <t>Evolution of South Atlantic density and chemical stratification across the last deglaciation</t>
  </si>
  <si>
    <t>South Atlantic; density gradient; ocean stratification; last deglaciation; atmospheric CO2</t>
  </si>
  <si>
    <t>FORAMINIFERAL MG/CA PALEOTHERMOMETRY; ANTARCTIC SEA-ICE; ATMOSPHERIC CO2; OCEAN CIRCULATION; WATER VARIABILITY; GLACIAL MAXIMUM; NORTH-ATLANTIC; SCALE CHANGES; DEEP-OCEAN; CARBON</t>
  </si>
  <si>
    <t>Explanations of the glacial-interglacial variations in atmospheric pCO(2) invoke a significant role for the deep ocean in the storage of CO2. Deep-ocean density stratification has been proposed as a mechanism to promote the storage of CO2 in the deep ocean during glacial times. A wealth of proxy data supports the presence of a chemical divide between intermediate and deep water in the glacial Atlantic Ocean, which indirectly points to an increase in deep-ocean density stratification. However, direct observational evidence of changes in the primary controls of ocean density stratification, i.e., temperature and salinity, remain scarce. Here, we use Mg/Ca-derived seawater temperature and salinity estimates determined from temperature-corrected delta O-18 measurements on the benthic foraminifer Uvigerina spp. from deep and intermediate water-depth marine sediment cores to reconstruct the changes in density of sub-Antarctic South Atlantic water masses over the last deglaciation (i.e., 22-2 ka before present). We find that a major breakdown in the physical density stratification significantly lags the breakdown of the deep-intermediate chemical divide, as indicated by the chemical tracers of benthic foraminifer delta C-13 and foraminifer/coral C-14. Our results indicate that chemical destratification likely resulted in the first rise in atmospheric pCO(2), whereas the density destratification of the deep South Atlantic lags the second rise in atmospheric pCO(2) during the late deglacial period. Our findings emphasize that the physical and chemical destratification of the ocean are not as tightly coupled as generally assumed.</t>
  </si>
  <si>
    <t>[Roberts, Jenny; Gottschalk, Julia; Skinner, Luke C.; Elderfield, Henry; Hodell, David A.] Univ Cambridge, Dept Earth Sci, Godwin Lab Paleoclimate Res, Cambridge CB2 3EQ, England; [Roberts, Jenny; Peck, Victoria L.] British Antarctic Survey, Cambridge CB3 0ET, England; [Kender, Sev] Univ Nottingham, Sch Geog, Ctr Environm Geochem, Nottingham NG7 2RD, England; [Kender, Sev] British Geol Survey, Nottingham NG12 5GG, England; [Waelbroeck, Claire; Riveiros, Natalia Vazquez] Domaine CNRS, Lab Sci Climat &amp; Environm, F-91198 Gif Sur Yvette, France</t>
  </si>
  <si>
    <t>University of Cambridge; UK Research &amp; Innovation (UKRI); Natural Environment Research Council (NERC); NERC British Antarctic Survey; University of Nottingham; UK Research &amp; Innovation (UKRI); Natural Environment Research Council (NERC); NERC British Geological Survey; CEA; Centre National de la Recherche Scientifique (CNRS); Universite Paris Saclay</t>
  </si>
  <si>
    <t>Roberts, J (corresponding author), Univ Cambridge, Dept Earth Sci, Godwin Lab Paleoclimate Res, Cambridge CB2 3EQ, England.</t>
  </si>
  <si>
    <t>jr451@cam.ac.uk</t>
  </si>
  <si>
    <t>Vazquez Riveiros, Natalia/C-1100-2012; Kender, Sev/B-9409-2016</t>
  </si>
  <si>
    <t>Vazquez Riveiros, Natalia/0000-0001-7513-153X; Kender, Sev/0000-0003-4216-3214; Hodell, David/0000-0001-8537-1588; Gottschalk, Julia/0000-0002-0403-3059; waelbroeck, claire/0000-0002-7256-5727; Roberts, Jenny/0000-0002-1098-0829</t>
  </si>
  <si>
    <t>British Geological Survey/British Antarctic Survey (Natural Environment Research Council); University of Cambridge; Gates Cambridge Trust; Royal Society; NERC [NE/J010545/1]; European Research Council (ERC) [ACCLIMATE 339108, 2010-NEWLOG ADG-267931 HE]; EU RTN NICE [36127]; NERC [bgs05016, bas0100030, bgs05002, NE/J010545/1] Funding Source: UKRI; Natural Environment Research Council [bgs05002, 1273186, bas0100030, NE/J010545/1, bgs05016] Funding Source: researchfish</t>
  </si>
  <si>
    <t>British Geological Survey/British Antarctic Survey (Natural Environment Research Council); University of Cambridge(University of Cambridge); Gates Cambridge Trust; Royal Society(Royal Society); NERC(UK Research &amp; Innovation (UKRI)Natural Environment Research Council (NERC)); European Research Council (ERC)(European Research Council (ERC)Spanish Government); EU RTN NICE; NERC(UK Research &amp; Innovation (UKRI)Natural Environment Research Council (NERC)); Natural Environment Research Council(UK Research &amp; Innovation (UKRI)Natural Environment Research Council (NERC))</t>
  </si>
  <si>
    <t>We are grateful to I. Mather, J. Rolfe, F. Dewilde, and G. Isguder for preparing and performing isotopic analyses, as well as C. Daunt, S. Souanef-Ureta, and M. Greaves for technical assistance in performing trace element analysis. We thank the captain and crew of the RRS James Clark Ross for facilitating the collection of the marine sediment core GC528. J.R. was funded jointly by the British Geological Survey/British Antarctic Survey (Natural Environment Research Council) and the University of Cambridge. J.G. was funded by the Gates Cambridge Trust. L.C.S. acknowledges support from the Royal Society and NERC Grant NE/J010545/1. C.W. acknowledges support from the European Research Council Grant ACCLIMATE 339108. This work was funded (in part) by the European Research Council (ERC Grant 2010-NEWLOG ADG-267931 HE). N.V.R. acknowledges support from EU RTN NICE (36127). This is Cambridge University Department of Earth Sciences Contribution ESC3510. This is Laboratoire des Sciences du Climat et de l'Environnement Contribution 5514.</t>
  </si>
  <si>
    <t>10.1073/pnas.1511252113</t>
  </si>
  <si>
    <t>DB4BX</t>
  </si>
  <si>
    <t>Green Published, Green Accepted, Bronze, Green Submitted</t>
  </si>
  <si>
    <t>WOS:000368458800033</t>
  </si>
  <si>
    <t>Do, H; Kim, IS; Jeon, BW; Lee, CW; Park, AK; Wi, AR; Shin, SC; Park, H; Kim, YS; Yoon, HS; Kim, HW; Lee, JH</t>
  </si>
  <si>
    <t>Do, Hackwon; Kim, Il-Sup; Jeon, Byoung Wook; Lee, Chang Woo; Park, Ae Kyung; Wi, Ah Ram; Shin, Seung Chul; Park, Hyun; Kim, Young-Saeng; Yoon, Ho-Sung; Kim, Han-Woo; Lee, Jun Hyuck</t>
  </si>
  <si>
    <t>Structural understanding of the recycling of oxidized ascorbate by dehydroascorbate reductase (OsDHAR) from Oryza sativa L. japonica</t>
  </si>
  <si>
    <t>CONFERS ENHANCED TOLERANCE; GLUTATHIONE TRANSFERASE; CRYSTAL-STRUCTURE; MONODEHYDROASCORBATE REDUCTASE; FUNCTIONAL DIVERGENCE; SOLUBLE FORM; PLANTS; SALT; OVEREXPRESSION; IDENTIFICATION</t>
  </si>
  <si>
    <t>Dehydroascorbate reductase (DHAR) is a key enzyme involved in the recycling of ascorbate, which catalyses the glutathione (GSH)-dependent reduction of oxidized ascorbate (dehydroascorbate, DHA). As a result, DHAR regenerates a pool of reduced ascorbate and detoxifies reactive oxygen species (ROS). In previous experiments involving transgenic rice, we observed that overexpression of DHAR enhanced grain yield and biomass. Since the structure of DHAR is not available, the enzymatic mechanism is not well-understood and remains poorly characterized. To elucidate the molecular basis of DHAR catalysis, we determined the crystal structures of DHAR from Oryza sativa L. japonica (OsDHAR) in the native, ascorbate-bound, and GSH-bound forms and refined their resolutions to 1.9, 1.7, and 1.7 angstrom, respectively. These complex structures provide the first information regarding the location of the ascorbate and GSH binding sites and their interacting residues. The location of the ascorbate-binding site overlaps with the GSH-binding site, suggesting a ping-pong kinetic mechanism for electron transfer at the common Cys20 active site. Our structural information and mutagenesis data provide useful insights into the reaction mechanism of OsDHAR against ROS-induced oxidative stress in rice.</t>
  </si>
  <si>
    <t>[Do, Hackwon; Jeon, Byoung Wook; Lee, Chang Woo; Park, Ae Kyung; Wi, Ah Ram; Shin, Seung Chul; Park, Hyun; Kim, Han-Woo; Lee, Jun Hyuck] Korea Polar Res Inst, Div Polar Life Sci, Inchon 406840, South Korea; [Kim, Il-Sup; Yoon, Ho-Sung] Kyungpook Natl Univ, Sch Life Sci, Plus KNU Creat BioRes Grp BK21, Taegu 702701, South Korea; [Lee, Chang Woo; Park, Hyun; Kim, Han-Woo; Lee, Jun Hyuck] Univ Sci &amp; Technol, Dept Polar Sci, Inchon 406840, South Korea; [Kim, Young-Saeng] Univ Calif San Diego, Div Biol Sci, La Jolla, CA 92093 USA</t>
  </si>
  <si>
    <t>Korea Institute of Ocean Science &amp; Technology (KIOST); Korea Polar Research Institute (KOPRI); Kyungpook National University; University of California System; University of California San Diego</t>
  </si>
  <si>
    <t>Yoon, HS (corresponding author), Kyungpook Natl Univ, Sch Life Sci, Plus KNU Creat BioRes Grp BK21, Taegu 702701, South Korea.</t>
  </si>
  <si>
    <t>hsy@knu.ac.kr; hwkim@kopri.re.kr; junhyucklee@kopri.re.kr</t>
  </si>
  <si>
    <t>Antarctic organisms: Cold-Adaptation Mechanisms and its application grant - Korea Polar Research Institute [PE15070, PE16070]; Next-Generation BioGreen 21 Program, Rural Development Administration, Korea [PJ011122]</t>
  </si>
  <si>
    <t>Antarctic organisms: Cold-Adaptation Mechanisms and its application grant - Korea Polar Research Institute(Korea Polar Research Institute of Marine Research Placement (KOPRI)); Next-Generation BioGreen 21 Program, Rural Development Administration, Korea(Rural Development Administration (RDA), Republic of Korea)</t>
  </si>
  <si>
    <t>We would like to thank the staff at the X-ray core facility of the Korea Basic Science Institute (KBSI; Ochang, Korea) and the BL-5C and BL-7A of the Pohang Accelerator Laboratory (Pohang, Korea) for their help with data collection. This work was supported by the Antarctic organisms: Cold-Adaptation Mechanisms and its application grant (PE15070 and PE16070) funded by the Korea Polar Research Institute and a grant funded by the Next-Generation BioGreen 21 Program (No. PJ011122), Rural Development Administration, Korea.</t>
  </si>
  <si>
    <t>JAN 18</t>
  </si>
  <si>
    <t>10.1038/srep19498</t>
  </si>
  <si>
    <t>DB0KS</t>
  </si>
  <si>
    <t>WOS:000368197600001</t>
  </si>
  <si>
    <t>Nicewonger, MR; Verhulst, KR; Aydin, M; Saltzman, ES</t>
  </si>
  <si>
    <t>Nicewonger, Melinda R.; Verhulst, Kristal R.; Aydin, Murat; Saltzman, Eric S.</t>
  </si>
  <si>
    <t>Preindustrial atmospheric ethane levels inferred from polar ice cores: A constraint on the geologic sources of atmospheric ethane and methane</t>
  </si>
  <si>
    <t>ethane; ice cores; paleoatmosphere; trace gases; geologic; biomass burning</t>
  </si>
  <si>
    <t>NONMETHANE HYDROCARBONS; RECENT DECREASES; FIRN AIR; EMISSIONS; PROPANE; BUDGET</t>
  </si>
  <si>
    <t>Ethane levels were measured in air extracted from Greenland and Antarctic ice cores ranging in age from 994 to 1918 Common Era (C.E.) There is good temporal overlap between the two data sets from 1600 to 1750 C.E. with ethane levels stable at 39728 parts per trillion (ppt) (2standard error (s.e.)) over Greenland and 1039ppt over Antarctica. The observed north/south interpolar ratio of ethane (3.90.1, 1 sigma) implies considerably more ethane emissions in the Northern Hemisphere than in the Southern Hemisphere, suggesting geologic ethane sources contribute significantly to the preindustrial ethane budget. Box model simulations based on these data constrain the global geologic emissions of ethane to 2.2-3.5Tgyr(-1) and biomass burning emissions to 1.2-2.5Tgyr(-1) during the preindustrial era. The results suggest biomass burning emissions likely increased since the preindustrial period. Biomass burning and geologic outgassing are also sources of atmospheric methane. The results place constraints on preindustrial methane emissions from these sources.</t>
  </si>
  <si>
    <t>[Nicewonger, Melinda R.; Verhulst, Kristal R.; Aydin, Murat; Saltzman, Eric S.] Univ Calif Irvine, Dept Earth Syst Sci, Irvine, CA USA; [Verhulst, Kristal R.] CALTECH, Jet Prop Lab, Pasadena, CA USA</t>
  </si>
  <si>
    <t>University of California System; University of California Irvine; California Institute of Technology; National Aeronautics &amp; Space Administration (NASA); NASA Jet Propulsion Laboratory (JPL)</t>
  </si>
  <si>
    <t>Nicewonger, MR (corresponding author), Univ Calif Irvine, Dept Earth Syst Sci, Irvine, CA USA.</t>
  </si>
  <si>
    <t>nicewonm@uci.edu</t>
  </si>
  <si>
    <t>Nicewonger, Melinda/0000-0002-2624-3831</t>
  </si>
  <si>
    <t>National Science Foundation [PLR-1204248, PLR-1043780]; NSF Graduate Research Fellowship [DGE-1321846]; UC Irvine Faculty Mentor Program Fellowship; NSF Independent Research and Development program; Office of Polar Programs (OPP); Directorate For Geosciences [0944348] Funding Source: National Science Foundation</t>
  </si>
  <si>
    <t>National Science Foundation(National Science Foundation (NSF)); NSF Graduate Research Fellowship(National Science Foundation (NSF)); UC Irvine Faculty Mentor Program Fellowship; NSF Independent Research and Development program; Office of Polar Programs (OPP); Directorate For Geosciences(National Science Foundation (NSF)NSF - Directorate for Geosciences (GEO))</t>
  </si>
  <si>
    <t>This research was supported by the National Science Foundation grants PLR-1204248 and PLR-1043780. M.R.N. was supported by an NSF Graduate Research Fellowship (DGE-1321846). K.R.V. was supported by the UC Irvine Faculty Mentor Program Fellowship during a portion of this work. E.S.S. received support from the NSF Independent Research and Development program. Data supporting the analysis and conclusion can be found in the supporting information.</t>
  </si>
  <si>
    <t>JAN 16</t>
  </si>
  <si>
    <t>10.1002/2015GL066854</t>
  </si>
  <si>
    <t>DC1YJ</t>
  </si>
  <si>
    <t>WOS:000369014100026</t>
  </si>
  <si>
    <t>Hunkeler, PA; Hoppmann, M; Hendricks, S; Kalscheuer, T; Gerdes, R</t>
  </si>
  <si>
    <t>Hunkeler, P. A.; Hoppmann, M.; Hendricks, S.; Kalscheuer, T.; Gerdes, R.</t>
  </si>
  <si>
    <t>A glimpse beneath Antarctic sea ice: Platelet layer volume from multifrequency electromagnetic induction sounding</t>
  </si>
  <si>
    <t>Antarctic sea ice; ocean; ice shelf interaction; multifrequency EM; platelet ice</t>
  </si>
  <si>
    <t>SOUTHEASTERN WEDDELL SEA; SHELF WATER PLUME; SQUARES INVERSION; MCMURDO SOUND; THICKNESS; FREEBOARD</t>
  </si>
  <si>
    <t>In Antarctica, ice crystals emerge from ice shelf cavities and accumulate in unconsolidated layers beneath nearby sea ice. Such sub-ice platelet layers form a unique habitat and serve as an indicator for the state of an ice shelf. However, the lack of a suitable methodology impedes an efficient quantification of this phenomenon on scales beyond point measurements. In this study, we inverted multifrequency electromagnetic (EM) induction soundings, obtained on fast ice with an underlying platelet layer along profiles of 100 km length in the eastern Weddell Sea. EM-derived platelet layer thickness and conductivity are consistent with other field observations. Our results suggest that platelet layer volume is higher than previously thought in this region and that platelet layer ice volume fraction is proportional to its thickness. We conclude that multifrequency EM is a suitable tool to determine platelet layer volume, with the potential to obtain crucial knowledge of associated processes in otherwise inaccessible ice shelf cavities.</t>
  </si>
  <si>
    <t>[Hunkeler, P. A.; Hoppmann, M.; Hendricks, S.; Gerdes, R.] Alfred Wegener Inst, Helmholtz Zentrum Polar &amp; Meeresforsch, Bremerhaven, Germany; [Kalscheuer, T.] Uppsala Univ, Dept Earth Sci, Uppsala, Sweden; [Gerdes, R.] Jacobs Univ Bremen, Earth &amp; Space Sci, D-28759 Bremen, Germany</t>
  </si>
  <si>
    <t>Helmholtz Association; Alfred Wegener Institute, Helmholtz Centre for Polar &amp; Marine Research; Uppsala University; Jacobs University</t>
  </si>
  <si>
    <t>Hoppmann, M (corresponding author), Alfred Wegener Inst, Helmholtz Zentrum Polar &amp; Meeresforsch, Bremerhaven, Germany.</t>
  </si>
  <si>
    <t>Mario.Hoppmann@awi.de</t>
  </si>
  <si>
    <t>Kalscheuer, Thomas/AAG-5837-2019; Hendricks, Stefan/D-5168-2011; Hoppmann, Mario/KFB-0363-2024</t>
  </si>
  <si>
    <t>Kalscheuer, Thomas/0000-0003-3819-8182; Hendricks, Stefan/0000-0002-1412-3146; Hoppmann, Mario/0000-0003-1294-9531</t>
  </si>
  <si>
    <t>AWI logistics; SNIC through Uppsala Multidisciplinary Center for Advanced Computational Science (UPPMAX) [snic2014-1-243]; POLMAR graduate school; German Research Council (DFG) [SPP1158, NI 1092/2, HE2740/12]</t>
  </si>
  <si>
    <t>AWI logistics; SNIC through Uppsala Multidisciplinary Center for Advanced Computational Science (UPPMAX); POLMAR graduate school; German Research Council (DFG)(German Research Foundation (DFG))</t>
  </si>
  <si>
    <t>This work would not have been possible without the Neumayer III infrastructure and the help of the wintering crew 2012. The authors are grateful to Stephan Paul and Uwe Baltes for their assistance in the field and to the AWI logistics for their support. The computations were performed on resources provided by SNIC through Uppsala Multidisciplinary Center for Advanced Computational Science (UPPMAX) under project snic2014-1-243. Johan Hermansson at UPPMAX is acknowledged for his assistance concerning technical and implementational aspects in making the code run on the UPPMAX resources. This work was funded by the POLMAR graduate school and the German Research Council (DFG) in the framework of its priority program Antarctic Research with comparative investigations in Arctic ice areas by grants to SPP1158, NI 1092/2, and HE2740/12. The data used here are publicly available at http://doi.pangaea.de/10.1594/PANGAEA.845535. Finally, we thank the anonymous reviewers whose comments and suggestions significantly improved the manuscript.</t>
  </si>
  <si>
    <t>10.1002/2015GL065074</t>
  </si>
  <si>
    <t>WOS:000369014100027</t>
  </si>
  <si>
    <t>Janout, M; Hölemann, J; Juhls, B; Krumpen, T; Rabe, B; Bauch, D; Wegner, C; Kassens, H; Timokhov, L</t>
  </si>
  <si>
    <t>Janout, Markus; Hoelemann, Jens; Juhls, Bennet; Krumpen, Thomas; Rabe, Benjamin; Bauch, Dorothea; Wegner, Carolyn; Kassens, Heidemarie; Timokhov, Leonid</t>
  </si>
  <si>
    <t>Episodic warming of near-bottom waters under the Arctic sea ice on the central Laptev Sea shelf</t>
  </si>
  <si>
    <t>Arctic oceanography; Laptev Sea; ocean warming; Siberian freshwater; Arctic sea ice</t>
  </si>
  <si>
    <t>VARIABILITY; PERMAFROST; DISCHARGE; PATHWAYS; MODEL</t>
  </si>
  <si>
    <t>A multiyear mooring record (2007-2014) and satellite imagery highlight the strong temperature variability and unique hydrographic nature of the Laptev Sea. This Arctic shelf is a key region for river discharge and sea ice formation and export and includes submarine permafrost and methane deposits, which emphasizes the need to understand the thermal variability near the seafloor. Recent years were characterized by early ice retreat and a warming near-shore environment. However, warming was not observed on the deeper shelf until year-round under-ice measurements recorded unprecedented warm near-bottom waters of +0.6 degrees C in winter 2012/2013, just after the Arctic sea ice extent featured a record minimum. In the Laptev Sea, early ice retreat in 2012 combined with Lena River heat and solar radiation produced anomalously warm summer surface waters, which were vertically mixed, trapped in the pycnocline, and subsequently transferred toward the bottom until the water column cooled when brine rejection eroded stratification.</t>
  </si>
  <si>
    <t>[Janout, Markus; Hoelemann, Jens; Krumpen, Thomas; Rabe, Benjamin] Alfred Wegener Inst Helmholtz Ctr Polar &amp; Marine, Bremerhaven, Germany; [Juhls, Bennet; Bauch, Dorothea; Wegner, Carolyn; Kassens, Heidemarie] GEOMAR Helmholtz Ctr Ocean Res, Kiel, Germany; [Timokhov, Leonid] Arctic &amp; Antarctic Res Inst, St Petersburg 199226, Russia</t>
  </si>
  <si>
    <t>Helmholtz Association; Alfred Wegener Institute, Helmholtz Centre for Polar &amp; Marine Research; Helmholtz Association; GEOMAR Helmholtz Center for Ocean Research Kiel; Arctic &amp; Antarctic Research Institute</t>
  </si>
  <si>
    <t>Janout, M (corresponding author), Alfred Wegener Inst Helmholtz Ctr Polar &amp; Marine, Bremerhaven, Germany.</t>
  </si>
  <si>
    <t>markus.janout@awi.de</t>
  </si>
  <si>
    <t>Krumpen, Thomas/D-5163-2011; Juhls, Bennet/AAD-8848-2021; Rabe, Benjamin/G-2999-2011; Janout, Markus/AAI-7219-2020; Hoelemann, Jens/N-3608-2016</t>
  </si>
  <si>
    <t>Krumpen, Thomas/0000-0001-6234-8756; Rabe, Benjamin/0000-0001-5794-9856; Janout, Markus/0000-0003-4908-2855; Juhls, Bennet/0000-0002-5844-6318; Hoelemann, Jens/0000-0001-5102-4086</t>
  </si>
  <si>
    <t>German Federal Ministry of Education and Research (BMBF) [03G0833]; Ministry of Education and Science of the Russian Federation</t>
  </si>
  <si>
    <t>German Federal Ministry of Education and Research (BMBF)(Federal Ministry of Education &amp; Research (BMBF)); Ministry of Education and Science of the Russian Federation(Ministry of Education and Science, Russian Federation)</t>
  </si>
  <si>
    <t>The Laptev Sea System project was supported by the German Federal Ministry of Education and Research (BMBF grant 03G0833) and the Ministry of Education and Science of the Russian Federation. The 2012 CTD data collected by R/V Polarstern-cruise ARK-XXVII/ 3 are available at http://www.pangaea.de. NCEP-Reanalysis data were provided by the NOAA-CIRES Climate Diagnostics Center, Boulder, CO, USA at http://www.cdc.noaa.gov/. NOAA_OI_SST_V2 data were provided by the NOAA/OAR/ESRL/PSD, Boulder, Colorado, USA at http://www.esrl.noaa.gov/psd/. Lena River discharge and temperature were provided by the Arctic Great Rivers Observatory (NSF-1107774). Mooring data will be made available upon request (markus.janout@awi.de). We thank W.-J. von Appen and M.-L. Timmermans for fruitful discussions and greatly appreciate the comments and suggestions from the Editor (J. Stroeve) and two anonymous reviewers.</t>
  </si>
  <si>
    <t>10.1002/2015GL066565</t>
  </si>
  <si>
    <t>WOS:000369014100031</t>
  </si>
  <si>
    <t>Manucharyan, GE; Spall, MA</t>
  </si>
  <si>
    <t>Manucharyan, Georgy E.; Spall, Michael A.</t>
  </si>
  <si>
    <t>Wind-driven freshwater buildup and release in the Beaufort Gyre constrained by mesoscale eddies</t>
  </si>
  <si>
    <t>Beaufort Gyre; Eddy saturation; Arctic halocline; Freshwater content; Ekman pumping</t>
  </si>
  <si>
    <t>NORTHERN NORTH-ATLANTIC; ARCTIC SEA-ICE; ANTARCTIC CIRCUMPOLAR CURRENT; GREAT SALINITY ANOMALIES; OCEAN CIRCULATION MODELS; SOUTHERN-OCEAN; CANADA BASIN; OVERTURNING CIRCULATION; RESIDUAL CIRCULATION; EDDY TRANSFER</t>
  </si>
  <si>
    <t>Recently, the Beaufort Gyre has accumulated over 20,000km(3) of freshwater in response to strong anticyclonic atmospheric winds that have prevailed over the gyre for almost two decades. Here we explore key physical processes affecting the accumulation and release of freshwater within an idealized eddy-resolving model of the Beaufort Gyre. We demonstrate that a realistic halocline can be achieved when its deepening tendency due to Ekman pumping is counteracted by the cumulative action of mesoscale eddies. Based on this balance, we derive analytical scalings for the depth of the halocline and its spin-up time scale and emphasize their explicit dependence on eddy dynamics. Our study further suggests that the Beaufort Gyre is currently in a state of high sensitivity to atmospheric winds. However, an intensification of surface stress would inevitably lead to a saturation of the freshwater contenta constraint inherently set by the intricacies of the mesoscale eddy dynamics.</t>
  </si>
  <si>
    <t>[Manucharyan, Georgy E.; Spall, Michael A.] Woods Hole Oceanog Inst, Dept Phys Oceanog, Woods Hole, MA 02543 USA</t>
  </si>
  <si>
    <t>Woods Hole Oceanographic Institution</t>
  </si>
  <si>
    <t>Manucharyan, GE (corresponding author), Woods Hole Oceanog Inst, Dept Phys Oceanog, Woods Hole, MA 02543 USA.</t>
  </si>
  <si>
    <t>gmanuch@caltech.edu</t>
  </si>
  <si>
    <t>Spall, Michael A/F-9001-2010</t>
  </si>
  <si>
    <t>Spall, Michael/0000-0003-1966-3122; Manucharyan, Georgy/0000-0001-7959-2675</t>
  </si>
  <si>
    <t>NSF [PLR-1415489, OCE-1232389]; Howland Postdoctoral Program Fund at WHOI; NSF OPP [PLR-1313614, PLR-1203720]; Directorate For Geosciences; Division Of Ocean Sciences [1232389] Funding Source: National Science Foundation; Office of Polar Programs (OPP); Directorate For Geosciences [1415489] Funding Source: National Science Foundation</t>
  </si>
  <si>
    <t>NSF(National Science Foundation (NSF)); Howland Postdoctoral Program Fund at WHOI; NSF OPP(National Science Foundation (NSF)NSF - Directorate for Geosciences (GEO)); Directorate For Geosciences; Division Of Ocean Sciences(National Science Foundation (NSF)NSF - Directorate for Geosciences (GEO)); Office of Polar Programs (OPP); Directorate For Geosciences(National Science Foundation (NSF)NSF - Directorate for Geosciences (GEO))</t>
  </si>
  <si>
    <t>The authors acknowledge high-performance computing support from Yellowstone (ark:/85065/d7wd3xhc) provided by NCAR's CIS Laboratory, sponsored by the NSF. GEM acknowledges the support from the Howland Postdoctoral Program Fund at WHOI. M.A.S. was supported by NSF grants PLR-1415489 and OCE-1232389. The manuscript benefited from discussions at the annual Forum for Arctic Modeling and Observing Synthesis (FAMOS) funded by the NSF OPP awards PLR-1313614 and PLR-1203720. The authors thank Andrey Proshutinsky for providing Figure 1 and for many valuable comments; Ryan Abernathey for providing a publicly available Layers package used in calculations of the residual circulation within the MITgcm; and Mary-Louise Timmermans, John Toole, Jiayan Yang, and John Marshall for discussions.</t>
  </si>
  <si>
    <t>10.1002/2015GL065957</t>
  </si>
  <si>
    <t>WOS:000369014100032</t>
  </si>
  <si>
    <t>Marsh, OJ; Fricker, HA; Siegfried, MR; Christianson, K; Nicholls, KW; Corr, HFJ; Catania, G</t>
  </si>
  <si>
    <t>Marsh, Oliver J.; Fricker, Helen A.; Siegfried, Matthew R.; Christianson, Knut; Nicholls, Keith W.; Corr, Hugh F. J.; Catania, Ginny</t>
  </si>
  <si>
    <t>High basal melting forming a channel at the grounding line of Ross Ice Shelf, Antarctica</t>
  </si>
  <si>
    <t>ice shelf channels; phase-sensitive radar; Whillans Ice Stream</t>
  </si>
  <si>
    <t>WEST ANTARCTICA; RADAR; BENEATH; STREAM; MELTWATER; SHEET; RATES</t>
  </si>
  <si>
    <t>Antarctica's ice shelves are thinning at an increasing rate, affecting their buttressing ability. Channels in the ice shelf base unevenly distribute melting, and their evolution provides insight into changing subglacial and oceanic conditions. Here we used phase-sensitive radar measurements to estimate basal melt rates in a channel beneath the currently stable Ross Ice Shelf. Melt rates of 22.20.2ma(-1) (&gt;2500% the overall background rate) were observed 1.7km seaward of Mercer/Whillans Ice Stream grounding line, close to where subglacial water discharge is expected. Laser altimetry shows a corresponding, steadily deepening surface channel. Two relict channels to the north suggest recent subglacial drainage reorganization beneath Whillans Ice Stream approximately coincident with the shutdown of Kamb Ice Stream. This rapid channel formation implies that shifts in subglacial hydrology may impact ice shelf stability.</t>
  </si>
  <si>
    <t>[Marsh, Oliver J.; Fricker, Helen A.; Siegfried, Matthew R.] Univ Calif San Diego, Scripps Inst Oceanog, Inst Geophys &amp; Planetary Phys, La Jolla, CA 92093 USA; [Marsh, Oliver J.] Univ Canterbury, Gateway Antarctica, Christchurch 1, New Zealand; [Christianson, Knut] Univ Washington, Dept Earth &amp; Space Sci, Seattle, WA 98195 USA; [Nicholls, Keith W.; Corr, Hugh F. J.] British Antarctic Survey, Cambridge CB3 0ET, England; [Catania, Ginny] Univ Texas Austin, Inst Geophys, Austin, TX USA</t>
  </si>
  <si>
    <t>University of California System; University of California San Diego; Scripps Institution of Oceanography; University of Canterbury; University of Washington; University of Washington Seattle; UK Research &amp; Innovation (UKRI); Natural Environment Research Council (NERC); NERC British Antarctic Survey; University of Texas System; University of Texas Austin</t>
  </si>
  <si>
    <t>Marsh, OJ (corresponding author), Univ Calif San Diego, Scripps Inst Oceanog, Inst Geophys &amp; Planetary Phys, La Jolla, CA 92093 USA.;Marsh, OJ (corresponding author), Univ Canterbury, Gateway Antarctica, Christchurch 1, New Zealand.</t>
  </si>
  <si>
    <t>oliver.marsh@canterbury.ac.nz</t>
  </si>
  <si>
    <t>Corr, Hugh/C-5398-2011; Marsh, Oliver J/K-7436-2014; Catania, Ginny/B-9787-2008</t>
  </si>
  <si>
    <t>Catania, Ginny/0000-0002-7561-5902; Fricker, Helen Amanda/0000-0002-0921-1432; Marsh, Oliver/0000-0001-7874-514X</t>
  </si>
  <si>
    <t>WISSARD project [PLR 1439774, 0838854]; John Dove Isaacs Chair funds; NASA [NNX13AP60G]; [HYD2869]; NERC [bas0100033, bas0100034] Funding Source: UKRI; Natural Environment Research Council [bas0100033, bas0100034] Funding Source: researchfish; Office of Polar Programs (OPP); Directorate For Geosciences [1439774] Funding Source: National Science Foundation; NASA [466837, NNX13AP60G] Funding Source: Federal RePORTER</t>
  </si>
  <si>
    <t>WISSARD project; John Dove Isaacs Chair funds; NASA(National Aeronautics &amp; Space Administration (NASA)); ; NERC(UK Research &amp; Innovation (UKRI)Natural Environment Research Council (NERC)); Natural Environment Research Council(UK Research &amp; Innovation (UKRI)Natural Environment Research Council (NERC)); Office of Polar Programs (OPP); Directorate For Geosciences(National Science Foundation (NSF)NSF - Directorate for Geosciences (GEO)); NASA(National Aeronautics &amp; Space Administration (NASA))</t>
  </si>
  <si>
    <t>The authors would like to thank NSF and the WISSARD project (PLR 1439774 and 0838854), NY Air National Guard, UNAVCO, and ASC for logistical support. Esteban Chaves and Sarah Neuhaus provided assistance with data collection in the field. TerraSAR-X data were provided through the HYD2869 project. We thank NASA's ICESat Science Project and the NSIDC for distribution of ICESat data. H.F. would like to thank the John Dove Isaacs Chair funds which supported much of this work. H.F. and M.S. were supported by NASA grant NNX13AP60G. The manuscript was written by O.M. with contributions from all authors. H.F., K.C., O.M., and M.S. conceived the study. O.M., M.S., and G.C. collected, processed, and analyzed phase-sensitive radar, GPS, and ice-penetrating radar data, respectively. O.M. and H.F. processed satellite data. H.C. and K.N. provided radar equipment and assisted O.M. with phase-sensitive radar processing and analysis. Data are available by contacting the authors directly.</t>
  </si>
  <si>
    <t>10.1002/2015GL066612</t>
  </si>
  <si>
    <t>WOS:000369014100029</t>
  </si>
  <si>
    <t>Garabato, ACN; Zika, JD; Jullion, L; Brown, PJ; Holland, PR; Meredith, MP; Bacon, S</t>
  </si>
  <si>
    <t>Garabato, Alberto C. Naveira; Zika, Jan D.; Jullion, Loic; Brown, Peter J.; Holland, Paul R.; Meredith, Michael P.; Bacon, Sheldon</t>
  </si>
  <si>
    <t>The thermodynamic balance of the Weddell Gyre</t>
  </si>
  <si>
    <t>Weddell Gyre; thermodynamics</t>
  </si>
  <si>
    <t>SEA-ICE; SOUTHERN-OCEAN; DEEP; STRATIFICATION; CIRCULATION</t>
  </si>
  <si>
    <t>The thermodynamic balance of the Weddell Gyre is assessed from an inverse estimate of the circulation across the gyre's rim. The gyre experiences a weak net buoyancy gain that arises from a leading-order cancelation between two opposing contributions, linked to two cells of water mass transformation and diapycnal overturning. The lower cell involves a cooling-driven densification of 8.42.0Sv of Circumpolar Deep Water and Antarctic Bottom Water near the gyre's southern and western margins. The upper cell entails a freshening-driven conversion of 4.92.0Sv of Circumpolar Deep Water into lighter upper ocean waters within the gyre interior. The distinct role of salinity between the two cells stems from opposing salinity changes induced by sea ice production, meteoric sources, and admixture of fresh upper ocean waters in the lower cell, which contrasts with coherent reductions in salinity associated with sea ice melting and meteoric sources in the upper cell.</t>
  </si>
  <si>
    <t>[Garabato, Alberto C. Naveira; Zika, Jan D.] Univ Southampton, Natl Oceanog Ctr, Southampton, Hants, England; [Jullion, Loic] Aix Marseille Univ, CNRS INSU, IRD, MIO, Marseille, France; [Jullion, Loic] Univ Toulon &amp; Var, CNRS INSU, IRD, MIO, La Garde, France; [Brown, Peter J.; Bacon, Sheldon] Natl Oceanog Ctr, Southampton, Hants, England; [Holland, Paul R.; Meredith, Michael P.] British Antarctic Survey, Cambridge CB3 0ET, England</t>
  </si>
  <si>
    <t>NERC National Oceanography Centre; University of Southampton; Centre National de la Recherche Scientifique (CNRS); CNRS - National Institute for Earth Sciences &amp; Astronomy (INSU); Aix-Marseille Universite; Institut de Recherche pour le Developpement (IRD); Universite de Toulon; Institut de Recherche pour le Developpement (IRD); Aix-Marseille Universite; Centre National de la Recherche Scientifique (CNRS); CNRS - National Institute for Earth Sciences &amp; Astronomy (INSU); NERC National Oceanography Centre; UK Research &amp; Innovation (UKRI); Natural Environment Research Council (NERC); NERC British Antarctic Survey</t>
  </si>
  <si>
    <t>Garabato, ACN (corresponding author), Univ Southampton, Natl Oceanog Ctr, Southampton, Hants, England.</t>
  </si>
  <si>
    <t>acng@noc.soton.ac.uk</t>
  </si>
  <si>
    <t>Garabato, Alberto Naveira/AAQ-1114-2020; Bacon, Sheldon/B-1519-2013; Brown, Peter/AAN-4372-2020; Holland, Paul R/G-2796-2012; Jullion, Loic/B-3304-2011</t>
  </si>
  <si>
    <t>Garabato, Alberto Naveira/0000-0001-6071-605X; Bacon, Sheldon/0000-0002-2471-9373; Brown, Peter/0000-0002-1152-1114; Jullion, Loic/0000-0001-6269-6750; Meredith, Michael/0000-0002-7342-7756; Zika, Jan/0000-0003-3462-3559</t>
  </si>
  <si>
    <t>Natural Environment Research Council [NE/E01366X/1, NE/E013368/1]; Philip Leverhulme Prize; Royal Society; Wolfson Foundation; NERC Research Fellowship; Marie Sklodowska-Curie Fellowship [FP7-IEF-PEOPLE-2012]; NERC [NE/E01366X/1, NE/E013341/1, NE/E013368/1, NE/K012843/1, bas0100033, NE/E013538/1, NE/K013181/1] Funding Source: UKRI; Natural Environment Research Council [NE/K013181/1, NE/E01366X/1, NE/E013341/1, bas0100033, noc010012, NE/E013538/1, NE/E013368/1, NE/K012843/1] Funding Source: researchfish</t>
  </si>
  <si>
    <t>Natural Environment Research Council(UK Research &amp; Innovation (UKRI)Natural Environment Research Council (NERC)); Philip Leverhulme Prize(Leverhulme Trust); Royal Society(Royal Society); Wolfson Foundation; NERC Research Fellowship(UK Research &amp; Innovation (UKRI)Natural Environment Research Council (NERC)); Marie Sklodowska-Curie Fellowship; NERC(UK Research &amp; Innovation (UKRI)Natural Environment Research Council (NERC)); Natural Environment Research Council(UK Research &amp; Innovation (UKRI)Natural Environment Research Council (NERC))</t>
  </si>
  <si>
    <t>The ANDREX project was supported by the Natural Environment Research Council (NE/E01366X/1 and NE/E013368/1). A.C.N.G. acknowledges the support of a Philip Leverhulme Prize, the Royal Society, and the Wolfson Foundation; J.D.Z. that of a NERC Research Fellowship; and L.J. that of a Marie Sklodowska-Curie Fellowship (FP7-IEF-PEOPLE-2012). We are grateful to Dan Jones for providing the Southern Ocean State Estimate data used in Figure 1a.</t>
  </si>
  <si>
    <t>10.1002/2015GL066658</t>
  </si>
  <si>
    <t>WOS:000369014100037</t>
  </si>
  <si>
    <t>Hosking, JS; Orr, A; Bracegirdle, TJ; Turner, J</t>
  </si>
  <si>
    <t>Hosking, J. Scott; Orr, Andrew; Bracegirdle, Thomas J.; Turner, John</t>
  </si>
  <si>
    <t>Future circulation changes off West Antarctica: Sensitivity of the Amundsen Sea Low to projected anthropogenic forcing</t>
  </si>
  <si>
    <t>West Antarctica; CMIP5; Amundsen Sea Low; surface climate; greenhouse gases; temperature trends</t>
  </si>
  <si>
    <t>ROSS ICE SHELF; CLIMATE-CHANGE; ANNULAR MODE; CMIP5; VARIABILITY; MECHANISMS; SIMULATION; TRENDS; FLOW</t>
  </si>
  <si>
    <t>The Amundsen Sea Low (ASL) is a major driver of West Antarctic climate variability, with the potential to accelerate the loss of glacial ice. Using the 11 global climate models which most reliably simulate the seasonality in ASL location, we assess the ASL sensitivity to projected future changes using the CMIP5 historical (1951-2000) and representative concentration pathway experiment RCP8.5 (2051-2100). For the first time, we show that the future ASL will likely migrate poleward in summer (December, January, and February) and autumn (March, April, and May), and eastward in autumn and winter (June, July, and August). The autumn-winter changes drive colder southerly winds over the Ross Sea and warmer northerly winds toward the Antarctic Peninsula. This is consistent with recent trends in ERA-Interim reanalysis meridional winds (1979-2014) and reconstructed temperature (1957-2006), suggesting that the impact of anthropogenic forcing on the ASL is likely to play an important role on both past and future patterns of West Antarctic climate variability.</t>
  </si>
  <si>
    <t>[Hosking, J. Scott; Orr, Andrew; Bracegirdle, Thomas J.; Turner, John] British Antarctic Survey, NERC, Cambridge, England</t>
  </si>
  <si>
    <t>Hosking, JS (corresponding author), British Antarctic Survey, NERC, Cambridge, England.</t>
  </si>
  <si>
    <t>jask@bas.ac.uk</t>
  </si>
  <si>
    <t>Hosking, Scott/0000-0002-3646-3504; Bracegirdle, Thomas/0000-0002-8868-4739</t>
  </si>
  <si>
    <t>Natural Environment Research Council (NERC) [NE/K00445X/1]; Natural Environment Research Council [bas0100032, NE/K00445X/1] Funding Source: researchfish; NERC [bas0100032, NE/K00445X/1] Funding Source: UKRI</t>
  </si>
  <si>
    <t>Natural Environment Research Council (NERC)(UK Research &amp; Innovation (UKRI)Natural Environment Research Council (NERC)); Natural Environment Research Council(UK Research &amp; Innovation (UKRI)Natural Environment Research Council (NERC)); NERC(UK Research &amp; Innovation (UKRI)Natural Environment Research Council (NERC))</t>
  </si>
  <si>
    <t>This work was undertaken as part of the Polar Science for Planet Earth Programme of the British Antarctic Survey and funded by the Natural Environment Research Council (NERC) under grant NE/K00445X/1. We acknowledge the World Climate Research Programmes Working Group on Coupled Modelling, which is responsible for CMIP, and we thank the climate modeling groups for producing and making available their model output. For CMIP the U.S. Department of Energy's Program for Climate Model Diagnosis and Intercomparison provides coordinating support and led development of software infrastructure in partnership with the Global Organization for Earth System Science Portals. We acknowledge P. Hick for the development of the peak finding routine which forms part of SolarSoft (http://www.lmsal.com/solarsoft/). Many thanks are also given to T. Phillips, G. Marshall, P. Holland, and J. King for valuable discussions on this work.</t>
  </si>
  <si>
    <t>10.1002/2015GL067143</t>
  </si>
  <si>
    <t>WOS:000369014100043</t>
  </si>
  <si>
    <t>Vila, M; Costa, G; Angulo-Preckler, C; Sarda, R; Avila, C</t>
  </si>
  <si>
    <t>Vila, Mar; Costa, Gerard; Angulo-Preckler, Carlos; Sarda, Rafael; Avila, Conxita</t>
  </si>
  <si>
    <t>Contrasting views on Antarctic tourism: 'last chance tourism' or 'ambassadorship' in the last of the wild</t>
  </si>
  <si>
    <t>JOURNAL OF CLEANER PRODUCTION</t>
  </si>
  <si>
    <t>Tourism management; Antarctic tourism; Ambassadorship; Last chance tourism; New ecological paradigm scale; Sustainable tourism</t>
  </si>
  <si>
    <t>Some of the suggested critical issues for Antarctic tourism include the role played by tourists as the last chance to see the icecaps before they melt, or represent potential 'ambassadors' within IAATO's (International Association of Antarctica Tour Operators) scope for self-regulation. The study also addresses the question of whether 'ambassadorship' evolves in practice from 'last chance tourism' and how it evolves. The article urges Antarctic tourism stakeholders to maintain the integrity of the ecosystem while delivering social and economic value. We carried out in-depth interviews of stakeholders and in situ interviews of tourists visiting Antarctica, in order to explore their perceptions from an interdisciplinary perspective based on management and biology. A study of tourist and stakeholder opinions and a combination of the two methods provided a wide perspective on the 'ambassadorship' concept. Our findings reveal that the spontaneous trust characterising ambassadorship is far removed from the perception of tour operators. While a trip to Antarctica modifies the opinions of tourists, such changes in perspective are not always favourable to ecological practices. The ambassadorship role played by tourists visiting Antarctica is unclear. This is an exploratory study that develops the debate on whether tourists should be ambassadors for the Antarctic and points to the need for self-regulation to improve stakeholder engagement in protecting the continent. We suggest that a combination of new agreements for the protection of the territory, better planning, the use of management tools, and an improvement in some educational aspects of tourism may help protect Antarctica. (c) 2014 Elsevier Ltd. All rights reserved.</t>
  </si>
  <si>
    <t>[Vila, Mar] Univ Ramon Llull, Control &amp; Financial Management Dept, Res Grp Tourism Management, ESADE,GRUGET, E-08034 Barcelona, Spain; [Costa, Gerard] Univ Ramon Llull, Mkt Management Dept, Res Grp Tourism Management, ESADE,GRUGET, E-08034 Barcelona, Spain; [Angulo-Preckler, Carlos; Avila, Conxita] Univ Barcelona, Fac Biol, Dept Anim Biol Invertebrates, Biodivers Res Inst IrBIO, E-08007 Barcelona, Spain; [Sarda, Rafael] CSIC, CEAB, Barcelona, Spain</t>
  </si>
  <si>
    <t>Universitat Ramon Llull; Escuela Superior de Administracion y Direccion de Empresas (ESADE); Universitat Ramon Llull; Escuela Superior de Administracion y Direccion de Empresas (ESADE); University of Barcelona; Consejo Superior de Investigaciones Cientificas (CSIC); CSIC - Centre d'Estudis Avancats de Blanes (CEAB)</t>
  </si>
  <si>
    <t>Vila, M (corresponding author), Univ Ramon Llull, Control &amp; Financial Management Dept, Res Grp Tourism Management, ESADE,GRUGET, Ave Pedralbes 60-62, E-08034 Barcelona, Spain.</t>
  </si>
  <si>
    <t>mar.vila@esad.edu; gerard.costa@esade.edu; carlospreckler@hotmail.com; sarda@ceab.csic.es; conxita.avila@ub.edu</t>
  </si>
  <si>
    <t>Angulo_Preckler, Carlos/A-6456-2011; Avila, Conxita/B-9466-2008; VILA, MAR/I-1141-2015</t>
  </si>
  <si>
    <t>Angulo_Preckler, Carlos/0000-0001-9028-274X; Avila, Conxita/0000-0002-5489-8376;</t>
  </si>
  <si>
    <t>0959-6526</t>
  </si>
  <si>
    <t>1879-1786</t>
  </si>
  <si>
    <t>J CLEAN PROD</t>
  </si>
  <si>
    <t>J. Clean Prod.</t>
  </si>
  <si>
    <t>10.1016/j.jclepro.2014.12.061</t>
  </si>
  <si>
    <t>Green &amp; Sustainable Science &amp; Technology; Engineering, Environmental; Environmental Sciences</t>
  </si>
  <si>
    <t>Science &amp; Technology - Other Topics; Engineering; Environmental Sciences &amp; Ecology</t>
  </si>
  <si>
    <t>DA5SF</t>
  </si>
  <si>
    <t>WOS:000367862100016</t>
  </si>
  <si>
    <t>Zhao, X; Strong, K; Adams, C; Schofield, R; Yang, X; Richter, A; Friess, U; Blechschmidt, AM; Koo, JH</t>
  </si>
  <si>
    <t>Zhao, X.; Strong, K.; Adams, C.; Schofield, R.; Yang, X.; Richter, A.; Friess, U.; Blechschmidt, A. -M.; Koo, J. -H.</t>
  </si>
  <si>
    <t>A case study of a transported bromine explosion event in the Canadian high arctic</t>
  </si>
  <si>
    <t>bromine explosion; blowing snow; boundary layer</t>
  </si>
  <si>
    <t>ABSORPTION CROSS-SECTIONS; TROPOSPHERIC BRO COLUMNS; BOUNDARY-LAYER; OZONE DEPLETION; DOAS OBSERVATIONS; LONGPATH DOAS; MAX-DOAS; PART 1; MODEL; SNOW</t>
  </si>
  <si>
    <t>Ozone depletion events in the polar troposphere have been linked to extremely high concentrations of bromine, known as bromine explosion events (BEE). However, the optimum meteorological conditions for the occurrence of these events remain uncertain. On 4-5 April 2011, a combination of both blowing snow and a stable shallow boundary layer was observed during a BEE at Eureka, Canada (86.4 degrees W, 80.1 degrees N). Measurements made by a Multi-Axis Differential Optical Absorption Spectroscopy spectrometer were used to retrieve BrO profiles and partial columns. During this event, the near-surface BrO volume mixing ratio increased to similar to 20parts per trillion by volume, while ozone was depleted to similar to 1ppbv from the surface to 700m. Back trajectories and Global Ozone Monitoring Experiment-2 satellite tropospheric BrO columns confirmed that this event originated from a bromine explosion over the Beaufort Sea. From 30 to 31 March, meteorological data showed high wind speeds (24m/s) and elevated boundary layer heights (similar to 800m) over the Beaufort Sea. Long-distance transportation (similar to 1800km over 5days) to Eureka indicated strong recycling of BrO within the bromine plume. This event was generally captured by a global chemistry-climate model when a sea-salt bromine source from blowing snow was included. A model sensitivity study indicated that the surface BrO at Eureka was controlled by both local photochemistry and boundary layer dynamics. Comparison of the model results with both ground-based and satellite measurements confirmed that the BEE observed at Eureka was triggered by transport of enhanced BrO from the Beaufort Sea followed by local production/recycling under stable atmospheric shallow boundary layer conditions.</t>
  </si>
  <si>
    <t>[Zhao, X.; Strong, K.; Adams, C.; Koo, J. -H.] Univ Toronto, Dept Phys, Toronto, ON, Canada; [Adams, C.] Alberta Environm Monitoring Evaluat &amp; Reporting A, Edmonton, AB, Canada; [Schofield, R.] Univ Melbourne, Sch Earth Sci, Melbourne, Vic, Australia; [Schofield, R.] Univ New S Wales, ARC Ctr Excellence Climate Syst Sci, Sydney, NSW, Australia; [Yang, X.] British Antarctic Survey, Natl Environm Res Council, Cambridge CB3 0ET, England; [Richter, A.; Blechschmidt, A. -M.] Univ Bremen, Inst Environm Phys, D-28359 Bremen, Germany; [Friess, U.] Heidelberg Univ, Inst Environm Phys, Heidelberg, Germany</t>
  </si>
  <si>
    <t>University of Toronto; University of Melbourne; Melbourne Bioinformatics; University of New South Wales Sydney; ARC Centre of Excellence for Climate System Science; UK Research &amp; Innovation (UKRI); Natural Environment Research Council (NERC); NERC British Antarctic Survey; University of Bremen; Ruprecht Karls University Heidelberg</t>
  </si>
  <si>
    <t>Zhao, X (corresponding author), Univ Toronto, Dept Phys, Toronto, ON, Canada.</t>
  </si>
  <si>
    <t>xizhao@atmosp.physics.utoronto.ca</t>
  </si>
  <si>
    <t>Schofield, Robyn/A-4062-2010; Yang, Xin/AGB-3514-2022; Richter, Andreas/C-4971-2008; Strong, Kimberly/D-2563-2012</t>
  </si>
  <si>
    <t>Schofield, Robyn/0000-0002-4230-717X; Yang, Xin/0000-0002-3838-9758; Richter, Andreas/0000-0003-3339-212X; Strong, Kimberly/0000-0001-9947-1053; Friess, Udo/0000-0001-7176-7936</t>
  </si>
  <si>
    <t>CANDAC funding agency ARIF; CANDAC funding agency AIF/NSRIT; CANDAC funding agency CFCAS; CANDAC funding agency CFI; CANDAC funding agency CSA; CANDAC funding agency EC; CANDAC funding agency GOC-IPY; CANDAC funding agency INAC; CANDAC funding agency NSERC; CANDAC funding agency NSTP; CANDAC funding agency OIT; CANDAC funding agency ORF; CANDAC funding agency PCSP; CANDAC funding agency SEARCH; Canadian Arctic ACE Validation Campaigns (Co-PI Kaley Walker) - Canadian Space Agency; NSERC CREATE Training Program in Arctic Atmospheric Science; Australian Research Councils Centre of Excellence scheme [CE110001028]; Natural Environment Research Council [bas0100032] Funding Source: researchfish; NERC [bas0100032] Funding Source: UKRI</t>
  </si>
  <si>
    <t>CANDAC funding agency ARIF; CANDAC funding agency AIF/NSRIT; CANDAC funding agency CFCAS; CANDAC funding agency CFI; CANDAC funding agency CSA; CANDAC funding agency EC; CANDAC funding agency GOC-IPY; CANDAC funding agency INAC; CANDAC funding agency NSERC(Natural Sciences and Engineering Research Council of Canada (NSERC)); CANDAC funding agency NSTP; CANDAC funding agency OIT; CANDAC funding agency ORF; CANDAC funding agency PCSP; CANDAC funding agency SEARCH; Canadian Arctic ACE Validation Campaigns (Co-PI Kaley Walker) - Canadian Space Agency; NSERC CREATE Training Program in Arctic Atmospheric Science(European Research Council (ERC)); Australian Research Councils Centre of Excellence scheme(Australian Research Council); Natural Environment Research Council(UK Research &amp; Innovation (UKRI)Natural Environment Research Council (NERC)); NERC(UK Research &amp; Innovation (UKRI)Natural Environment Research Council (NERC))</t>
  </si>
  <si>
    <t>The authors gratefully acknowledge the support from CANDAC funding agencies: ARIF, AIF/NSRIT, CFCAS, CFI, CSA, EC, GOC-IPY, INAC, NSERC, NSTP, OIT, ORF, PCSP, and SEARCH. We thank CANDAC/PEARL PI James R. Drummond, PEARL site manager Pierre Fogal, the CANDAC operators, and Environment Canada Eureka Weather Station staff for logistical and operational support at Eureka. The spring 2011 PEARL-GBS measurements were also supported by the Canadian Arctic ACE Validation Campaigns (Co-PI Kaley Walker), which were funded by Canadian Space Agency. The PEARL-GBS and MMCR data are available from CANDAC (http://www.candac.ca). The ozonesonde and radiosonde data for this paper are available through the Canadian Arctic ACE Validation Campaigns (http://acebox.uwaterloo.ca/eureka/Eureka2011/). Any additional data may be obtained from Xiaoyi Zhao (email: xizhao@atmosp.physics.utoronto.ca). X. Zhao is partially supported by the NSERC CREATE Training Program in Arctic Atmospheric Science. R. Schofield received funding support for this work from the Australian Research Councils Centre of Excellence (CE110001028) scheme. Ozonesonde, radiosonde, and MMCR measurements were provided by David Tarasick, David Hudak, and Peter Rodriguez at Environment Canada. The QDOAS software and AMFs were provided by C. Fayt, F. Hendrick, and M. Van Roozendael at IASB-BIRA. Many thanks to Alexei Rozanov from IUP Bremen for providing the SCIATRAN radiative transfer model. We also want to thank Paul Telford and John Pyle at the University of Cambridge for supporting the UM-UKCA model integration. We thank the NSIDC, University of Colorado, the NOAA Air Resources Laboratory, and the ECMWF for providing data sets and models. NCEP Reanalysis data were provided by the NOAA/OAR/ESRL PSD, Boulder, Colorado.</t>
  </si>
  <si>
    <t>10.1002/2015JD023711</t>
  </si>
  <si>
    <t>DD3TH</t>
  </si>
  <si>
    <t>WOS:000369845300028</t>
  </si>
  <si>
    <t>Eaves, SR; Mackintosh, AN; Winckler, G; Schaefer, JM; Alloway, BV; Townsend, DB</t>
  </si>
  <si>
    <t>Eaves, Shaun R.; Mackintosh, Andrew N.; Winckler, Gisela; Schaefer, Joerg M.; Alloway, Brent V.; Townsend, Dougal B.</t>
  </si>
  <si>
    <t>A cosmogenic 3He chronology of late Quaternary glacier fluctuations in North Island, New Zealand (39°S)</t>
  </si>
  <si>
    <t>Cosmogenic He-3; Last Glacial Maximum; Last glacial cycle; Equilibrium line altitude; Tephrostratigraphy; New Zealand; Southern Hemisphere</t>
  </si>
  <si>
    <t>NUCLIDE PRODUCTION-RATES; EQUILIBRIUM-LINE ALTITUDES; SEA-SURFACE TEMPERATURES; TEPHRA MARKER BEDS; SOUTHERN ALPS; PARK VALLEY; CLIMATE SENSITIVITY; SCALING FACTORS; HELIUM ISOTOPE; TARARUA RANGE</t>
  </si>
  <si>
    <t>Mountain glaciers advance and retreat primarily in response to changes in climate. Establishing the timing and magnitude of mountain glacier fluctuations from geological records can thus help to identify the drivers and mechanisms of past climate change. In this study, we use cosmogenic He-3 surface exposure dating and tephrochronology to constrain the timing of past glaciation on Tongariro massif in central North Island, New Zealand (39 degrees S). Exposure ages from moraine boulders show that valley glaciation persisted between c. 30-18 ka, which coincides with the global Last Glacial Maximum. Reinterpretation of moraine tephrostratigraphy, using major element geochemistry analysis, shows that ice retreat and climatic amelioration at the last glacial termination was well underway prior to 14 ka. The equilibrium line altitude in central North Island, during the Last Glacial Maximum, was c. 1400-1550 m above sea level, which is c. 930-1080 m lower than present. Considering the uncertainties in the glacial reconstruction and temperature lapse rates, we estimate that this equilibrium line altitude lowering equates to a temperature depression of 5.6 +/- 1.1 degrees C, relative to present. Our mapping and surface exposure dating also show evidence for an earlier period of glaciation, of similar magnitude to the Last Glacial Maximum, which culminated prior to 57 ka, probably during Marine Isotope Stage 4. Good agreement between the timing and magnitude of glacier fluctuations in central North Island and the Southern Alps indicate a response to a common climatic forcing during the last glacial cycle. (C) 2015 Elsevier Ltd. All rights reserved.</t>
  </si>
  <si>
    <t>[Eaves, Shaun R.; Mackintosh, Andrew N.] Victoria Univ Wellington, Antarctic Res Ctr, POB 600, Wellington 6140, New Zealand; [Eaves, Shaun R.; Mackintosh, Andrew N.; Alloway, Brent V.] Victoria Univ Wellington, Sch Geog Environm &amp; Earth Sci, POB 600, Wellington 6140, New Zealand; [Winckler, Gisela; Schaefer, Joerg M.] Columbia Univ, Lamont Doherty Earth Observ, POB 1000, Palisades, NY 10964 USA; [Townsend, Dougal B.] GNS Sci, POB 30-368, Lower Hutt 5040, New Zealand</t>
  </si>
  <si>
    <t>Victoria University Wellington; Victoria University Wellington; Columbia University; GNS Science - New Zealand</t>
  </si>
  <si>
    <t>Eaves, SR (corresponding author), Victoria Univ Wellington, Antarctic Res Ctr, POB 600, Wellington 6140, New Zealand.</t>
  </si>
  <si>
    <t>shaun.eaves@vuw.ac.nz</t>
  </si>
  <si>
    <t>Mackintosh, Andrew/0000-0002-6430-4711; Eaves, Shaun/0000-0003-0444-631X</t>
  </si>
  <si>
    <t>Victoria University Doctoral Scholarship; VUW Faculty Strategic Research Grant; Antarctic Research Centre Endowed Development Fund; Lamont Climate Center; Corner Science and Educational Foundation; NSF-EAR [0823521]; Dept. of Conservation [DM-593774]; Directorate For Geosciences; Division Of Earth Sciences [0823521] Funding Source: National Science Foundation</t>
  </si>
  <si>
    <t>Victoria University Doctoral Scholarship; VUW Faculty Strategic Research Grant; Antarctic Research Centre Endowed Development Fund; Lamont Climate Center; Corner Science and Educational Foundation; NSF-EAR(National Science Foundation (NSF)); Dept. of Conservation; Directorate For Geosciences; Division Of Earth Sciences(National Science Foundation (NSF)NSF - Directorate for Geosciences (GEO))</t>
  </si>
  <si>
    <t>S.R.E. was supported by the Victoria University Doctoral Scholarship, a VUW Faculty Strategic Research Grant and the Antarctic Research Centre Endowed Development Fund. J.M.S. and G.W. acknowledge support by the Lamont Climate Center and the Corner Science and Educational Foundation as well as by the NSF-EAR award No. 0823521. Jenni Hopkins and Richard Jones assisted with fieldwork. Roseanne Schwartz, Linda Baker and Sascha Serno provided invaluable assistance with sample preparation and mass spectrometry. We also thank Fred Luiszer (University of Colorado) for major and trace element analyses. Permission for sample collection was granted by Dept. of Conservation contract DM-593774. This is LDEO contribution number 7947.</t>
  </si>
  <si>
    <t>JAN 15</t>
  </si>
  <si>
    <t>10.1016/j.quascirev.2015.11.004</t>
  </si>
  <si>
    <t>DC1DL</t>
  </si>
  <si>
    <t>WOS:000368956900004</t>
  </si>
  <si>
    <t>Pitulko, VV; Tikhonov, AN; Pavlova, EY; Nikolskiy, PA; Kuper, KE; Polozov, RN</t>
  </si>
  <si>
    <t>Pitulko, Vladimir V.; Tikhonov, Alexei N.; Pavlova, Elena Y.; Nikolskiy, Pavel A.; Kuper, Konstantin E.; Polozov, Roman N.</t>
  </si>
  <si>
    <t>Early human presence in the Arctic: Evidence from 45,000-year-old mammoth remains</t>
  </si>
  <si>
    <t>LAST GLACIAL MAXIMUM; LATE PLEISTOCENE; RUSSIAN-FEDERATION; TAIMYR PENINSULA; NORTHERN EURASIA; PALEOLITHIC SITE; YANA RHS; SIBERIA; CLIMATE; ENVIRONMENT</t>
  </si>
  <si>
    <t>Archaeological evidence for human dispersal through northern Eurasia before 40,000 years ago is rare. In west Siberia, the northernmost find of that age is located at 57 degrees N. Elsewhere, the earliest presence of humans in the Arctic is commonly thought to be circa 35,000 to 30,000 years before the present. A mammoth kill site in the central Siberian Arctic, dated to 45,000 years before the present, expands the populated area to almost 72 degrees N. The advancement of mammoth hunting probably allowed people to survive and spread widely across northernmost Arctic Siberia.</t>
  </si>
  <si>
    <t>[Pitulko, Vladimir V.] Russian Acad Sci, Inst Hist Mat Culture, St Petersburg 191186, Russia; [Tikhonov, Alexei N.] Russian Acad Sci, Inst Zool, St Petersburg 191186, Russia; [Pavlova, Elena Y.] Arctic &amp; Antarctic Res Inst, St Petersburg 199397, Russia; [Nikolskiy, Pavel A.] Russian Acad Sci, Inst Geol, Moscow 119017, Russia; [Kuper, Konstantin E.] Russian Acad Sci, Budker Inst Nucl Phys, Siberian Branch, Novosibirsk 630090, Russia; [Polozov, Roman N.] St Petersburg Pediat Med Univ, St Petersburg 194100, Russia</t>
  </si>
  <si>
    <t>Russian Academy of Sciences; Institute for the History of Material Culture, Russian Academy of Sciences; St. Petersburg Scientific Centre of the Russian Academy of Sciences; Russian Academy of Sciences; Zoological Institute of the Russian Academy of Sciences; Arctic &amp; Antarctic Research Institute; Russian Academy of Sciences; Geological Institute, Russian Academy of Sciences; Russian Academy of Sciences; Budker Institute of Nuclear Physics; Saint Petersburg State Pediatric Medical University</t>
  </si>
  <si>
    <t>Pitulko, VV (corresponding author), Russian Acad Sci, Inst Hist Mat Culture, 18 Dvortsovaya Naberezhnaya, St Petersburg 191186, Russia.</t>
  </si>
  <si>
    <t>pitulkov@gmail.com</t>
  </si>
  <si>
    <t>Pavlova, Elena/AAA-3291-2019; Nikolskiy, Pavel/JNT-4697-2023; Tikhonov, Alexei/G-7478-2016; Nikolskiy, Pavel A/C-5041-2012; Kuper, Konstantin E/Q-9399-2017; Pitulko, Vladimir/E-2200-2015; Pitulko, Vladimir/N-4009-2019</t>
  </si>
  <si>
    <t>Pitulko, Vladimir/0000-0001-5672-2756; Kuper, Konstantin/0000-0001-5017-6248; Pavlova, Elena/0000-0002-3010-6290; Tikhonov, Alexei/0000-0002-7227-5797</t>
  </si>
  <si>
    <t>Russian Foundation of Basic Research [13-06-12044]; Rock Foundation (New York, USA)</t>
  </si>
  <si>
    <t>Russian Foundation of Basic Research(Russian Foundation for Basic Research (RFBR)); Rock Foundation (New York, USA)</t>
  </si>
  <si>
    <t>We thank E. Solinder and A. Bystrov (SK weather station), the Taimyr Region administration, and Norilsk Nickel mining company. We are also grateful to P. Ivanov (photography); A. Mashezerskaya (drawings); V. Stegantseva (illustrations); N. Slobodina (translation); and N. Burova, A. Sementsov, and J. van der Plicht (radiocarbon dating). The SK mammoth remains are currently stored at the Zoological Institute, St. Petersburg, Russia. When the study ends, they will be moved to the Taimyr Regional Museum for permanent storage and display (Dudinka, Taimyr Autonomous District, Russia), and they can then be resampled if needed while a bulk sample of the organic deposit from the inside of the SK mammoth stays at the Zoological Institute in St. Petersburg. The Yana site materials and finds from the Bunge-Toll site are stored at the Institute for the History of Material Culture, St. Petersburg, Russia), as a part of the materials collected under the Zhokhov-Yana research project. All collected skeletal elements of the Kastyktakh mammoth are with the Ice Age Museum, Moscow, Russia. This project was supported by the Russian Foundation of Basic Research (grant Nr 13-06-12044 to V.V.P.); publication is supported by the Rock Foundation (New York, USA).</t>
  </si>
  <si>
    <t>10.1126/science.aad0554</t>
  </si>
  <si>
    <t>Science Citation Index Expanded (SCI-EXPANDED); Social Science Citation Index (SSCI); Arts &amp; Humanities Citation Index (A&amp;HCI)</t>
  </si>
  <si>
    <t>DA9AM</t>
  </si>
  <si>
    <t>WOS:000368098600037</t>
  </si>
  <si>
    <t>Leitner, J; Vollmer, C; Floss, C; Zipfel, J; Hoppe, P</t>
  </si>
  <si>
    <t>Leitner, Jan; Vollmer, Christian; Floss, Christine; Zipfel, Jutta; Hoppe, Peter</t>
  </si>
  <si>
    <t>Ancient stardust in fine-grained chondrule dust rims from carbonaceous chondrites</t>
  </si>
  <si>
    <t>carbonaceous chondrites; chondrule rims; Solar Nebula; NanoSIMS; circumstellar matter</t>
  </si>
  <si>
    <t>EARLY SOLAR-SYSTEM; AQUEOUS ALTERATION; SILICON-CARBIDE; NEBULAR ORIGIN; CO3 CHONDRITE; SPINEL GRAINS; PRESOLAR; CR; RICH; CM</t>
  </si>
  <si>
    <t>Carbonaceous chondrites are fragments from primitive parent asteroids, which represent some of the most primitive meteorites accessible for laboratory analysis and offer therefore the best opportunity to explore the chemical and physical conditions in the early Solar System. Here, we report the identification of presolar grains, which are circumstellar condensates that date back from before the formation of our Solar System, in fine-grained dust rims around chondrules in carbonaceous chondrites. Average presolar grain abundances in the rims of aqueously altered chondrites (petrologic type 2) are three times higher than in the respective interchondrule matrices, while for the most pristine specimens (petrologic type 3), the opposite is observed. The presence of these grains implies a nebular origin of the rim material, and gives evidence for differing alteration pathways for different reservoirs of fine-grained material found in primitive meteorites. Moreover, our findings indicate formation of the fine-grained rims in the solar nebula prior to parent-body accretion, giving support to accretionary scenarios for parent-bodies in the presence of dust-rimmed chondrules. (C) 2015 Elsevier B.V. All rights reserved.</t>
  </si>
  <si>
    <t>[Leitner, Jan; Hoppe, Peter] Max Planck Inst Chem, Particle Chem Dept, Hahn Meitner Weg 1, D-55128 Mainz, Germany; [Vollmer, Christian] Univ Munster, Inst Mineral, Correnstr 24, D-48149 Munster, Germany; [Floss, Christine] Washington Univ, Space Sci Lab, One Brookings Dr, St Louis, MO 63130 USA; [Floss, Christine] Washington Univ, Dept Phys, One Brookings Dr, St Louis, MO 63130 USA; [Zipfel, Jutta] Forschungsinst &amp; Nat Museum Senckenberg, Sekt Meteoritenforsch, Sendenberganlage 25, D-60325 Frankfurt, Germany</t>
  </si>
  <si>
    <t>Max Planck Society; University of Munster; Washington University (WUSTL); Washington University (WUSTL); Senckenberg Gesellschaft fur Naturforschung (SGN)</t>
  </si>
  <si>
    <t>Leitner, J (corresponding author), Max Planck Inst Chem, Particle Chem Dept, Hahn Meitner Weg 1, D-55128 Mainz, Germany.</t>
  </si>
  <si>
    <t>jan.leitner@mpic.de</t>
  </si>
  <si>
    <t>Hoppe, Peter/B-3032-2015; Leitner, Jan/A-7391-2015</t>
  </si>
  <si>
    <t>Hoppe, Peter/0000-0003-3681-050X; Leitner, Jan/0000-0003-3655-6273; Zipfel, Jutta/0000-0002-2087-5416</t>
  </si>
  <si>
    <t>DFG [SPP 1385, HO 2163/1-1, HO 2163/1-2, LE 3279/1-1, VO 1816/1-1]; NASA [NNX14AG25G]; NSF; NASA</t>
  </si>
  <si>
    <t>DFG(German Research Foundation (DFG)); NASA(National Aeronautics &amp; Space Administration (NASA)); NSF(National Science Foundation (NSF)); NASA(National Aeronautics &amp; Space Administration (NASA))</t>
  </si>
  <si>
    <t>We thank Elmar Groner for technical support on the NanoSIMS, Joachim Huth and Antje Sorowka for help with the SEM analyses, Dimitri Kuzmin for support on the Electron Microprobe, and Maren Muller and Michael Kappl from the Max Planck Institute for Polymer Research in Mainz, Germany, for preparation of the FIB lamellae analyzed in this study. J.L., P.H., J.Z. and C.V. acknowledge support by DFG through SPP 1385: The first ten million years of the solar system - a planetary materials approach (grants HO 2163/1-1&amp;2, LE 3279/1-1, VO 1816/1-1). The work at Washington University in St. Louis is funded by NASA grant NNX14AG25G (C.F.).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We acknowledge the constructive and careful reviews by three anonymous reviewers.</t>
  </si>
  <si>
    <t>10.1016/j.epsl.2015.11.028</t>
  </si>
  <si>
    <t>DB9XH</t>
  </si>
  <si>
    <t>WOS:000368870500012</t>
  </si>
  <si>
    <t>Berrocoso, M; Fernández-Ros, A; Prates, G; García, A; Kraus, S</t>
  </si>
  <si>
    <t>Berrocoso, M.; Fernandez-Ros, A.; Prates, G.; Garcia, A.; Kraus, S.</t>
  </si>
  <si>
    <t>Geodetic implications on block formation and geodynamic domains in the South Shetland Islands, Antarctic Peninsula</t>
  </si>
  <si>
    <t>Geodesy; Tectonic deformation; Geodynamic regions; South Shetland Islands; Antarctic Peninsula</t>
  </si>
  <si>
    <t>DECEPTION ISLAND; BRANSFIELD BASIN; EVOLUTION; VOLCANO; RIDGE; INSIGHTS; HISTORY; TRENCH; PACIFIC; STRAIT</t>
  </si>
  <si>
    <t>The South Shetland Islands archipelago is dynamically complex due to its tectonic surroundings. Most islands are part of a formerly active volcanic arc, although Deception, Penguin and Bridgeman Islands, as well as several submarine volcanoes, are characterized by active back-arc volcanism. Geodetic benchmarks were deployed and the movement of the lithosphere to which they were fixed measured to provide geodynamic insight for the South Shetland Islands, Bransfield Basin and Antarctic Peninsula area based on surface deformation. These benchmarks' data add spatial and temporal coverage to previous results. The results reveal two different geodynamic patterns, each confined to a distinct part of the South Shetland Islands archipelago. The inferred absolute horizontal velocity vectors for the benchmarks in the northeastern part of the archipelago are consistent with the opening of the Bransfield Basin, while benchmark vectors in the southwestern part of the archipelago are similar to those of the benchmarks on the Antarctic Peninsula. In between, Snow, Deception and Livingston Islands represent a transition zone. In this area, the horizontal velocity vectors relative to the Antarctic plate shift northeastwards from N to NW. Furthermore, the South Shetland Islands benchmarks, except for that at Gibbs (Elephant) Islands, indicate subsidence, which might be a consequence of the slab roll-back at the South Shetland Trench. In contrast, the uplift revealed by the Antarctic Peninsula benchmarks suggests glacial isostatic adjustment after the Larson B ice-shelf breakup. (C) 2015 Elsevier B.V. All rights reserved.</t>
  </si>
  <si>
    <t>[Berrocoso, M.; Fernandez-Ros, A.; Prates, G.] Univ Cadiz, Lab Astron Geodesia &amp; Cartog, Cadiz, Spain; [Prates, G.] Univ Lisbon, IGOT, Ctr Estudos Geog, P-1699 Lisbon, Portugal; [Prates, G.] Univ Algarve, Inst Super Engn, Faro, Portugal; [Garcia, A.] CSIC, CSIC UCM, Inst Geosci, Madrid, Spain; [Kraus, S.] NTGS, Darwin, NT, Australia</t>
  </si>
  <si>
    <t>Universidad de Cadiz; Consejo Superior de Investigaciones Cientificas (CSIC); CSIC-UCM - Instituto de Astronomia y Geodesia (IAG); Universidade de Lisboa; Universidade do Algarve; Complutense University of Madrid; Consejo Superior de Investigaciones Cientificas (CSIC); CSIC-UCM - Instituto de Geociencias (IGEO)</t>
  </si>
  <si>
    <t>Prates, G (corresponding author), Univ Algarve, Inst Super Engn, Faro, Portugal.</t>
  </si>
  <si>
    <t>gprates@ualg.pt</t>
  </si>
  <si>
    <t>Prates, Gonçalo/K-4018-2014; BERROCOSO, MANUEL/O-3818-2014</t>
  </si>
  <si>
    <t>Prates, Gonçalo/0000-0001-5797-9158; Kraus, Stefan/0000-0001-5017-9940; BERROCOSO, MANUEL/0000-0002-1878-9658</t>
  </si>
  <si>
    <t>Spanish Ministry of Education and Science; project Recognition and fast evaluation of volcanic activity on Deception Island (GEODESY)  [ANT1999-1430-E/HESP]; project Geodetic Studies on Deception Island: deformation models, geoid determination and Scientific Information System [REN2000-0551-C03-01/ANT]; project Acquisition of scientific software for GPS data processing [REN2000-2690-E]; project Geodetic Control of the volcanic activity of Deception Island [CGL2004-21547-E/ANT]; project Update of the Spanish Cartography for Deception Island [CGL2004-20408-E/ANT]; project Volcano-tectonic activity on Deception Island: geodetic, geophysical investigations and Remote Sensing on Deception Island and its surroundings [CGLl2005-07589-c03-01/ANT]; project Geodetic and Geothermal Researches, Time Serial Analysis and Volcanic Innovation in Antarctica (South Shetland Islands and Antarctic Peninsula (GEOTINANT)) [CTM2009-07251/ANT]</t>
  </si>
  <si>
    <t>Spanish Ministry of Education and Science(Spanish Government); project Recognition and fast evaluation of volcanic activity on Deception Island (GEODESY) ; project Geodetic Studies on Deception Island: deformation models, geoid determination and Scientific Information System; project Acquisition of scientific software for GPS data processing; project Geodetic Control of the volcanic activity of Deception Island; project Update of the Spanish Cartography for Deception Island; project Volcano-tectonic activity on Deception Island: geodetic, geophysical investigations and Remote Sensing on Deception Island and its surroundings; project Geodetic and Geothermal Researches, Time Serial Analysis and Volcanic Innovation in Antarctica (South Shetland Islands and Antarctic Peninsula (GEOTINANT))</t>
  </si>
  <si>
    <t>This geodetic research has been carried out with the support of the Spanish Ministry of Education and Science as part of the National Antarctic Program. The following research projects contributed directly to this work: Recognition and fast evaluation of volcanic activity on Deception Island (GEODESY) (ANT1999-1430-E/HESP); Geodetic Studies on Deception Island: deformation models, geoid determination and Scientific Information System (REN2000-0551-C03-01/ANT); Acquisition of scientific software for GPS data processing (REN2000-2690-E); Geodetic Control of the volcanic activity of Deception Island (CGL2004-21547-E/ANT); Update of the Spanish Cartography for Deception Island (CGL2004-20408-E/ANT); Volcano-tectonic activity on Deception Island: geodetic, geophysical investigations and Remote Sensing on Deception Island and its surroundings (CGLl2005-07589-c03-01/ANT); and Geodetic and Geothermal Researches, Time Serial Analysis and Volcanic Innovation in Antarctica (South Shetland Islands and Antarctic Peninsula (GEOTINANT) (CTM2009-07251/ANT)). Both the contributions of the Editors and of two anonymous reviewers are very much appreciated, which greatly helped to improve the manuscript.</t>
  </si>
  <si>
    <t>10.1016/j.tecto.2015.10.023</t>
  </si>
  <si>
    <t>DL6EE</t>
  </si>
  <si>
    <t>WOS:000375731600017</t>
  </si>
  <si>
    <t>Garenne, A; Beck, P; Montes-Hernandez, G; Brissaud, O; Schmitt, B; Quirico, E; Bonal, L; Beck, C; Howard, KT</t>
  </si>
  <si>
    <t>Garenne, A.; Beck, P.; Montes-Hernandez, G.; Brissaud, O.; Schmitt, B.; Quirico, E.; Bonal, L.; Beck, C.; Howard, K. T.</t>
  </si>
  <si>
    <t>Bidirectional reflectance spectroscopy of carbonaceous chondrites: Implications for water quantification and primary composition</t>
  </si>
  <si>
    <t>Meteorites; Asteroids; IR spectroscopy; Mineralogy</t>
  </si>
  <si>
    <t>INSOLUBLE ORGANIC-MATTER; MODAL MINERALOGY; AQUEOUS ALTERATION; CLASS ASTEROIDS; CM; SURFACE; CI; METEORITES; EVOLUTION; ORIGIN</t>
  </si>
  <si>
    <t>In this study, we measured bidirectional reflectance spectra (0.5-4.0 mu m) of 24 CMs, five CRs, one Cl, one CV, and one C2 carbonaceous chondrites. These meteorites are known to have experienced an important variability in their relative degrees of aqueous alteration degree (Rubin et al. [2007]. Geochim. Cosmochim. Acta 71, 2361-2382; Howard et al. [2009]. Geochim. Cosmochim. Acta 73, 4576-4589; Howard et al. [2011]. Geochim. Cosmochim. Acta 75, 2735-2751; Alexander et al. [2013]. Geochim. Cosmochim. Acta 123, 244-260). These measurements were performed on meteorite powders inside an environmental cell under a primary vacuum and heated at 60 degrees C in order to minimize adsorbed terrestrial water. This protocol allows controlling of atmospheric conditions (i.e. humidity) in order to avoid contamination by terrestrial water. We discuss various spectral metrics (e.g. reflectance, band depth, single-scattering albedo,...) in the light of recent bulk composition characterization (Howard et al. [2009]. Geochim. Cosmochim. Acta 73, 4576-4589; Howard et al. [2015]. Geochim. Cosmochim. Acta 149, 206-222; Alexander et al. [2012]. Science 337, 721; Beck et al. [2014]. Icarus 229, 263-277; Garenne et al. [2014]. Geochim. Cosmochim. Acta 137, 93-112). This study reveals variability of reflectance among meteorite groups. The reflectance is not correlated with carbon or hydrogen abundance neither with measured grain size distribution. We suggest that it is rather controlled by the nature of accreted components, in particular the initial matrix/chondrule proportion. Band depth, integrated band depth, mean optical path length, normalized optical path length, effective single-particle absorption thickness were calculated on the so called 3-mu m band for reflectance spectra and for single scattering albedo spectra. They were compared with hydrated phase proportions from previous study on the same meteorites by thermogravimetric analyses and infrared spectroscopy in transmission. We find that normalized optical path length (NOPL) is the most appropriate to quantify water abundance, with an absolute error of about 5 wt.%. These datasets also reveal a variability of the band shape between 2.8 and 2.9 mu m, which is interpreted as reflecting variation in the chemical composition and structure of phyllosilicates. This chemical variation could also be used to quantify the aqueous alteration degree between meteorite groups. The combination of reflectance at 2 mu m and the depth of 3-mu m band can be combined, to classify carbonaceous chondrites in reflectance in term of primary composition (e.g. matrix/chondrule ratio, carbon content) and secondary processes (e.g. aqueous alteration, thermal metamorphism). This could be used to decipher the nature of aqueous alteration in C-complex asteroids. (C) 2015 Elsevier Inc. All rights reserved.</t>
  </si>
  <si>
    <t>[Garenne, A.; Beck, P.; Brissaud, O.; Schmitt, B.; Quirico, E.; Bonal, L.] Univ Grenoble Alpes, IPAG, F-38000 Grenoble, France; [Garenne, A.; Beck, P.; Brissaud, O.; Schmitt, B.; Quirico, E.; Bonal, L.] CNRS, IPAG, F-38000 Grenoble, France; [Montes-Hernandez, G.] Univ Grenoble Alpes, ISTerre, F-38000 Grenoble, France; [Montes-Hernandez, G.] CNRS, ISTerre, F-38000 Grenoble, France; [Montes-Hernandez, G.] IRD, ISTerre, F-38000 Grenoble, France; [Montes-Hernandez, G.] IFSTTAR, ISTerre, F-38000 Grenoble, France; [Beck, C.] Univ Savoie Mt Blanc, CNRS ISTerre, F-73376 Le Bourget Du Lac, France; [Howard, K. T.] CUNY, Kingsborough Community Coll, New York, NY 11235 USA; [Howard, K. T.] Amer Museum Nat Hist, Dept Earth &amp; Planetary Sci, New York, NY 10024 USA</t>
  </si>
  <si>
    <t>Institut de Planetologie et d'Astrophysique de Grenoble (IPAG); Communaute Universite Grenoble Alpes; Universite Grenoble Alpes (UGA); Institut de Planetologie et d'Astrophysique de Grenoble (IPAG); Centre National de la Recherche Scientifique (CNRS); Communaute Universite Grenoble Alpes; Universite Grenoble Alpes (UGA); Centre National de la Recherche Scientifique (CNRS); Institut de Recherche pour le Developpement (IRD); Universite Gustave-Eiffel; Universite Savoie Mont Blanc; Communaute Universite Grenoble Alpes; Universite Grenoble Alpes (UGA); Centre National de la Recherche Scientifique (CNRS); Institut de Recherche pour le Developpement (IRD); Universite Gustave-Eiffel; Universite Savoie Mont Blanc; Communaute Universite Grenoble Alpes; Universite Grenoble Alpes (UGA); Centre National de la Recherche Scientifique (CNRS); Institut de Recherche pour le Developpement (IRD); Universite Gustave-Eiffel; Universite Savoie Mont Blanc; Communaute Universite Grenoble Alpes; Universite Grenoble Alpes (UGA); Centre National de la Recherche Scientifique (CNRS); Institut de Recherche pour le Developpement (IRD); Universite Gustave-Eiffel; Universite Savoie Mont Blanc; Universite Savoie Mont Blanc; City University of New York (CUNY) System; American Museum of Natural History (AMNH)</t>
  </si>
  <si>
    <t>Garenne, A (corresponding author), Univ Grenoble Alpes, IPAG, F-38000 Grenoble, France.</t>
  </si>
  <si>
    <t>alexandre.garenne2@gmail.com</t>
  </si>
  <si>
    <t>Schmitt, Bernard/A-1064-2009; Montes-Hernandez, German/C-5570-2009; quirico, eric/K-9650-2013; Beck, Pierre/F-3149-2011</t>
  </si>
  <si>
    <t>Schmitt, Bernard/0000-0002-1230-6627; quirico, eric/0000-0003-2768-0694; BONAL, Lydie/0000-0002-0655-4034</t>
  </si>
  <si>
    <t>CNES; Programme National de Planetologie; Agence Nationale de la Recherche [ANR-10-JCJC-0505-01]; NASA Cosmochemistry Grant [NNX14AG27G]; Agence Nationale de la Recherche (ANR) [ANR-10-JCJC-0505] Funding Source: Agence Nationale de la Recherche (ANR)</t>
  </si>
  <si>
    <t>CNES(Centre National D'etudes Spatiales); Programme National de Planetologie; Agence Nationale de la Recherche(Agence Nationale de la Recherche (ANR)); NASA Cosmochemistry Grant; Agence Nationale de la Recherche (ANR)(Agence Nationale de la Recherche (ANR))</t>
  </si>
  <si>
    <t>The Meteorite Working Group and the Antarctic Meteorite Research Program are acknowledged for providing the samples. Funding and support from CNES, the Programme National de Planetologie as well as Grant ANR-10-JCJC-0505-01 from the Agence Nationale de la Recherche are acknowledged. KTH was supported by NASA Cosmochemistry Grant NNX14AG27G.</t>
  </si>
  <si>
    <t>10.1016/j.icarus.2015.09.005</t>
  </si>
  <si>
    <t>CW7AM</t>
  </si>
  <si>
    <t>WOS:000365150300014</t>
  </si>
  <si>
    <t>Meise, K; von Engelhardt, N; Forcada, J; Hoffman, JI</t>
  </si>
  <si>
    <t>Meise, Kristine; von Engelhardt, Nikolaus; Forcada, Jaume; Hoffman, Joseph Ivan</t>
  </si>
  <si>
    <t>Offspring Hormones Reflect the Maternal Prenatal Social Environment: Potential for Foetal Programming?</t>
  </si>
  <si>
    <t>ANTARCTIC FUR-SEAL; HAIR CORTISOL CONCENTRATION; MALE REPRODUCTIVE SUCCESS; PITUITARY-ADRENAL AXIS; ARCTOCEPHALUS-GAZELLA; MATING SYSTEMS; PUP MORTALITY; STRESS; BEHAVIOR; DENSITY</t>
  </si>
  <si>
    <t>Females of many species adaptively program their offspring to predictable environmental conditions, a process that is often mediated by hormones. Laboratory studies have shown, for instance, that social density affects levels of maternal cortisol and testosterone, leading to fitness-relevant changes in offspring physiology and behaviour. However, the effects of social density remain poorly understood in natural populations due to the difficulty of disentangling confounding influences such as climatic variation and food availability. Colonially breeding marine mammals offer a unique opportunity to study maternal effects in response to variable colony densities under similar ecological conditions. We therefore quantified maternal and offspring hormone levels in 84 Antarctic fur seals (Arctocephalus gazella) from two closely neighbouring colonies of contrasting density. Hair samples were used as they integrate hormone levels over several weeks or months and therefore represent in utero conditions during foetal development. We found significantly higher levels of cortisol and testosterone (both P &lt; 0.001) in mothers from the high density colony, reflecting a more stressful and competitive environment. In addition, offspring testosterone showed a significant positive correlation with maternal cortisol (P &lt; 0.05). Although further work is needed to elucidate the potential consequences for offspring fitness, these findings raise the intriguing possibility that adaptive foetal programming might occur in fur seals in response to the maternal social environment. They also lend support to the idea that hormonally mediated maternal effects may depend more strongly on the maternal regulation of androgen rather than cortisol levels.</t>
  </si>
  <si>
    <t>[Meise, Kristine; von Engelhardt, Nikolaus; Hoffman, Joseph Ivan] Univ Bielefeld, Dept Anim Behav, D-33615 Bielefeld, Germany; [Forcada, Jaume] British Antarctic Survey, Cambridge CB3 0ET, England</t>
  </si>
  <si>
    <t>University of Bielefeld; UK Research &amp; Innovation (UKRI); Natural Environment Research Council (NERC); NERC British Antarctic Survey</t>
  </si>
  <si>
    <t>Meise, K (corresponding author), Univ Bielefeld, Dept Anim Behav, Morgenbreede 45, D-33615 Bielefeld, Germany.</t>
  </si>
  <si>
    <t>kristine.meise@googlemail.com</t>
  </si>
  <si>
    <t>von Engelhardt, Nikolaus/B-6730-2008; Forcada, Jaume/GYU-0677-2022; Hoffman, Joseph/K-7725-2012</t>
  </si>
  <si>
    <t>von Engelhardt, Nikolaus/0000-0003-4971-6408; Hoffman, Joseph/0000-0001-5895-8949</t>
  </si>
  <si>
    <t>Marie Curie FP7-Reintegration-Grant within the 7th European Community Framework Programme [PCIG-GA-2011-303618]; Deutsche Forschungsgemeinschaft standard grant [HO 5122/3-1]; Career Bridge Doctorate - Bielefeld Young Researchers' Fund; Deutsche Forschungsgemeinschaft; Open Access Publication Funds of Bielefeld University; NERC [bas0100035] Funding Source: UKRI; Natural Environment Research Council [bas0100035] Funding Source: researchfish</t>
  </si>
  <si>
    <t>Marie Curie FP7-Reintegration-Grant within the 7th European Community Framework Programme(European Union (EU)); Deutsche Forschungsgemeinschaft standard grant(German Research Foundation (DFG)); Career Bridge Doctorate - Bielefeld Young Researchers' Fund; Deutsche Forschungsgemeinschaft(German Research Foundation (DFG)); Open Access Publication Funds of Bielefeld University; NERC(UK Research &amp; Innovation (UKRI)Natural Environment Research Council (NERC)); Natural Environment Research Council(UK Research &amp; Innovation (UKRI)Natural Environment Research Council (NERC))</t>
  </si>
  <si>
    <t>This field work on Bird Island was supported by the Natural Environment Research Council. The laboratory work was supported by a Marie Curie FP7-Reintegration-Grant within the 7th European Community Framework Programme (grant number: PCIG-GA-2011-303618) and a Deutsche Forschungsgemeinschaft standard grant (grant number: HO 5122/3-1) awarded to J.I.H. K.M. was funded by the Career Bridge Doctorate - Postdoc stipend of the Bielefeld Young Researchers' Fund. The authors acknowledge support for the publication fee by the Deutsche Forschungsgemeinschaft and the Open Access Publication Funds of Bielefeld University. The funders had no role in study design, data collection and analysis, decision to publish, or preparation of the manuscript.; This work contributes to the Ecosystems project of the British Antarctic Survey, Natural Environment Research Council, and part of the Polar Science for Planet Earth Programme. We acknowledge support for the publication fee by the Deutsche Forschungsgemeinschaft and the Open Access Publication Funds of Bielefeld University. We are also grateful to Mick Mackey and Jonathan Ashburner who helped with the fieldwork at Bird Island. Finally, we want to thank Kathrin Engel who helped with laboratory work and Luke Eberhart-Phillips for preparing the map of the two study colonies.</t>
  </si>
  <si>
    <t>JAN 13</t>
  </si>
  <si>
    <t>e0145352</t>
  </si>
  <si>
    <t>10.1371/journal.pone.0145352</t>
  </si>
  <si>
    <t>DA8CX</t>
  </si>
  <si>
    <t>WOS:000368033100013</t>
  </si>
  <si>
    <t>Zhang, GY; Wang, J; Tang, PY; Jia, MH; Chen, J; Dong, SC; Jiang, FX; Wu, WQ; Liu, JJ; Zhang, HF</t>
  </si>
  <si>
    <t>Zhang, Guang-yu; Wang, Jian; Tang, Peng-yi; Jia, Ming-hao; Chen, Jie; Dong, Shu-cheng; Jiang, Fengxin; Wu, Wen-qing; Liu, Jia-jing; Zhang, Hong-fei</t>
  </si>
  <si>
    <t>An autonomous observation and control system based on EPICS and RTS2 for Antarctic telescopes</t>
  </si>
  <si>
    <t>MONTHLY NOTICES OF THE ROYAL ASTRONOMICAL SOCIETY</t>
  </si>
  <si>
    <t>methods: observational</t>
  </si>
  <si>
    <t>For unattended telescopes in Antarctic, the remote operation, autonomous observation and control are essential. An EPICS-(Experimental Physics and Industrial Control System) and RTS2-(Remote Telescope System, 2nd Version) based autonomous observation and control system with remoted operation is introduced in this paper. EPICS is a set of open source software tools, libraries and applications developed collaboratively and used worldwide to create distributed soft real-time control systems for scientific instruments while RTS2 is an open source environment for control of a fully autonomous observatory. Using the advantage of EPICS and RTS2, respectively, a combined integrated software framework for autonomous observation and control is established that use RTS2 to fulfil the function of astronomical observation and use EPICS to fulfil the device control of telescope. A command and status interface for EPICS and RTS2 is designed to make the EPICS IOC (Input/Output Controller) components integrate to RTS2 directly. For the specification and requirement of control system of telescope in Antarctic, core components named Executor and Auto-focus for autonomous observation is designed and implemented with remote operation user interface based on browser-server mode. The whole system including the telescope is tested in Lijiang Observatory in Yunnan Province for practical observation to complete the autonomous observation and control, including telescope control, camera control, dome control, weather information acquisition with the local and remote operation.</t>
  </si>
  <si>
    <t>[Zhang, Guang-yu; Wang, Jian; Tang, Peng-yi; Jia, Ming-hao; Chen, Jie; Dong, Shu-cheng; Jiang, Fengxin; Wu, Wen-qing; Liu, Jia-jing; Zhang, Hong-fei] Univ Sci &amp; Technol China, Dept Modern Phys, State Key Lab Technol Particle Detect &amp; Elect, Hefei 230026, Peoples R China</t>
  </si>
  <si>
    <t>Chinese Academy of Sciences; University of Science &amp; Technology of China, CAS</t>
  </si>
  <si>
    <t>Zhang, GY (corresponding author), Univ Sci &amp; Technol China, Dept Modern Phys, State Key Lab Technol Particle Detect &amp; Elect, Hefei 230026, Peoples R China.</t>
  </si>
  <si>
    <t>zguangyu@mail.ustc.edu.cn; wangjian@ustc.edu.cn</t>
  </si>
  <si>
    <t>WANG, Jian/B-8138-2013; Feng, Jiashi/AGX-6209-2022; Zhao, Ling/JHU-0501-2023; zhang, shuai/IVU-7877-2023; JIANG, Feng/HTP-2862-2023; Zhang, Miao/JXY-8985-2024</t>
  </si>
  <si>
    <t>Zhao, Ling/0000-0001-7155-034X;</t>
  </si>
  <si>
    <t>BSST project; Fundamental Research Funds for the Central Universities; National Natural Science Funds of China [11178020, 11275197]</t>
  </si>
  <si>
    <t>BSST project; Fundamental Research Funds for the Central Universities(Fundamental Research Funds for the Central Universities); National Natural Science Funds of China(National Natural Science Foundation of China (NSFC))</t>
  </si>
  <si>
    <t>We acknowledge the financial support from BSST project, the Fundamental Research Funds for the Central Universities, National Natural Science Funds of China under grant no.: 11178020, 11275197.</t>
  </si>
  <si>
    <t>0035-8711</t>
  </si>
  <si>
    <t>1365-2966</t>
  </si>
  <si>
    <t>MON NOT R ASTRON SOC</t>
  </si>
  <si>
    <t>Mon. Not. Roy. Astron. Soc.</t>
  </si>
  <si>
    <t>JAN 11</t>
  </si>
  <si>
    <t>10.1093/mnras/stv2299</t>
  </si>
  <si>
    <t>DA7TN</t>
  </si>
  <si>
    <t>WOS:000368007100038</t>
  </si>
  <si>
    <t>Carroll, EL; Fewster, RM; Childerhouse, SJ; Patenaude, NJ; Boren, L; Baker, CS</t>
  </si>
  <si>
    <t>Carroll, E. L.; Fewster, R. M.; Childerhouse, S. J.; Patenaude, N. J.; Boren, L.; Baker, C. S.</t>
  </si>
  <si>
    <t>First Direct Evidence for Natal Wintering Ground Fidelity and Estimate of Juvenile Survival in the New Zealand Southern Right Whale Eubalaena australis</t>
  </si>
  <si>
    <t>CAPTURE-RECAPTURE; MICROSATELLITE LOCI; HUMPBACK WHALES; PHOTOGRAPHIC IDENTIFICATION; DEMOGRAPHIC PARAMETERS; GENOTYPING ERRORS; MODEL SELECTION; BIOPSY SYSTEM; MARK; AMPLIFICATION</t>
  </si>
  <si>
    <t>Juvenile survival and recruitment can be more sensitive to environmental, ecological and anthropogenic factors than adult survival, influencing population-level processes like recruitment and growth rate in long-lived, iteroparous species such as southern right whales. Conventionally, Southern right whales are individually identified using callosity patterns, which do not stabilise until 6-12 months, by which time the whale has left its natal wintering grounds. Here we use DNA profiling of skin biopsy samples to identify individual Southern right whales from year of birth and document their return to the species' primary wintering ground in New Zealand waters, the Subantarctic Auckland Islands. We find evidence of natal fidelity to the New Zealand wintering ground by the recapture of 15 of 57 whales, first sampled in year of birth and available for subsequent recapture, during winter surveys to the Auckland Islands in 1995-1998 and 2006-2009. Four individuals were recaptured at the ages of 9 to 11, including two females first sampled as calves in 1998 and subsequently resampled as cows with calves in 2007. Using these capture-recapture records of known-age individuals, we estimate changes in survival with age using Cormack-Jolly-Seber models. Survival is modelled using discrete age classes and as a continuous function of age. Using a bootstrap method to account for uncertainty in model selection and fitting, we provide the first direct estimate of juvenile survival for this population. Our analyses indicate a high annual apparent survival for juveniles at between 0.87 (standard error (SE) 0.17, to age 1) and 0.95 (SE 0.05: ages 2-8). Individual identification by DNA profiling is an effective method for long-term demographic and genetic monitoring, particularly in animals that change identifiable features as they develop or experience tag loss over time.</t>
  </si>
  <si>
    <t>[Carroll, E. L.; Baker, C. S.] Univ Auckland, Sch Biol Sci, Auckland 1, New Zealand; [Carroll, E. L.] Univ St Andrews, Scottish Oceans Inst, St Andrews, Fife, Scotland; [Fewster, R. M.] Univ Auckland, Dept Stat, Auckland 1, New Zealand; [Childerhouse, S. J.] Blue Planet Marine, Hobart, Tas, Australia; [Patenaude, N. J.] Collegial Int St Anne, Montreal, PQ, Canada; [Boren, L.] New Zealand Dept Conservat, Wellington, New Zealand; [Baker, C. S.] Oregon State Univ, Hatfield Marine Sci Ctr, Marine Mammal Inst, Newport, OR USA; [Baker, C. S.] Oregon State Univ, Hatfield Marine Sci Ctr, Dept Fisheries &amp; Wildlife, Newport, OR USA</t>
  </si>
  <si>
    <t>University of Auckland; University of St Andrews; University of Auckland; Oregon State University; Oregon State University</t>
  </si>
  <si>
    <t>Carroll, EL (corresponding author), Univ Auckland, Sch Biol Sci, Auckland 1, New Zealand.</t>
  </si>
  <si>
    <t>elc6@st-andrews.ac.uk</t>
  </si>
  <si>
    <t>Carroll, Emma/U-9133-2019</t>
  </si>
  <si>
    <t>Carroll, Emma/0000-0003-3193-7288; Fewster, Rachel/0000-0002-4384-978X</t>
  </si>
  <si>
    <t>Whale and Dolphin Conservation Society; U.S. Department of State (Program for Cooperative US/New Zealand Antarctic Research); Auckland University Research Council; New Zealand Marsden Fund; Winifred Violet Scott Estate Research Grant Fund; Australian Antarctic Division; Marine Conservation Action Fund; Blue Planet Marine New Zealand Ltd; Holsworth Wildlife Research endowment; New Zealand Ministry of Foreign Affairs; New Zealand Department of Conservation (DOC); South Pacific Whale Research Consortium; National Geographic Society; Brian Skerry Photography; Heseltine Trust; DOC; Tertiary Education Commission Top Achiever Scholarship; School of Biological Sciences, University of Auckland; Blue Planet Marine; OMV New Zealand Ltd Scholarship</t>
  </si>
  <si>
    <t>Whale and Dolphin Conservation Society; U.S. Department of State (Program for Cooperative US/New Zealand Antarctic Research); Auckland University Research Council; New Zealand Marsden Fund(Royal Society of New ZealandMarsden Fund (NZ)); Winifred Violet Scott Estate Research Grant Fund; Australian Antarctic Division; Marine Conservation Action Fund; Blue Planet Marine New Zealand Ltd; Holsworth Wildlife Research endowment; New Zealand Ministry of Foreign Affairs; New Zealand Department of Conservation (DOC); South Pacific Whale Research Consortium; National Geographic Society(National Geographic Society); Brian Skerry Photography; Heseltine Trust; DOC; Tertiary Education Commission Top Achiever Scholarship; School of Biological Sciences, University of Auckland(UK Research &amp; Innovation (UKRI)Biotechnology and Biological Sciences Research Council (BBSRC)); Blue Planet Marine; OMV New Zealand Ltd Scholarship</t>
  </si>
  <si>
    <t>The 1995-1998 Auckland Islands field trips were funded by the Whale and Dolphin Conservation Society, the U.S. Department of State (Program for Cooperative US/New Zealand Antarctic Research), the Auckland University Research Council, and the New Zealand Marsden Fund. The 2006-2009 field seasons were funded by a Winifred Violet Scott Estate Research Grant Fund, the Australian Antarctic Division, the Marine Conservation Action Fund, Blue Planet Marine New Zealand Ltd, Holsworth Wildlife Research endowment, New Zealand Ministry of Foreign Affairs, New Zealand Department of Conservation (DOC), South Pacific Whale Research Consortium, the National Geographic Society, and Brian Skerry Photography. Lab work was funded by the New Zealand Marsden Fund, DOC, and the Heseltine Trust. E. Carroll was supported by a Tertiary Education Commission Top Achiever Scholarship, an OMV New Zealand Ltd Scholarship and the School of Biological Sciences, University of Auckland. The funders had no role in study design, data collection and analysis, decision to publish, or preparation of the manuscript. The funder Blue Planet Marine provided support in the form of salary for authors SJC, but did not have any additional role in the study design, data collection and analysis, decision to publish, or preparation of the manuscript. The specific roles of these authors are articulated in the 'author contributions' section.</t>
  </si>
  <si>
    <t>e0146590</t>
  </si>
  <si>
    <t>10.1371/journal.pone.0146590</t>
  </si>
  <si>
    <t>DA6CA</t>
  </si>
  <si>
    <t>WOS:000367888100107</t>
  </si>
  <si>
    <t>Hilchenbach, M; Kissel, J; Langevin, Y; Briois, C; von Hoerner, H; Koch, A; Schulz, R; Silén, J; Altwegg, K; Colangeli, L; Cottin, H; Engrand, C; Fischer, H; Glasmachers, A; Grün, E; Haerendel, G; Henkel, H; Höfner, H; Hornung, K; Jessberger, EK; Lehto, H; Lehto, K; Raulin, F; Le Roy, L; Rynö, J; Steiger, W; Stephan, T; Thirkell, L; Thomas, R; Torkar, K; Varmuza, K; Wanczek, KP; Altobelli, N; Baklouti, D; Bardyn, A; Fray, N; Krüger, H; Ligier, N; Lin, Z; Martin, P; Merouane, S; Orthous-Daunay, FR; Paquette, J; Revillet, C; Siljeström, S; Stenzel, O; Zaprudin, B</t>
  </si>
  <si>
    <t>Hilchenbach, M.; Kissel, J.; Langevin, Y.; Briois, C.; von Hoerner, H.; Koch, A.; Schulz, R.; Silen, J.; Altwegg, K.; Colangeli, L.; Cottin, H.; Engrand, C.; Fischer, H.; Glasmachers, A.; Gruen, E.; Haerendel, G.; Henkel, H.; Hoefner, H.; Hornung, K.; Jessberger, E. K.; Lehto, H.; Lehto, K.; Raulin, F.; Le Roy, L.; Ryno, J.; Steiger, W.; Stephan, T.; Thirkell, L.; Thomas, R.; Torkar, K.; Varmuza, K.; Wanczek, K. -P.; Altobelli, N.; Baklouti, D.; Bardyn, A.; Fray, N.; Krueger, H.; Ligier, N.; Lin, Z.; Martin, P.; Merouane, S.; Orthous-Daunay, F. R.; Paquette, J.; Revillet, C.; Siljestrom, S.; Stenzel, O.; Zaprudin, B.</t>
  </si>
  <si>
    <t>COMET 67P/CHURYUMOV-GERASIMENKO: CLOSE-UP ON DUST PARTICLE FRAGMENTS</t>
  </si>
  <si>
    <t>ASTROPHYSICAL JOURNAL LETTERS</t>
  </si>
  <si>
    <t>comets: general; comets: individual (67P/Churyumov-Gerasimenko); space vehicles: instruments</t>
  </si>
  <si>
    <t>INSOLUBLE ORGANIC-MATTER; STARDUST AEROGEL TRACKS; CENTRAL ANTARCTIC SNOW; HALLEY DUST; ELEMENTAL COMPOSITION; TERMINAL PARTICLES; ONBOARD ROSETTA; SOLAR-SYSTEM; 81P/WILD 2; GRAINS</t>
  </si>
  <si>
    <t>The COmetary Secondary Ion Mass Analyser instrument on board ESA's Rosetta mission has collected dust particles in the coma of comet 67P/Churyumov-Gerasimenko. During the early-orbit phase of the Rosetta mission, particles and particle agglomerates have been imaged and analyzed in the inner coma at distances between 100 km and 10 km off the cometary nucleus and at more than 3 AU from the Sun. We identified 585 particles of more than 14 mu m in size. The particles are collected at low impact speeds and constitute a sample of the dust particles in the inner coma impacting and fragmenting on the targets. The sizes of the particles range from 14 mu m up to submillimeter sizes and the differential dust flux size distribution is fitted with a power law exponent of -3.1. After impact, the larger particles tend to stick together, spread out or consist of single or a group of clumps, and the flocculent morphology of the fragmented particles is revealed. The elemental composition of the dust particles is heterogeneous and the particles could contain typical silicates like olivine and pyroxenes, as well as iron sulfides. The sodium to iron elemental ratio is enriched with regard to abundances in CI carbonaceous chondrites by a factor from similar to 1.5 to similar to 15. No clear evidence for organic matter has been identified. The composition and morphology of the collected dust particles appear to be similar to that of interplanetary dust particles.</t>
  </si>
  <si>
    <t>[Hilchenbach, M.; Kissel, J.; Fischer, H.; Krueger, H.; Merouane, S.; Paquette, J.; Stenzel, O.] Max Planck Inst Sonnensyst Forsch, Justus von Liebig Weg 3, D-37077 Gottingen, Germany; [Langevin, Y.; Baklouti, D.; Ligier, N.] Univ Paris 11, CNRS, Inst Astrophys Spatiale, Batiment 121, F-91405 Orsay, France; [Briois, C.; Thirkell, L.; Thomas, R.; Bardyn, A.; Martin, P.; Revillet, C.] Univ Orleans, CNRS, Lab Phys &amp; Chim Environm &amp; Espace, 3 Av Rech Sci, F-45071 Orleans, France; [von Hoerner, H.; Koch, A.; Henkel, H.] von Hoerner &amp; Sulger GmbH, Schlosspl 8, D-68723 Schwetzingen, Germany; [Schulz, R.; Colangeli, L.] ESA ESTEC, Postbus 299, NL-2200 AG Noordwijk, Netherlands; [Silen, J.; Ryno, J.] Finnish Meteorol Inst, Climate Res, Erik Palmenin Aukio 1,POB 503, FI-00101 Helsinki, Finland; [Altwegg, K.] Univ Bern, Inst Phys, Sidlerstr 5, CH-3012 Bern, Switzerland; [Cottin, H.; Raulin, F.; Bardyn, A.; Fray, N.] Univ Paris Est Creteil, CNRS, UMR 7583, LISA, F-94000 Creteil, France; [Cottin, H.; Raulin, F.; Bardyn, A.; Fray, N.] Univ Paris Diderot, Inst Pierre Simon Laplace, F-94000 Creteil, France; [Engrand, C.] Univ Paris Saclay, Univ Paris Sud, CNRS, UMR8609,CSNSM,IN2P3, Bat 104, F-91405 Orsay, France; [Glasmachers, A.] Univ Wuppertal, FB E, Lehrstuhl Messtech, Rainer Gruenter Str 21, D-42119 Wuppertal, Germany; [Gruen, E.] Max Planck Inst Kernphys, Saupfercheckweg 1, D-69115 Heidelberg, Germany; [Haerendel, G.; Hoefner, H.] Max Planck Inst Extraterr Phys, Giessenbachstr, D-85748 Garching, Germany; [Hornung, K.] Univ Bundeswehr LRT 7, Werner Heisenberg Weg 39, D-85577 Neubiberg, Germany; [Jessberger, E. K.] Univ Munster, Inst Planetol, Berghalde 31f, D-69126 Heidelberg, Germany; [Lehto, H.; Zaprudin, B.] Univ Turku, Dept Phys &amp; Astron, Tuorla Observ, Vaisalantie 20, FI-21500 Piikkio, Finland; [Lehto, K.] Univ Turku, Dept Biochem, Plant Mol Biol Lab, PharmaCity, Itainen Pitkakatu 4B 6 Krs, FI-20520 Turku, Finland; [Le Roy, L.] Univ Bern, CSH, Sidlerstr 5, CH-3012 Bern, Switzerland; [Steiger, W.] RC Seibersdorf Res GmbH, Business Field Aerosp Technol, A-2444 Seibersdorf, Austria; [Stephan, T.] Univ Chicago, Dept Geophys Sci, 5734 S Ellis Ave, Chicago, IL 60637 USA; [Torkar, K.] Austrian Acad Sci, Space Res Inst, Schmiedlstr 6, A-8042 Graz, Austria; [Varmuza, K.] Vienna Univ Technol, Inst Stat &amp; Math Methods Econ, Wiedner Hauptstr 7-105-6, A-1040 Vienna, Austria; [Wanczek, K. -P.] Univ Bremen, Inst Anorgan &amp; Phys Chem, Haferwende 12, D-28357 Bremen, Germany; [Altobelli, N.] ESA ESAC, Solar Syst Sci Operat Div, POB 78, E-28691 Madrid, Spain; [Lin, Z.] NCU, Grad Inst Astron, 300 Jhongda Rd, Jhongli 32001, Taoyuan County, Taiwan; [Orthous-Daunay, F. R.] Univ Grenoble Alpes, CNRS, UMR 5274, Inst Planetol &amp; Astrophys Grenoble, F-38000 Grenoble, France; [Siljestrom, S.] SP Tech Res Inst Sweden, Dept Chem Mat &amp; Surfaces, Box 857, SE-50115 Boras, Sweden</t>
  </si>
  <si>
    <t>Max Planck Society; Universite Paris Saclay; Centre National de la Recherche Scientifique (CNRS); Sorbonne Universite; Universite de Orleans; Centre National de la Recherche Scientifique (CNRS); European Space Agency; Finnish Meteorological Institute; University of Bern; Centre National de la Recherche Scientifique (CNRS); CNRS - National Institute for Earth Sciences &amp; Astronomy (INSU); Universite Paris Cite; Universite Gustave-Eiffel; Universite Paris-Est-Creteil-Val-de-Marne (UPEC); Universite Paris Saclay; Universite Paris Cite; Universite Paris Cite; Universite Paris Saclay; Centre National de la Recherche Scientifique (CNRS); CNRS - National Institute of Nuclear and Particle Physics (IN2P3); University of Wuppertal; Max Planck Society; Max Planck Society; Bundeswehr University Munich; University of Munster; University of Turku; Finland National Institute for Health &amp; Welfare; University of Turku; University of Bern; University of Chicago; Austrian Academy of Sciences; Technische Universitat Wien; University of Bremen; European Space Agency; National Central University; Communaute Universite Grenoble Alpes; Universite Grenoble Alpes (UGA); Centre National de la Recherche Scientifique (CNRS); CNRS - National Institute for Earth Sciences &amp; Astronomy (INSU); Institut de Planetologie et d'Astrophysique de Grenoble (IPAG); SP Technical Research Institute of Sweden</t>
  </si>
  <si>
    <t>Hilchenbach, M (corresponding author), Max Planck Inst Sonnensyst Forsch, Justus von Liebig Weg 3, D-37077 Gottingen, Germany.</t>
  </si>
  <si>
    <t>briois, christelle/B-2170-2015; Orthous-Daunay, François-Régis/HTN-3075-2023; Cottin, Hervé/M-6154-2019; Stephan, Thomas/C-1023-2008</t>
  </si>
  <si>
    <t>Cottin, Hervé/0000-0001-9170-5265; Stephan, Thomas/0000-0001-6377-8731; BRIOIS, Christelle/0000-0002-5616-0180; Merouane, Sihane/0000-0002-7746-2380; Orthous-Daunay, Francois-Regis/0000-0002-1170-0550; Baklouti, Donia/0000-0002-2754-7829; Altobelli, Nicolas/0000-0003-4244-6302; Le Roy, Lena/0000-0002-5984-6153; Fray, Nicolas/0000-0002-9140-5462; Stenzel, Oliver/0000-0001-7253-8588; Colangeli, Luigi/0000-0001-6801-9152; Siljestrom, Sandra/0000-0002-4975-6074</t>
  </si>
  <si>
    <t>national funding agency of Germany (DLR) [50 QP 1302]; national funding agency of France (CNES); national funding agency of Austria; national funding agency of Finland; ESA Technical Directorate; Austrian Science Fund (FWF) [P26871] Funding Source: Austrian Science Fund (FWF)</t>
  </si>
  <si>
    <t>national funding agency of Germany (DLR); national funding agency of France (CNES); national funding agency of Austria; national funding agency of Finland; ESA Technical Directorate; Austrian Science Fund (FWF)(Austrian Science Fund (FWF))</t>
  </si>
  <si>
    <t>COSIMA was built by a consortium led by the Max-Planck-Institut fur Extraterrestrische Physik, Garching, Germany in collaboration with Laboratoire de Physique et Chimie de l'Environnement et de l'Espace, Orleans, France, Institut d'Astrophysique Spatiale, CNRS/Universite Paris Sud, Orsay, France, Finnish Meteorological Institute, Helsinki, Finland, Universitat Wuppertal, Wuppertal, Germany, von Hoerner und Sulger GmbH, Schwetzingen, Germany, Universitat der Bundeswehr, Neubiberg, Germany, Institut fur Physik, Forschungszentrum Seibersdorf, Seibersdorf, Austria, Space Research Institute, Austrian Academy of Sciences, Graz, Austria and is led by the Max-Planck-Institut fur Sonnensystemforschung, Gottingen, Germany. The support of the national funding agencies of Germany (DLR, grant 50 QP 1302), France (CNES), Austria, Finland and the ESA Technical Directorate is gratefully acknowledged. We thank the Rosetta Science Ground Segment at ESAC, the Rosetta Mission Operations Centre at ESOC and the Rosetta Project at ESTEC for their outstanding work enabling the Science return of the Rosetta Mission. Rosetta is an ESA mission with contributions from its Member States and NASA. We thank the referee for having greatly improved the manuscript.</t>
  </si>
  <si>
    <t>2041-8205</t>
  </si>
  <si>
    <t>2041-8213</t>
  </si>
  <si>
    <t>ASTROPHYS J LETT</t>
  </si>
  <si>
    <t>Astrophys. J. Lett.</t>
  </si>
  <si>
    <t>JAN 10</t>
  </si>
  <si>
    <t>L32</t>
  </si>
  <si>
    <t>10.3847/2041-8205/816/2/L32</t>
  </si>
  <si>
    <t>DC7AK</t>
  </si>
  <si>
    <t>WOS:000369370500014</t>
  </si>
  <si>
    <t>Villaescusa, JA; Jorgensen, SE; Rochera, C; Velázquez, D; Quesada, A; Camacho, A</t>
  </si>
  <si>
    <t>Antonio Villaescusa, Juan; Jorgensen, Sven Erik; Rochera, Carlos; Velazquez, David; Quesada, Antonio; Camacho, Antonio</t>
  </si>
  <si>
    <t>Carbon dynamics modelization and biological community sensitivity to temperature in an oligotrophic freshwater Antarctic lake</t>
  </si>
  <si>
    <t>Maritime Antarctic lakes; Ecological model; Carbon flow; Bacterioplankton; Temperature sensitivity; Climate change</t>
  </si>
  <si>
    <t>SOUTH SHETLAND ISLANDS; BYERS PENINSULA; LIVINGSTON ISLAND; MICROBIAL DIVERSITY; VERTICAL STRUCTURE; CLIMATE-CHANGE; ECOSYSTEM; MATS; PLANKTON</t>
  </si>
  <si>
    <t>Lake Limnopolar, located in one of the areas on Earth experiencing the strongest local warming, has been studied as a maritime Antarctic lake model by the Limnopolar Research Team during the last decade. Data collected during this period revealed the existence of an important meteorological interannual variability in the area of Byers Peninsula. With the aim of increasing the knowledge of this ecosystem and its sensibility to climate change as a model ecosystem, as well as to calibrate the extent of the interannual variability, a carbon flow model was developed partly describing its microbial food web. This preliminary model aims to describe part of the carbon dynamics, especially for bacterioplankton and associated factors, in this maritime Antarctic lake highly affected by temperature increase linked to regional warming. To describe the system, the effects of the variation of different forcing functions influencing the carbon flow within the microbial community, like temperature and irradiance, were studied. Among the studied factors, the sensitivity analysis showed the strongest response of the model to temperature changes. Consumption rates of organic matter by bacterioplankton, and therefore its abundance in lake water, greatly increased when temperature rise was higher. However, the highly variable meteorology over years in such an extreme environment causes that our model may fit well for some years, but fails to describe the system in years with contrasting meteorological conditions. Despite this assumption, the model reveals that maritime Antarctic lakes are very sensitive to temperature changes. This response can be monitored using eco-exergy, which allows a description of the system complexity. Due to this temperature sensitivity, the warming occurring in this area would lead to significant changes in the carbon flow, and consequently on the abundance of plankton in these systems. (C) 2015 Elsevier B.V. All rights reserved.</t>
  </si>
  <si>
    <t>[Antonio Villaescusa, Juan; Rochera, Carlos; Camacho, Antonio] Univ Valencia, Cavanilles Inst Biodivers &amp; Evolutionary Biol, E-46100 Burjassot, Spain; [Antonio Villaescusa, Juan; Rochera, Carlos; Camacho, Antonio] Univ Valencia, Dept Microbiol &amp; Ecol, E-46100 Burjassot, Spain; [Jorgensen, Sven Erik] Univ Copenhagen, Sect Toxicol &amp; Environm Chem, Inst A, DK-2100 Copenhagen O, Denmark; [Velazquez, David; Quesada, Antonio] Univ Autonoma Madrid, Dept Biol, E-28049 Madrid, Spain</t>
  </si>
  <si>
    <t>University of Valencia; University of Valencia; University of Copenhagen; Autonomous University of Madrid</t>
  </si>
  <si>
    <t>Camacho, A (corresponding author), Univ Valencia, Cavanilles Inst Biodivers &amp; Evolutionary Biol, Edificio Invest,Campus Burjassot, E-46100 Burjassot, Spain.</t>
  </si>
  <si>
    <t>antonio.camacho@uv.es</t>
  </si>
  <si>
    <t>Rochera, Carlos/M-2932-2014; Velazquez, David/M-2309-2017; Camacho, Antonio/I-3417-2015; Quesada, Antonio/L-2430-2013</t>
  </si>
  <si>
    <t>Rochera, Carlos/0000-0002-8294-4755; Velazquez, David/0000-0002-4127-8370; Camacho, Antonio/0000-0003-0841-2010; Quesada, Antonio/0000-0002-8913-5993</t>
  </si>
  <si>
    <t>Spanish Ministry of Education and Science [CGL2005-06549-C02-02/ANT]; European FEDER funds; Spanish Ministry of Science and Innovation [CGL2007-29841-E, CTM2008-05205-E]; Generalitat Valenciana</t>
  </si>
  <si>
    <t>Spanish Ministry of Education and Science(Spanish Government); European FEDER funds(European Union (EU)); Spanish Ministry of Science and Innovation(Spanish Government); Generalitat Valenciana(Center for Forestry Research &amp; Experimentation (CIEF))</t>
  </si>
  <si>
    <t>This study was supported by the Project CGL2005-06549-C02-02/ANT from the Spanish Ministry of Education and Science to AC, which was co-financed by European FEDER funds. The model was developed in collaboration with the Section of Toxicology and Environmental Chemistry, University of Copenhagen. Support for travel costs was also obtained from grants CGL2007-29841-E and CTM2008-05205-E given by the Spanish Ministry of Science and Innovation to AC, and by a scholarship of the Generalitat Valenciana to JAV. Authors are indebted to the friends of the rest of the LIMNOPOLAR Team for their kindly availability for any support needed, as well as to the crew of Las Palmas vessel (Spanish Navy) and the Marine Technology Unit (UTM-CSIC) for their logistic support. We also thank the Servei Central de Suport a la Investigacio Experimental (SCSIE) from the Universitat de Valencia for their assistance for some of the analyses.</t>
  </si>
  <si>
    <t>10.1016/j.ecolmodel.2015.03.008</t>
  </si>
  <si>
    <t>CZ9JI</t>
  </si>
  <si>
    <t>WOS:000367413500004</t>
  </si>
  <si>
    <t>Moseley, GE; Edwards, RL; Wendt, KA; Cheng, H; Dublyansky, Y; Lu, YB; Boch, R; Spötl, C</t>
  </si>
  <si>
    <t>Moseley, Gina E.; Edwards, R. Lawrence; Wendt, Kathleen A.; Cheng, Hai; Dublyansky, Yuri; Lu, Yanbin; Boch, Ronny; Spoetl, Christoph</t>
  </si>
  <si>
    <t>Reconciliation of the Devils Hole climate record with orbital forcing</t>
  </si>
  <si>
    <t>CHRONOLOGY AICC2012; ANTARCTIC ICE; VEIN CALCITE; SEA; ISOTOPE; NEVADA; HISTORY; CORE</t>
  </si>
  <si>
    <t>The driving force behind Quaternary glacial-interglacial cycles and much associated climate change is widely considered to be orbital forcing. However, previous versions of the iconic Devils Hole (Nevada) subaqueous calcite record exhibit shifts to interglacial values similar to 10,000 years before orbitally forced ice age terminations, and interglacial durations similar to 10,000 years longer than other estimates. Our measurements from Devils Hole 2 replicate virtually all aspects of the past 204,000 years of earlier records, except for the timing during terminations, and they lower the age of the record near Termination II by similar to 8000 years, removing both similar to 10,000-year anomalies. The shift to interglacial values now broadly coincides with the rise in boreal summer insolation, the marine termination, and the rise in atmospheric CO2, which is consistent with mechanisms ultimately tied to orbital forcing.</t>
  </si>
  <si>
    <t>[Moseley, Gina E.; Wendt, Kathleen A.; Dublyansky, Yuri; Boch, Ronny; Spoetl, Christoph] Univ Innsbruck, Inst Geol, A-6020 Innsbruck, Austria; [Edwards, R. Lawrence; Wendt, Kathleen A.; Cheng, Hai; Lu, Yanbin] Univ Minnesota, Dept Earth Sci, Minneapolis, MN 55455 USA; [Cheng, Hai] Xi An Jiao Tong Univ, Inst Global Environm Change, Xian 710049, Peoples R China</t>
  </si>
  <si>
    <t>University of Innsbruck; University of Minnesota System; University of Minnesota Twin Cities; Xi'an Jiaotong University</t>
  </si>
  <si>
    <t>Moseley, GE (corresponding author), Univ Innsbruck, Inst Geol, Innrain 52, A-6020 Innsbruck, Austria.</t>
  </si>
  <si>
    <t>gina.moseley@uibk.ac.at</t>
  </si>
  <si>
    <t>Edwards, R. Lawrence/I-3124-2014; Edwards, Richard/JAX-3732-2023; Dublyansky, Yuri/AAM-6110-2020; CHENG, HAI/H-3413-2017</t>
  </si>
  <si>
    <t>Dublyansky, Yuri/0000-0003-1433-9999; CHENG, HAI/0000-0002-5305-9458; Wendt, Kathleen/0000-0001-8905-5013; Boch, Ronny/0000-0002-4535-8597; Moseley, Gina/0000-0002-5618-5759</t>
  </si>
  <si>
    <t>Austrian Science Fund (FWF) [FP263050]; NSF [1103403, 1103320]; NSFC [41230524]; Directorate For Geosciences; Div Atmospheric &amp; Geospace Sciences [1103403] Funding Source: National Science Foundation; Directorate For Geosciences; Division Of Earth Sciences [1103320] Funding Source: National Science Foundation; Division Of Earth Sciences; Directorate For Geosciences [1337693] Funding Source: National Science Foundation; Austrian Science Fund (FWF) [P26305] Funding Source: Austrian Science Fund (FWF)</t>
  </si>
  <si>
    <t>Austrian Science Fund (FWF)(Austrian Science Fund (FWF)); NSF(National Science Foundation (NSF)); NSFC(National Natural Science Foundation of China (NSFC)); Directorate For Geosciences; Div Atmospheric &amp; Geospace Sciences(National Science Foundation (NSF)NSF - Directorate for Geosciences (GEO)); Directorate For Geosciences; Division Of Earth Sciences(National Science Foundation (NSF)NSF - Directorate for Geosciences (GEO)); Division Of Earth Sciences; Directorate For Geosciences(National Science Foundation (NSF)NSF - Directorate for Geosciences (GEO)); Austrian Science Fund (FWF)(Austrian Science Fund (FWF))</t>
  </si>
  <si>
    <t>This work was supported by the Austrian Science Fund (FWF) project no. FP263050 to C.S. and in part by NSF grants 1103403 to R.L.E. and H.C., 1103320 to R.L.E., and NSFC grant 41230524 to H.C. This research was conducted under research permit numbers DEVA-2010-SCI-0004 and DEVA-2015-SCI-0006 issued by Death Valley National Park. We thank I. J. Winograd for providing the study with sample DH-2, M. Wimmer for preparation and measurement of the stable isotopes, K. Wilson and R. Freeze for assistance in the field, and M. Cross for discussion of Great Basin paleoclimate. Data can be downloaded from the National Oceanic and Atmospheric Administration's National Centers for Environmental Information (www.ncdc.noaa.gov/paleo/paleo.html).</t>
  </si>
  <si>
    <t>JAN 8</t>
  </si>
  <si>
    <t>10.1126/science.aad4132</t>
  </si>
  <si>
    <t>DA4XQ</t>
  </si>
  <si>
    <t>WOS:000367806500040</t>
  </si>
  <si>
    <t>Kargel, JS; Leonard, GJ; Shugar, DH; Haritashya, UK; Bevington, A; Fielding, EJ; Fujita, K; Geertsema, M; Miles, ES; Steiner, J; Anderson, E; Bajracharya, S; Bawden, GW; Breashears, DF; Byers, A; Collins, B; Dhital, MR; Donnellan, A; Evans, TL; Geai, ML; Glasscoe, MT; Green, D; Gurung, DR; Heijenk, R; Hilborn, A; Hudnut, K; Huyck, C; Immerzeel, WW; Jiang, LM; Jibson, R; Kääb, A; Khanal, NR; Kirschbaum, D; Kraaijenbrink, PDA; Lamsal, D; Liu, SY; Lv, MY; McKinney, D; Nahirnick, NK; Nan, ZT; Ojha, S; Olsenholler, J; Painter, TH; Pleasants, M; Pratima, KC; Yuan, QI; Raup, BH; Regmi, D; Rounce, DR; Sakai, A; Donghui, S; Shea, JM; Shrestha, AB; Shukla, A; Stumm, D; van der Kooij, M; Voss, K; Xin, W; Weihs, B; Wolfe, D; Wu, LZ; Yao, XJ; Yoder, MR; Young, N</t>
  </si>
  <si>
    <t>Kargel, J. S.; Leonard, G. J.; Shugar, D. H.; Haritashya, U. K.; Bevington, A.; Fielding, E. J.; Fujita, K.; Geertsema, M.; Miles, E. S.; Steiner, J.; Anderson, E.; Bajracharya, S.; Bawden, G. W.; Breashears, D. F.; Byers, A.; Collins, B.; Dhital, M. R.; Donnellan, A.; Evans, T. L.; Geai, M. L.; Glasscoe, M. T.; Green, D.; Gurung, D. R.; Heijenk, R.; Hilborn, A.; Hudnut, K.; Huyck, C.; Immerzeel, W. W.; Jiang Liming; Jibson, R.; Kaab, A.; Khanal, N. R.; Kirschbaum, D.; Kraaijenbrink, P. D. A.; Lamsal, D.; Liu Shiyin; Lv Mingyang; McKinney, D.; Nahirnick, N. K.; Nan Zhuotong; Ojha, S.; Olsenholler, J.; Painter, T. H.; Pleasants, M.; Pratima, K. C.; Yuan, Q. I.; Raup, B. H.; Regmi, D.; Rounce, D. R.; Sakai, A.; Donghui, Shangguan; Shea, J. M.; Shrestha, A. B.; Shukla, A.; Stumm, D.; van der Kooij, M.; Voss, K.; Xin, Wang; Weihs, B.; Wolfe, D.; Wu Lizong; Yao Xiaojun; Yoder, M. R.; Young, N.</t>
  </si>
  <si>
    <t>Geomorphic and geologic controls of geohazards induced by Nepal's 2015 Gorkha earthquake</t>
  </si>
  <si>
    <t>2008 WENCHUAN EARTHQUAKE; INDUCED LANDSLIDES; LARGE ROCKSLIDES; GLACIERS; DISPLACEMENT; TOPOGRAPHY; CALIFORNIA; AFTERSHOCK; MOUNTAINS; HIMALAYAS</t>
  </si>
  <si>
    <t>The Gorkha earthquake (magnitude 7.8) on 25 April 2015 and later aftershocks struck South Asia, killing similar to 9000 people and damaging a large region. Supported by a large campaign of responsive satellite data acquisitions over the earthquake disaster zone, our team undertook a satellite image survey of the earthquakes' induced geohazards in Nepal and China and an assessment of the geomorphic, tectonic, and lithologic controls on quake-induced landslides. Timely analysis and communication aided response and recovery and informed decision-makers. We mapped 4312 coseismic and postseismic landslides. We also surveyed 491 glacier lakes for earthquake damage but found only nine landslide-impacted lakes and no visible satellite evidence of outbursts. Landslide densities correlate with slope, peak ground acceleration, surface downdrop, and specific metamorphic lithologies and large plutonic intrusions.</t>
  </si>
  <si>
    <t>[Kargel, J. S.; Leonard, G. J.] Univ Arizona, Dept Hydrol &amp; Water Resources, Tucson, AZ 85721 USA; [Shugar, D. H.] Univ Washington, Sch Interdisciplinary Arts &amp; Sci, Tacoma, WA USA; [Haritashya, U. K.; Pleasants, M.] Univ Dayton, Dept Geol, Dayton, OH 45469 USA; [Bevington, A.; Geertsema, M.; Heijenk, R.] Minist Forests Lands &amp; Nat Resource Operat, Prince George, BC, Canada; [Fielding, E. J.; Donnellan, A.; Glasscoe, M. T.; Lamsal, D.; Ojha, S.; Painter, T. H.] CALTECH, Jet Prop Lab, Pasadena, CA USA; [Fujita, K.; Sakai, A.] Nagoya Univ, Grad Sch Environm Studies, Nagoya, Aichi 4648601, Japan; [Miles, E. S.] Univ Cambridge, Scott Polar Res Inst, Cambridge CB2 1ER, England; [Steiner, J.] Fed Inst Technol ETH, Inst Environm Engn, Zurich, Switzerland; [Anderson, E.] NASA, George C Marshall Space Flight Ctr, Huntsville, AL 35812 USA; [Bajracharya, S.; Gurung, D. R.; Khanal, N. R.; Shea, J. M.; Shrestha, A. B.; Stumm, D.] Int Ctr Integrated Mt Dev, Kathmandu, Nepal; [Bawden, G. W.; Green, D.] NASA Headquarters, Washington, DC USA; [Breashears, D. F.] GlacierWorks, Marblehead, MA USA; [Byers, A.] Mt Inst, Elkins, WV USA; [Collins, B.] US Geol Survey, Menlo Pk, CA 94025 USA; [Dhital, M. R.] Tribhuvan Univ, Cent Dept Geol, Kathmandu, Nepal; [Evans, T. L.; Hilborn, A.; Nahirnick, N. K.] Univ Victoria, Dept Geog, Victoria, BC, Canada; [Geai, M. L.] CVA Engn, Suresnes, France; [Hudnut, K.] US Geol Survey, Earthquake Sci Ctr, Pasadena, CA 91106 USA; [Huyck, C.] ImageCat, Long Beach, CA USA; [Immerzeel, W. W.; Kraaijenbrink, P. D. A.] Univ Utrecht, Fac Geosci, Utrecht, Netherlands; [Jiang Liming] Chinese Acad Sci, Inst Geodesy &amp; Geophys, State Key Lab Geodesy &amp; Earths Dynam, Wuhan, Hubei Province, Peoples R China; [Jibson, R.] US Geol Survey, Golden, CO USA; [Kaab, A.] Univ Oslo, Dept Geosci, Oslo, Norway; [Kirschbaum, D.] NASA, Goddard Space Flight Ctr, Hydrol Sci Lab, Greenbelt, MD 20771 USA; [Liu Shiyin; Yuan, Q. I.; Donghui, Shangguan] Chinese Acad Sci, Cold &amp; Arid Reg Environm &amp; Engn Res Inst, Lanzhou, Peoples R China; [Lv Mingyang; Wu Lizong] Nanjing Univ, Sch Earth Sci &amp; Engn, Nanjing 210008, Jiangsu, Peoples R China; [McKinney, D.] Univ Texas Austin, Dept Civil Architectural &amp; Environm Engn, Austin, TX 78712 USA; [Nan Zhuotong] Nanjing Normal Univ, Sch Geog Sci, Nanjing, Jiangsu, Peoples R China; [Olsenholler, J.] Texas A&amp;M Univ, Dept Geog, College Stn, TX USA; [Pratima, K. C.] Univ Arizona, Sch Nat Resources &amp; Environm, Arizona Remote Sensing Ctr, Tucson, AZ USA; [Raup, B. H.] Univ Colorado, Natl Snow &amp; Ice Data Ctr, Boulder, CO 80309 USA; [Regmi, D.] Himalayan Res Ctr, Kathmandu, Nepal; [Rounce, D. R.] Univ Texas Austin, Environm &amp; Water Resources Engn, Austin, TX 78712 USA; [Shukla, A.] Wadia Inst Himalayan Geol, Dehra Dun, India; [Shukla, A.; van der Kooij, M.] MacDonald Dettwiler &amp; Associates GSI, Ottawa, ON, Canada; [Voss, K.] Univ Calif Santa Barbara, Dept Geog, Santa Barbara, CA 93106 USA; [Xin, Wang] Hunan Univ Sci &amp; Technol, Coll Architecture &amp; Urban Planning, Xiangtan, Peoples R China; [Weihs, B.] Kansas State Univ, Dept Geog, Manhattan, KS 66506 USA; [Wolfe, D.] Global Land Ice Measurements Space GLIMS Steward, Anchorage, AK USA; [Yao Xiaojun] Northwest Normal Univ, Coll Geog Sci &amp; Environm, Beijing, Peoples R China; [Yoder, M. R.] Univ Calif Davis, Dept Phys, Davis, CA 95616 USA; [Young, N.] Univ Tasmania, Antarctic Climate &amp; Ecosyst Cooperat Res Ctr, Hobart, Tas, Australia</t>
  </si>
  <si>
    <t>University of Arizona; University of Washington; University of Washington Tacoma; University System of Ohio; University of Dayton; California Institute of Technology; National Aeronautics &amp; Space Administration (NASA); NASA Jet Propulsion Laboratory (JPL); Nagoya University; University of Cambridge; Swiss Federal Institutes of Technology Domain; ETH Zurich; National Aeronautics &amp; Space Administration (NASA); NASA Marshall Space Flight Center; National Aeronautics &amp; Space Administration (NASA); Mary W. Jackson NASA Headquarters; United States Department of the Interior; United States Geological Survey; Tribhuvan University; University of Victoria; United States Department of the Interior; United States Geological Survey; Utrecht University; Chinese Academy of Sciences; Innovation Academy for Precision Measurement Science &amp; Technology, CAS; United States Department of the Interior; United States Geological Survey; University of Oslo; National Aeronautics &amp; Space Administration (NASA); NASA Goddard Space Flight Center; Chinese Academy of Sciences; Cold &amp; Arid Regions Environmental &amp; Engineering Research Institute, CAS; Nanjing University; University of Texas System; University of Texas Austin; Nanjing Normal University; Texas A&amp;M University System; Texas A&amp;M University College Station; University of Arizona; University of Colorado System; University of Colorado Boulder; University of Texas System; University of Texas Austin; Department of Science &amp; Technology (India); Wadia Institute of Himalayan Geology (WIHG); University of California System; University of California Santa Barbara; Hunan University of Science &amp; Technology; Kansas State University; University of California System; University of California Davis; Antarctic Climate &amp; Ecosystems Cooperative Research Centre (ACE CRC); University of Tasmania</t>
  </si>
  <si>
    <t>Kargel, JS (corresponding author), Univ Arizona, Dept Hydrol &amp; Water Resources, Tucson, AZ 85721 USA.</t>
  </si>
  <si>
    <t>kargel@hwr.arizona.edu; dshugar@uw.edu; uharitashya1@udayton.edu</t>
  </si>
  <si>
    <t>Sakai, Akiko/M-5413-2013; Shea, Joseph/JZD-3906-2024; Painter, Thomas/B-7806-2016; Steiner, Jakob/IXN-3835-2023; NAN, ZHUOTONG/D-7518-2018; Kääb, Andreas/AAG-8769-2020; Immerzeel, Walter W/E-2489-2012; Weihs, Brandon/GZH-2856-2022; KC, Pratima/HOA-8405-2023; Donnellan, Andrea/AAB-4367-2020; XIN, WANG/KGK-5385-2024; Miles, Evan/J-1286-2019; Fielding, Eric/L-8187-2019; Painter, Thomas H./AAC-9493-2019; Bevington, Alexandre R/AAD-1233-2022; Kirschbaum, Dalia/F-9596-2012; Jiang, Liming/O-1776-2013; Hudnut, Kenneth W/B-1945-2009; Painter, Thomas/P-1284-2019; Fujita, Koji/E-6104-2010; Hudnut, Kenneth W/AAB-4549-2020; Fielding, Eric/A-1288-2007; Shahzad, Khurram/D-7518-2015; Liu, Shiyin/AAT-4278-2020; Lv, Mingyang/AAZ-7579-2021</t>
  </si>
  <si>
    <t>Shea, Joseph/0000-0002-4557-1283; Steiner, Jakob/0000-0002-0063-0067; NAN, ZHUOTONG/0000-0002-7930-3850; Kääb, Andreas/0000-0002-6017-6564; KC, Pratima/0000-0003-4689-2027; Donnellan, Andrea/0000-0001-6843-8373; Miles, Evan/0000-0001-5446-8571; Fielding, Eric/0000-0002-6648-8067; Painter, Thomas H./0000-0002-7963-5812; Bevington, Alexandre R/0000-0002-9249-4444; Kirschbaum, Dalia/0000-0001-5547-2839; Hudnut, Kenneth W/0000-0002-3168-4797; Fujita, Koji/0000-0003-3753-4981; Hudnut, Kenneth W/0000-0002-3168-4797; Fielding, Eric/0000-0002-6648-8067; Liu, Shiyin/0000-0002-9625-7497; Pleasants, Mark/0000-0002-9864-5282; Weihs, Brandon/0009-0008-2518-7541; Heijenk, Renee/0000-0002-7073-913X; Shrestha, Arun Bhakta/0000-0002-1757-6589; Immerzeel, Walter/0000-0002-2010-9543; Haritashya, Umesh/0000-0001-9527-954X; Hilborn, Andrea/0000-0002-5967-5788; Shugar, Dan/0000-0002-6279-8420; Young, Neal/0000-0001-9729-3273; Jiang, Liming/0000-0002-1127-9823; Anderson, Eric/0000-0001-5056-4347; Voss, Katalyn/0000-0001-8946-8213; Kraaijenbrink, Philip/0000-0002-0126-8602; Xiaojun, Yao/0000-0003-3127-9473; Rounce, David/0000-0002-4481-4191</t>
  </si>
  <si>
    <t>NASA SERVIR Applied Science Team; NASA Cryosphere Program; Hakai Institute; NASA; ICIMOD; Chinese Academy of Sciences [784]; National Natural Science Foundation of China [41431070, 41321063]; Grants-in-Aid for Scientific Research [26257202] Funding Source: KAKEN; Directorate For Geosciences; ICER [1516912] Funding Source: National Science Foundation</t>
  </si>
  <si>
    <t>NASA SERVIR Applied Science Team; NASA Cryosphere Program; Hakai Institute; NASA(National Aeronautics &amp; Space Administration (NASA)); ICIMOD; Chinese Academy of Sciences(Chinese Academy of Sciences); National Natural Science Foundation of China(National Natural Science Foundation of China (NSFC)); Grants-in-Aid for Scientific Research(Ministry of Education, Culture, Sports, Science and Technology, Japan (MEXT)Japan Society for the Promotion of ScienceGrants-in-Aid for Scientific Research (KAKENHI)); Directorate For Geosciences; ICER(National Science Foundation (NSF)NSF - Directorate for Geosciences (GEO))</t>
  </si>
  <si>
    <t>J.S.K., G.J.L., and U.K.H. thank the NASA SERVIR Applied Science Team and NASA Cryosphere Program for support. D.H.S. thanks the Hakai Institute for support. Part of this research was sponsored by the NASA Earth Surface and Interior focus area and performed at the Jet Propulsion Laboratory, California Institute of Technology. We gratefully acknowledge support from several citizen scientists who provided key observations and reports from various locations in Nepal: D. Rai, J.B. Rai, N. Sapkota, M. Dhan Rai, and M. Gotame, who made on-site inspections and photo documentation of Thulagi (Dona) Lake, Rolpa Lake, Kali Gandaki, and Lower Pisang landslide dammed lake. ASTER data are courtesy of NASA/GSFC/METI/Japan Space Systems, the U.S./Japan ASTER Science Team, and GLIMS. We especially laud DigitalGlobe's decision to acquire and make available a vast volume of data for analysis related to Gorkha earthquake response. We thank C. Liang for processing the ALOS-2 wide-swath interferogram. Original ALOS-2 data are copyright 2015 JAXA. This study was partially supported by core funds of ICIMOD contributed by the governments of Afghanistan, Australia, Austria, Bangladesh, Bhutan, China, India, Myanmar, Nepal, Norway, Pakistan, Switzerland, and the United Kingdom. This study was partially supported by the Hundred Talents Program of the Chinese Academy of Sciences (grant 784) and the National Natural Science Foundation of China (grants 41431070 and 41321063). The two chief databases produced by this work are available at ICIMOD (landslides, http://rds.icimod.org/Home/DataDetail?metadataId=24055; and glacial lakes, http://rds.icimod.org/Home/DataDetail?metadataId=24065).</t>
  </si>
  <si>
    <t>aac8353</t>
  </si>
  <si>
    <t>10.1126/science.aac8353</t>
  </si>
  <si>
    <t>WOS:000367806500032</t>
  </si>
  <si>
    <t>Miya, T; Gon, O; Mwale, M; Poulin, E</t>
  </si>
  <si>
    <t>Miya, Tshoanelo; Gon, Ofer; Mwale, Monica; Poulin, Elie</t>
  </si>
  <si>
    <t>Molecular systematics and taxonomic status of three latitudinally widespread nototheniid (Perciformes: Notothenioidei) fishes from the Southern Ocean</t>
  </si>
  <si>
    <t>sequence divergence; Lepidonotothen; Gobionotothen; Indian Ocean sector; Atlantic Ocean sector; mitochondrial DNA; nuclear gene</t>
  </si>
  <si>
    <t>DNA BARCODES; SEA; IDENTIFICATIONS; MITOCHONDRIAL; DIVERGENCE; ANTIFREEZE</t>
  </si>
  <si>
    <t>The taxonomic status of the three nototheniids, Lepidonotothen squamifrons, L. larseni and Gobionotothen marionensis from different localities in the Southern Ocean is re-evaluated at the DNA level. DNA sequence divergences and phylogenetic relationship were estimated using a combined mitochondrial (mtDNA, ND2 and COI) dataset and data for one nuclear gene (S7 intron 1). Phylogenies of both datasets had Lepidonotothen kempi nested within L. squamifrons lineage, with low sequence divergences (0% to 0.4%) between the two nominal species suggesting that they are populations of one species. Therefore, these results do not support the previous splitting of L. squamifrons into different species. Similarly, the L. larseni specimens also represented a single genetic unit (0.3% to 0.6%) with low geographic variation between Atlantic and Indian Ocean specimens, which does not support the splitting of this species into geographically restricted species. The mtDNA phylogeny clearly separated individuals of G. acuta from Kerguelen, Heard and MacDonald Islands from G. marionensis individuals into different clades, with sequence divergence of 2.9% between these clades supporting they are different species.</t>
  </si>
  <si>
    <t>[Miya, Tshoanelo; Gon, Ofer; Mwale, Monica] South African Inst Aquat Biodivers, ZA-6139 Grahamstown, South Africa; [Miya, Tshoanelo] Rhodes Univ, Dept Ichthyol &amp; Fisheries, ZA-6140 Grahamstown, South Africa; [Mwale, Monica] Natl Zool Gardens South Africa, ZA-0001 Pretoria, South Africa; [Poulin, Elie] Univ Chile, Dept Ciencias Ecol, Inst Ecol &amp; Biodiversidad, Santiago, Chile</t>
  </si>
  <si>
    <t>National Research Foundation - South Africa; South African Institute for Aquatic Biodiversity; Rhodes University; National Research Foundation - South Africa; National Zoological Gardens of South Africa; Universidad de Chile</t>
  </si>
  <si>
    <t>Miya, T (corresponding author), South African Inst Aquat Biodivers, Private Bag 1015, ZA-6139 Grahamstown, South Africa.</t>
  </si>
  <si>
    <t>Mwale, Monica/O-4735-2019; Miya, Tshoanelo/GLV-6732-2022; Miya, Tshoanelo/AAK-1660-2020; Poulin, Elie/C-2654-2012</t>
  </si>
  <si>
    <t>Mwale, Monica/0000-0003-2180-8917; Miya, Tshoanelo/0000-0002-4356-7344; Poulin, Elie/0000-0001-7736-0969</t>
  </si>
  <si>
    <t>program, IPEV [1044-PROTEKER]; program, Fondecyt [1151336]; National Research Foundation (NRF) of South Africa through South African National Antarctic Program (SANAP) Grant [SNA 2006042100003]; NRF</t>
  </si>
  <si>
    <t>program, IPEV; program, Fondecyt(Comision Nacional de Investigacion Cientifica y Tecnologica (CONICYT)CONICYT FONDECYT); National Research Foundation (NRF) of South Africa through South African National Antarctic Program (SANAP) Grant; NRF</t>
  </si>
  <si>
    <t>We are grateful for the samples provided by Andrew Stewart, National Museum of New Zealand Te Papa Tongarewa; Thomas Near, Peabody Museum of Natural History, Yale University; Katherine Ross, Government of South Georgia and the South Sandwich Islands; and programs, IPEV n 1044-PROTEKER and Fondecyt 1151336. Mellissa Peyper is thanked for her assistance in the molecular laboratory and Gavin Gouws for assistant in various aspect of the research. We are grateful for the support provided by the National Research Foundation (NRF) of South Africa through South African National Antarctic Program (SANAP) Grant SNA 2006042100003 to Ofer Gon. The authors acknowledge that opinions, findings and conclusions or recommendations expressed in this publication generated by the NRF supported research are those of the authors, and that the NRF accepts no liability whatsoever in this regard.</t>
  </si>
  <si>
    <t>10.11646/zootaxa.4061.4.4</t>
  </si>
  <si>
    <t>DA6CF</t>
  </si>
  <si>
    <t>WOS:000367888700004</t>
  </si>
  <si>
    <t>Witze, A</t>
  </si>
  <si>
    <t>Witze, Alexandra</t>
  </si>
  <si>
    <t>CLIMATE SCIENCE Antarctic cloud study takes off</t>
  </si>
  <si>
    <t>JAN 7</t>
  </si>
  <si>
    <t>10.1038/529012a</t>
  </si>
  <si>
    <t>DA6VY</t>
  </si>
  <si>
    <t>WOS:000367944900005</t>
  </si>
  <si>
    <t>Cimino, MA; Moline, MA; Fraser, WR; Patterson-Fraser, DL; Oliver, MJ</t>
  </si>
  <si>
    <t>Cimino, Megan A.; Moline, Mark A.; Fraser, William R.; Patterson-Fraser, Donna L.; Oliver, Matthew J.</t>
  </si>
  <si>
    <t>Climate-driven sympatry may not lead to foraging competition between congeneric top-predators</t>
  </si>
  <si>
    <t>PENGUIN POPULATIONS; ADELIE PENGUINS; CHINSTRAP PENGUINS; EUPHAUSIA-SUPERBA; ANTARCTIC KRILL; SEA-ICE; VARIABILITY; BEHAVIOR; SEABIRDS; GENTOO</t>
  </si>
  <si>
    <t>Climate-driven sympatry may lead to competition for food resources between species. Rapid warming in the West Antarctic Peninsula (WAP) is coincident with increasing gentoo penguin and decreasing Adelie penguin populations, suggesting that competition for food may exacerbate the Adelie penguin decline. On fine scales, we tested for foraging competition between these species during the chick-rearing period by comparing their foraging behaviors with the distribution of their prey, Antarctic krill. We detected krill aggregations within the horizontal and vertical foraging ranges of Adelie and gentoo penguins, and found that krill selected for habitats that balance the need to consume food and avoid predation. In overlapping Adelie and gentoo penguin foraging areas, four gentoo penguins switched foraging behavior by foraging at deeper depths, a strategy which limits competition with Adelie penguins. This suggests that climate-driven sympatry does not necessarily result in competitive exclusion of Adelie penguins by gentoo penguins. Contrary to a recent theory, which suggests that increased competition for krill is one of the major drivers of Adelie penguin population declines, we suggest that declines in Adelie penguins along the WAP are more likely due to direct and indirect climate impacts on their life histories.</t>
  </si>
  <si>
    <t>[Cimino, Megan A.; Moline, Mark A.; Oliver, Matthew J.] Univ Delaware, Coll Earth Ocean &amp; Environm, Lewes, DE 19958 USA; [Fraser, William R.; Patterson-Fraser, Donna L.] Polar Oceans Res Grp, Sheridan, MT 59749 USA</t>
  </si>
  <si>
    <t>University of Delaware</t>
  </si>
  <si>
    <t>Cimino, MA (corresponding author), Univ Delaware, Coll Earth Ocean &amp; Environm, 700 Pilottown Rd, Lewes, DE 19958 USA.</t>
  </si>
  <si>
    <t>mcimino@udel.edu</t>
  </si>
  <si>
    <t>National Science Foundation [ANT-1019838, ANT-0823101]; NASA [NNX09AK24G]; Office of Polar Programs (OPP); Directorate For Geosciences [1440435] Funding Source: National Science Foundation; NASA [114034, NNX09AK24G] Funding Source: Federal RePORTER</t>
  </si>
  <si>
    <t>National Science Foundation(National Science Foundation (NSF)); NASA(National Aeronautics &amp; Space Administration (NASA)); Office of Polar Programs (OPP); Directorate For Geosciences(National Science Foundation (NSF)NSF - Directorate for Geosciences (GEO)); NASA(National Aeronautics &amp; Space Administration (NASA))</t>
  </si>
  <si>
    <t>We are grateful for the support provided by Palmer Station personnel and for the assistance of dedicated field team members. Special thanks to Ian Robbins for managing REMUS operations. This work was funded by the National Science Foundation (ANT-1019838 to Moline and ANT-0823101 to Fraser), and by the NASA Biodiversity Program (NNX09AK24G to Oliver).</t>
  </si>
  <si>
    <t>JAN 6</t>
  </si>
  <si>
    <t>10.1038/srep18820</t>
  </si>
  <si>
    <t>DB1AZ</t>
  </si>
  <si>
    <t>WOS:000368241700001</t>
  </si>
  <si>
    <t>Lebepe, MC; Dippenaar, SM</t>
  </si>
  <si>
    <t>Lebepe, Modjadji C.; Dippenaar, Susan M.</t>
  </si>
  <si>
    <t>Barnard's Brachiella sp., Parabrachiella supplicans (Barnard, 1955) and Eubrachiella sublobulata (Barnard, 1955) (Copepoda: Siphonostomatoida: Lernaeopodidae) deposited in the Iziko South African Museum</t>
  </si>
  <si>
    <t>parasitic copepods; Lernaeopodids; marine water; taxonomy; redescription</t>
  </si>
  <si>
    <t>The family Lernaeopodidae Milne Edwards, is one of the largest families in Siphonostomatoida Thorell, with more than 260 valid species. Brachiella sp., Parabrachiella supplicans (Barnard) and Eubrachiella sublobulata (Barnard) collected from Table Bay by Barnard in 1955 off Liza ramada (Risso), Genypterus capensis (Smith) and Congiopodus torvus (Gronov) respectively, are re-examined. Brachiella sp. is identified as Parabrachiella mugilis (Kabata, Raibaut &amp; Ben Hassine) and is synonymized with Parabrachiella exilis (Shiino) based on the general morphology of the female habitus, the type host and the attachment site on the host. Parabrachiella supplicans is redescribed and synonymized with Parabrachiella genypteri (Capart) also collected off G. capensis from Fort Rock Point, Namibia. Additionally, Eubrachiella sublobulata is redescribed and represents a different geographical range and host record for the genus Eubrachiella as species were previously reported from teleosts of Antarctic waters.</t>
  </si>
  <si>
    <t>[Lebepe, Modjadji C.; Dippenaar, Susan M.] Univ Limpopo, Dept Biodivers, ZA-0727 Sovenga, South Africa</t>
  </si>
  <si>
    <t>University of Limpopo</t>
  </si>
  <si>
    <t>Dippenaar, SM (corresponding author), Univ Limpopo, Dept Biodivers, Private Bag X1106, ZA-0727 Sovenga, South Africa.</t>
  </si>
  <si>
    <t>susan.dippenaar@ul.ac.za</t>
  </si>
  <si>
    <t>Dippenaar, Susan/O-1700-2015</t>
  </si>
  <si>
    <t>Dippenaar, Susan/0000-0002-1780-5548</t>
  </si>
  <si>
    <t>JAN 5</t>
  </si>
  <si>
    <t>DA6BT</t>
  </si>
  <si>
    <t>WOS:000367887400005</t>
  </si>
  <si>
    <t>Dueñas, LF; Tracey, DM; Crawford, AJ; Wilke, T; Alderslade, P; Sánchez, JA</t>
  </si>
  <si>
    <t>Duenas, Luisa F.; Tracey, Dianne M.; Crawford, Andrew J.; Wilke, Thomas; Alderslade, Phil; Sanchez, Juan A.</t>
  </si>
  <si>
    <t>The Antarctic Circumpolar Current as a diversification trigger for deep-sea octocorals</t>
  </si>
  <si>
    <t>Antarctic Circumpolar Current; Gene flow; Primnoid octocorals; Southern Ocean; Deep-sea; Statistical phylogeography</t>
  </si>
  <si>
    <t>TRANSCRIBED SPACER-2 ITS2; DNA-SEQUENCE VARIATION; SOUTHERN-OCEAN; NEW-ZEALAND; GENETIC-VARIATION; PHYLOGENETIC ANALYSIS; SECONDARY STRUCTURES; DIVERGENCE TIME; RIBOSOMAL DNA; LIFE-HISTORY</t>
  </si>
  <si>
    <t>Background: Antarctica is surrounded by the Antarctic Circumpolar Current (ACC), the largest and strongest current in the world. Despite its potential importance for shaping biogeographical patterns, the distribution and connectivity of deep-sea populations across the ACC remain poorly understood. In this study we conducted the first assessment of phylogeographical patterns in deep-sea octocorals in the South Pacific and Southern Ocean, specifically a group of closely related bottlebrush octocorals (Primnoidae: Tokoprymno and Thourella), as a test case to study the effect of the ACC on the population structure of brooding species. We assessed the degree to which the ACC constitutes a barrier to gene flow between northern and southern populations and whether the onset of diversification of these corals coincides with the origin of the ACC (Oligocene-Miocene boundary). Results: Based on DNA sequences of two nuclear genes from 80 individuals and a combination of phylogeographic model-testing approaches we found a phylogenetic break corresponding to the spatial occurrence of the ACC. We also found significant genetic structure among our four regional populations. However, we uncovered shared haplotypes among certain population pairs, suggesting long-distance, asymmetrical migration. Our divergence time analyses indicated that the separation of amphi-ACC populations took place during the Middle Miocene around 12.6 million years ago, i.e., after the formation of the ACC. Conclusion: We suggest that the ACC constitutes a semi-permeable barrier to these deep-sea octocorals capable of separating and structuring populations, while allowing short periods of gene flow. The fluctuations in latitudinal positioning of the ACC during the Miocene likely contributed to the diversification of these octocorals. Additionally, we provide evidence that the populations from each of our four sampling regions could actually constitute different species.</t>
  </si>
  <si>
    <t>[Duenas, Luisa F.; Crawford, Andrew J.; Sanchez, Juan A.] Univ Los Andes, Dept Biol Sci, Bogota 4976, Colombia; [Duenas, Luisa F.; Wilke, Thomas; Sanchez, Juan A.] Univ Giessen, Dept Anim Ecol &amp; Systemat, D-35390 Giessen, Germany; [Tracey, Dianne M.] Natl Inst Water &amp; Atmospher Res NIWA, Wellington, New Zealand; [Crawford, Andrew J.] Smithsonian Trop Res Inst, Panama City, Panama; [Alderslade, Phil] CSIRO Marine &amp; Atmospher Res, Hobart, Tas 7001, Australia</t>
  </si>
  <si>
    <t>Universidad de los Andes (Colombia); Justus Liebig University Giessen; National Institute of Water &amp; Atmospheric Research (NIWA) - New Zealand; Smithsonian Institution; Smithsonian Tropical Research Institute; Commonwealth Scientific &amp; Industrial Research Organisation (CSIRO)</t>
  </si>
  <si>
    <t>Dueñas, LF (corresponding author), Univ Los Andes, Dept Biol Sci, Bogota 4976, Colombia.</t>
  </si>
  <si>
    <t>lf.duenas161@uniandes.edu.co</t>
  </si>
  <si>
    <t>Crawford, Andrew J./G-6365-2012; Dueñas, Luisa F./AAL-5546-2020; Sanchez, Juan/HJG-6061-2022; sanchez, juan/GSD-8167-2022; Wilke, Thomas/G-1517-2012</t>
  </si>
  <si>
    <t>Crawford, Andrew J./0000-0003-3153-6898; Wilke, Thomas/0000-0001-8263-7758; Sanchez, Juan Armando/0000-0001-7149-8369</t>
  </si>
  <si>
    <t>Dr. David Bowden under NIWA's Ross Sea Climate &amp; Ecosystem project (Ministry of Business, Innovation and Employment contract) [CO1X1226]; New Zealand Ministry for Business, Innovation, and Employment; Fondo de Investigacion de la Facultad de Ciencias at the Universidad de los Andes in Bogota, Colombia; CEMarin</t>
  </si>
  <si>
    <t>Dr. David Bowden under NIWA's Ross Sea Climate &amp; Ecosystem project (Ministry of Business, Innovation and Employment contract)(New Zealand Ministry of Business, Innovation and Employment (MBIE)); New Zealand Ministry for Business, Innovation, and Employment(New Zealand Ministry of Business, Innovation and Employment (MBIE)); Fondo de Investigacion de la Facultad de Ciencias at the Universidad de los Andes in Bogota, Colombia; CEMarin</t>
  </si>
  <si>
    <t>We would like to acknowledge Dr. Ben Sharp, Ministry for Primary Industries (MPI) and New Zealand Scientific Committee representative to the Commission for the Conservation of Antarctic Marine Living Resources (CCAMLR) for approving the provision of the coral sample data; to MPI and CCAMLR Observers for their at-sea collection of the corals. Several NIWA experts have supported this research and we acknowledge their input (Dr. Steve Parker, Dr. Sophie Mormede, Ms. Sadie Mills, Dr. Kareen Schnabel). Dr. David Bowden provided funding for molecular analyses under NIWA's Ross Sea Climate &amp; Ecosystem project (Ministry of Business, Innovation and Employment contract CO1X1226) and Dr. Aitana Forcen-Vazquez (NIWA) produced Fig. 2a and provided useful comments on the oceanic system for the study area. A portion of the material was obtained during the New Zealand-Australian MacRidge 2 research voyage (TAN0803), that included the programme Seamounts: their importance to fisheries and marine ecosystems funded by the New Zealand Ministry for Business, Innovation, and Employment, and led by Drs. Ashely Rowden and Malcolm Clark. We are also grateful to Dr. Kirrily Moore, invertebrate collection manager, Tasmanian Museum and Art Gallery (TMAG) for the loan of specimens. We are thankful for the insightful and constructive comments from three anonymous reviewers. We would also like to acknowledge the Fondo de Investigacion de la Facultad de Ciencias at the Universidad de los Andes in Bogota, Colombia, which provided valuable funds to LFD through the Proyecto Semilla program (Convocatoria 2014-2 para la Financiacion de Proyectos de Investigacion Categoria: Estudiantes de Doctorado Candidatos). Additionally, we would like to thank The Systematic Association and the Lerner Gray Memorial Fund that also provided important support to LFD through The Systematics Research Fund and The Lerner Gray Grant Award programs. Tavel support to LFD was partially funded by CEMarin.</t>
  </si>
  <si>
    <t>JAN 4</t>
  </si>
  <si>
    <t>10.1186/s12862-015-0574-z</t>
  </si>
  <si>
    <t>CZ9QA</t>
  </si>
  <si>
    <t>WOS:000367430900002</t>
  </si>
  <si>
    <t>Lucieer, V; Huang, Z; Siwabessy, J</t>
  </si>
  <si>
    <t>Lucieer, Vanessa; Huang, Zhi; Siwabessy, Justy</t>
  </si>
  <si>
    <t>Analyzing Uncertainty in Multibeam Bathymetric Data and the Impact on Derived Seafloor Attributes</t>
  </si>
  <si>
    <t>MARINE GEODESY</t>
  </si>
  <si>
    <t>uncertainty; seabed mapping; Multibeam bathymetry</t>
  </si>
  <si>
    <t>HABITAT SUITABILITY; ERROR PROPAGATION; SURFACE-AREA; RESOLUTION; BIODIVERSITY; SENSITIVITY; PREDICTION</t>
  </si>
  <si>
    <t>Multibeam bathymetric data provide critical information for the modeling of seabed geology and benthic biodiversity. The accuracy of these models depends on the accuracy of the bathymetric data, which contain uncertainties that are stochastic at individual soundings but exhibit a distinct spatial distribution with increasing magnitude from nadir to the outer beams. A restricted spatial randomness method that simulates both the stochastic and spatial characteristics of the data uncertainty performed better than a complete spatial randomness method in analyzing the impact of bathymetric data uncertainty on derived seafloor attributes.</t>
  </si>
  <si>
    <t>[Lucieer, Vanessa] Univ Tasmania, Inst Marine &amp; Antarctic Studies, Waterfront Bldg,20 Castray Esplanade, Hobart, Tas, Australia; [Huang, Zhi; Siwabessy, Justy] Geosci Australia, Canberra, ACT, Australia</t>
  </si>
  <si>
    <t>University of Tasmania; Geoscience Australia</t>
  </si>
  <si>
    <t>Lucieer, V (corresponding author), Univ Tasmania, Inst Marine &amp; Antarctic Studies, Waterfront Bldg,20 Castray Esplanade, Hobart, Tas, Australia.</t>
  </si>
  <si>
    <t>vanessa.lucieer@utas.edu.au</t>
  </si>
  <si>
    <t>Siwabessy, Justy/I-1818-2019; Huang, Zhi/I-7367-2019; Lucieer, Vanessa/D-1697-2009</t>
  </si>
  <si>
    <t>Siwabessy, Justy/0000-0002-8399-5909; Huang, Zhi/0000-0003-1760-062X; Lucieer, Vanessa/0000-0001-7531-5750</t>
  </si>
  <si>
    <t>Australian Government's National Environmental Research Program (NERP)</t>
  </si>
  <si>
    <t>Australian Government's National Environmental Research Program (NERP)(Australian Government)</t>
  </si>
  <si>
    <t>This work was undertaken for the Marine Biodiversity Hub, a collaborative partnership supported through funding from the Australian Government's National Environmental Research Program (NERP). NERP Marine Biodiversity Hub partners include the Institute for Marine and Antarctic Studies, University of Tasmania; CSIRO, Geoscience Australia, Australian Institute of Marine Science, Museum Victoria, Charles Darwin University and the University of Western Australia. Comments from the anonymous reviewers have improved the manuscript. This paper is published with permission of the Chief Executive Officer, Geoscience Australia.</t>
  </si>
  <si>
    <t>0149-0419</t>
  </si>
  <si>
    <t>1521-060X</t>
  </si>
  <si>
    <t>MAR GEOD</t>
  </si>
  <si>
    <t>Mar. Geod.</t>
  </si>
  <si>
    <t>JAN 2</t>
  </si>
  <si>
    <t>10.1080/01490419.2015.1121173</t>
  </si>
  <si>
    <t>Geochemistry &amp; Geophysics; Oceanography; Remote Sensing</t>
  </si>
  <si>
    <t>DH4FJ</t>
  </si>
  <si>
    <t>WOS:000372740600003</t>
  </si>
  <si>
    <t>Suchy, PA</t>
  </si>
  <si>
    <t>Suchy, Patricia A.</t>
  </si>
  <si>
    <t>Dangerous shores and disoriented penguins in Beyond the Utmost Bound: A Performance about Antarctic Exploration</t>
  </si>
  <si>
    <t>TEXT AND PERFORMANCE QUARTERLY</t>
  </si>
  <si>
    <t>Antarctica; performance; adaptation; Terra Nova; Apsley Cherry-Garrard</t>
  </si>
  <si>
    <t>This essay describes Beyond the Utmost Bound: A Performance about Antarctic Exploration, which retold the story of Robert Falcon Scott's Terra Nova expedition of 1911-1913. The performance interwove scenes adapted from Apsley Cherry- Garrard's The Worst Journey in the World with scenes that provided contemporary reflections on representing Antarctica in art, photography, and literature, with narration staged as a dialogue between a contemporary and a heroic age explorer. The performance argued thematically for the value of research that may not necessarily be connected directly to immediate gain, locating the ultimate value of exploration not in the bagging of the pole nor in the heroics of its narratives, but in Terra Nova's scientific work and in the camaraderie that forms among researchers.</t>
  </si>
  <si>
    <t>[Suchy, Patricia A.] Louisiana State Univ, Dept Commun Studies, Baton Rouge, LA 70803 USA</t>
  </si>
  <si>
    <t>Louisiana State University System; Louisiana State University</t>
  </si>
  <si>
    <t>Suchy, PA (corresponding author), Louisiana State Univ, Dept Commun Studies, Baton Rouge, LA 70803 USA.</t>
  </si>
  <si>
    <t>psuchy@lsu.edu</t>
  </si>
  <si>
    <t>4 PARK SQUARE, MILTON PARK, ABINGDON OX14 4RN, OXFORDSHIRE, ENGLAND</t>
  </si>
  <si>
    <t>1046-2937</t>
  </si>
  <si>
    <t>1479-5760</t>
  </si>
  <si>
    <t>TEXT PERFORM Q</t>
  </si>
  <si>
    <t>Text Perform. Q.</t>
  </si>
  <si>
    <t>10.1080/10462937.2015.1100784</t>
  </si>
  <si>
    <t>DD4ED</t>
  </si>
  <si>
    <t>WOS:000369874400004</t>
  </si>
  <si>
    <t>Warny, S; Kymes, CM; Askin, RA; Krajewski, KP; Bart, PJ</t>
  </si>
  <si>
    <t>Warny, Sophie; Kymes, C. Madison; Askin, Rosemary A.; Krajewski, Krzysztof P.; Bart, Philip J.</t>
  </si>
  <si>
    <t>Remnants of Antarctic vegetation on King George Island during the early Miocene Melville Glaciation</t>
  </si>
  <si>
    <t>PALYNOLOGY</t>
  </si>
  <si>
    <t>vegetational history; King George Island; Antarctica; Miocene ice-house climate; Melville Glaciation</t>
  </si>
  <si>
    <t>SOUTH SHETLAND ISLANDS; JAMES-ROSS-BASIN; LIVINGSTON ISLAND; WEST-ANTARCTICA; MAGMATIC ROCKS; WILLIAMS POINT; SEYMOUR ISLAND; ISOTOPIC AGES; GUSTAV-GROUP; PENINSULA</t>
  </si>
  <si>
    <t>Palynological analyses of 12 samples from the Cape Melville Formation, which crops out on easternmost King George Island, Antarctica, provide new information on the type of vegetation that covered the South Shetland Islands during the early Miocene Melville Glaciation, c. 23-21 Ma. The assemblage recovered was mostly characterised by in situ algae such as leiospheres along with acanthomorph acritarchs, both glacial indicators. The sparse in situ terrestrial palynomorph assemblage included tundra-indicative moss spores Coptospora sp., rare podocarp conifer and various angiosperm pollen. The latter includes pollen of several species of Nothofagidites, plus rare Asteraceae, Caryophyllaceae (Colobanthus-type) and Chenopodipollis. The majority of the palynomorphs recovered are interpreted as reworked, denoting glacial scouring and redeposition from various sites in the Antarctic Peninsula and the South Shetland Islands. These reworked palynomorphs are of Permian to Paleogene age. This reworked component provides insight into the potential sources of reworking, and is consistent with multiple cycles of glacial advances to the Melville Peninsula at the time of deposition. The penecontemporaneous palynomorphs recovered provide new data on the climatic regime and glacial intensification during the early Miocene on King George Island.</t>
  </si>
  <si>
    <t>[Warny, Sophie; Kymes, C. Madison; Bart, Philip J.] Louisiana State Univ, Dept Geol &amp; Geophys, E-235 Howe Russell, Baton Rouge, LA 70803 USA; [Askin, Rosemary A.] 1930 Bunkhouse Dr, Jackson, WY 83001 USA; [Krajewski, Krzysztof P.] Polish Acad Sci, Inst Geol Sci, Twarda 51-55, PL-00818 Warsaw, Poland</t>
  </si>
  <si>
    <t>Louisiana State University System; Louisiana State University; Polish Academy of Sciences; Institute of Geological Sciences of the Polish Academy of Sciences</t>
  </si>
  <si>
    <t>Warny, S (corresponding author), Louisiana State Univ, Dept Geol &amp; Geophys, E-235 Howe Russell, Baton Rouge, LA 70803 USA.</t>
  </si>
  <si>
    <t>swarny@lsu.edu</t>
  </si>
  <si>
    <t>Warny, Sophie A/A-8226-2013</t>
  </si>
  <si>
    <t>Warny, Sophie/0000-0002-3451-040X</t>
  </si>
  <si>
    <t>Polish Ministry of Science and Higher Education [DWM/N8IPY/2008]; US National Science Foundation (NSF) Polar program; US National Science Foundation (NSF) CAREER program; US NSF [ANT-1048343]; Office of Polar Programs (OPP); Directorate For Geosciences [1048343] Funding Source: National Science Foundation</t>
  </si>
  <si>
    <t>Polish Ministry of Science and Higher Education(Ministry of Science and Higher Education, Poland); US National Science Foundation (NSF) Polar program; US National Science Foundation (NSF) CAREER program(National Science Foundation (NSF)); US NSF(National Science Foundation (NSF)); Office of Polar Programs (OPP); Directorate For Geosciences(National Science Foundation (NSF)NSF - Directorate for Geosciences (GEO))</t>
  </si>
  <si>
    <t>The fieldwork was financially supported by the Polish Ministry of Science and Higher Education [Grant No. DWM/N8IPY/2008]. This is a contribution to the Antarctic Climate Evolution (ACE) program. We are grateful to the US National Science Foundation (NSF) Polar and CAREER programmes for funding this research. Funding for this research was provided by the US NSF grant ANT-1048343 to SW.</t>
  </si>
  <si>
    <t>0191-6122</t>
  </si>
  <si>
    <t>1558-9188</t>
  </si>
  <si>
    <t>Palynology</t>
  </si>
  <si>
    <t>10.1080/01916122.2014.999954</t>
  </si>
  <si>
    <t>Plant Sciences; Paleontology</t>
  </si>
  <si>
    <t>DD3UC</t>
  </si>
  <si>
    <t>WOS:000369847500005</t>
  </si>
  <si>
    <t>Terhune, JM</t>
  </si>
  <si>
    <t>Terhune, John M.</t>
  </si>
  <si>
    <t>Weddell seals do not lengthen calls in response to conspecific masking</t>
  </si>
  <si>
    <t>BIOACOUSTICS-THE INTERNATIONAL JOURNAL OF ANIMAL SOUND AND ITS RECORDING</t>
  </si>
  <si>
    <t>Leptonychotes weddellii; Weddell seals; vocalizations; anti-masking; calling rates; calling behaviours</t>
  </si>
  <si>
    <t>UNDERWATER VOCALIZATIONS; LEPTONYCHOTES-WEDDELLII; PAGOPHILUS-GROENLANDICUS; AMBIENT NOISE; HARP; ANTARCTICA; ICE; REPETITION; SONGS; RATES</t>
  </si>
  <si>
    <t>Some mammalian and avian species alter their vocal communication signals to reduce masking by background noises (including conspecific calls). A preliminary study suggested that Weddell seals (Leptonychotes weddellii) increase the durations of some underwater call types when overlapped by another calling seal. The present study examined the durations and overlapping sequences of Weddell seal calls recorded in Eastern Antarctica. The calling rate, call type (13 major categories), total duration, numbers of elements per call and overlapping order of 100-200 consecutive calls per recording location were measured. In response to increased conspecific calling rates, the call durations and numbers of elements (within repeated-element call types) did not change or became shorter. Calls that were not overlapped were 3.8 +/- 6.1s long, the first call in a series of overlapped calls was 14.4 +/- 15.7s and subsequent calls in an overlapping series were 6.5 +/- 10.3s. The mean durations of non-overlapped and overlapped calls matched random distributions. Weddell seals do not appear to be adjusting the durations or timing of their calls to purposefully avoid masking each other's calls. The longer a call is, the more likely it is to overlap another call by chance. An implication of this is that Weddell seals may not have the behavioural flexibility to reduce masking by altering the temporal aspects of their calls or calling behaviours as background noises (natural and from shipping) increase.</t>
  </si>
  <si>
    <t>[Terhune, John M.] Univ New Brunswick, Dept Biol, St John, NB, Canada</t>
  </si>
  <si>
    <t>University of New Brunswick</t>
  </si>
  <si>
    <t>Terhune, JM (corresponding author), Univ New Brunswick, Dept Biol, St John, NB, Canada.</t>
  </si>
  <si>
    <t>terhune@unb.ca</t>
  </si>
  <si>
    <t>Australian Antarctic Division; Natural Sciences and Engineering Research Council of Canada</t>
  </si>
  <si>
    <t>Australian Antarctic Division; Natural Sciences and Engineering Research Council of Canada(Natural Sciences and Engineering Research Council of Canada (NSERC)CGIAR)</t>
  </si>
  <si>
    <t>This work was supported by Australian Antarctic Division; Natural Sciences and Engineering Research Council of Canada.</t>
  </si>
  <si>
    <t>0952-4622</t>
  </si>
  <si>
    <t>2165-0586</t>
  </si>
  <si>
    <t>BIOACOUSTICS</t>
  </si>
  <si>
    <t>Bioacoustics</t>
  </si>
  <si>
    <t>10.1080/09524622.2015.1089791</t>
  </si>
  <si>
    <t>CZ5NN</t>
  </si>
  <si>
    <t>WOS:000367149400001</t>
  </si>
  <si>
    <t>Deng, XG; Yi, L; Paterson, GA; Qin, HF; Wang, HF; Yao, HQ; Ren, JB; Ge, JY; Xu, HZ; Deng, CL; Zhu, RX</t>
  </si>
  <si>
    <t>Deng, Xiguang; Yi, Liang; Paterson, Greig A.; Qin, Huafeng; Wang, Haifeng; Yao, Huiqiang; Ren, Jiangbo; Ge, Junyi; Xu, Hongzhou; Deng, Chenglong; Zhu, Rixiang</t>
  </si>
  <si>
    <t>Magnetostratigraphic evidence for deep-sea erosion on the Pacific Plate, south of Mariana Trench, since the middle Pleistocene: potential constraints for Antarctic bottom water circulation</t>
  </si>
  <si>
    <t>INTERNATIONAL GEOLOGY REVIEW</t>
  </si>
  <si>
    <t>Mariana Trench; magnetostratigraphy; Plio-Pleistocene; abyssal erosion</t>
  </si>
  <si>
    <t>RARE-EARTH-ELEMENTS; CONTRASTS; SEDIMENTS; DEPOSITS; HISTORY; CURVES; EXPORT; OCEAN</t>
  </si>
  <si>
    <t>The Antarctic Bottom Water (AABW) current plays a crucial role in storing and transporting heat, water, and nutrients around the world. However, it is impossible to monitor AABW in the Plio-Pleistocene by direct measurement. Hence, abyssal erosion was usually chosen as an effective indicator of the presence of the AABW in the Indian and Eastern Pacific Oceans during that period. Here, we report a high-resolution magnetostratigraphy of a gravity core, the JL7KGC-01A from the south of the Mariana Trench, northwest Pacific Ocean. The main results are as follows: (1) polarity data suggest that the sequence recorded the late Gauss chron to the early Brunhes chron, including the Jaramillo, Cobb Mountain, and Olduvai normal subchrons; (2) the sedimentary processes in the study area since 2.9Ma show three stages of sedimentation: 83cm/Ma during 2.9-1.2Ma, 183cm/Ma during 1.2-0.7Ma, and no sedimentation since similar to 0.7Ma; (3) the area south of the Mariana Trench experienced a significant change in the deposition rate at 1.2Ma, which could be correlated with the intensified desertification in inland Asia, and experienced a prominent depositional hiatus since the early middle Pleistocene, which likely resulted from the enhanced/expanded AABW. Based on these new polarity data and comparisons with previous studies around the Pacific Ocean, we therefore propose that the AABW experienced a notable change during the early-mid Pleistocene transition.</t>
  </si>
  <si>
    <t>[Deng, Xiguang; Wang, Haifeng; Yao, Huiqiang; Ren, Jiangbo] Guangzhou Marine Geol Survey, Minist Land &amp; Resources, Key Lab Marine Mineral Resources, Guangzhou, Guangdong, Peoples R China; [Yi, Liang; Qin, Huafeng; Deng, Chenglong; Zhu, Rixiang] Chinese Acad Sci, Inst Geol &amp; Geophys, State Key Lab Lithospher Evolut, Beijing, Peoples R China; [Yi, Liang; Xu, Hongzhou] Chinese Acad Sci, Sanya Inst Deep Sea Sci &amp; Engn, Sanya, Peoples R China; [Paterson, Greig A.] Chinese Acad Sci, Inst Geol &amp; Geophys, Key Lab Earths Deep Interior, Beijing, Peoples R China; [Ge, Junyi] Chinese Acad Sci, Inst Vertebrate Palaeontol &amp; Palaeoanthropol, Key Lab Vertebrate Evolut &amp; Human Origins, Beijing, Peoples R China</t>
  </si>
  <si>
    <t>Ministry of Natural Resources of the People's Republic of China; China Geological Survey; Guangzhou Marine Geological Survey; Chinese Academy of Sciences; Institute of Geology &amp; Geophysics, CAS; Chinese Academy of Sciences; Institute of Deep-Sea Science &amp; Engineering, CAS; Chinese Academy of Sciences; Institute of Geology &amp; Geophysics, CAS; Chinese Academy of Sciences; Institute of Vertebrate Paleontology &amp; Paleoanthropology, CAS</t>
  </si>
  <si>
    <t>Yi, L (corresponding author), Chinese Acad Sci, Inst Geol &amp; Geophys, State Key Lab Lithospher Evolut, Beijing, Peoples R China.</t>
  </si>
  <si>
    <t>yiliang@sidsse.ac.cn; cldeng@mail.iggcas.ac.cn</t>
  </si>
  <si>
    <t>zhao, xiang/P-5590-2016; Yi, Liang/AAM-9737-2020; Yao, HQ/AAJ-4140-2020; Ren, Jiangbo/JAO-2940-2023; GE, Junyi/GRX-5741-2022; Ren, Jiangbo/ACU-0494-2022; xu, hz/ABG-4778-2021; Zhu, Rixiang/F-2126-2018; Paterson, Greig/J-4537-2012; ?, ??/B-8871-2009</t>
  </si>
  <si>
    <t>Yi, Liang/0000-0003-3377-8591; Paterson, Greig/0000-0002-6864-7420; ?, ??/0000-0003-1848-3170; Yao, Huiqiang/0000-0001-9757-4833</t>
  </si>
  <si>
    <t>China Geological Survey Programme [FZH201100303]; National Natural Science Foundation of China [41402153, 40925012]; National Key Basic Research Programme of China [2012CB821900]; Strategic Priority Research Programme of CAS [XDB06020101]</t>
  </si>
  <si>
    <t>China Geological Survey Programme; National Natural Science Foundation of China(National Natural Science Foundation of China (NSFC)); National Key Basic Research Programme of China(National Basic Research Program of China); Strategic Priority Research Programme of CAS</t>
  </si>
  <si>
    <t>This research was supported by the China Geological Survey Programme [FZH201100303], the National Natural Science Foundation of China [41402153, 40925012], the National Key Basic Research Programme of China [2012CB821900], and the Strategic Priority Research Programme of CAS [XDB06020101].</t>
  </si>
  <si>
    <t>0020-6814</t>
  </si>
  <si>
    <t>1938-2839</t>
  </si>
  <si>
    <t>INT GEOL REV</t>
  </si>
  <si>
    <t>Int. Geol. Rev.</t>
  </si>
  <si>
    <t>10.1080/00206814.2015.1055597</t>
  </si>
  <si>
    <t>CR9UO</t>
  </si>
  <si>
    <t>WOS:000361703200004</t>
  </si>
  <si>
    <t>Vereda, M</t>
  </si>
  <si>
    <t>Schillat, M; Jensen, M; Vereda, M; Sanchez, RA; Roura, R</t>
  </si>
  <si>
    <t>Vereda, Marisol</t>
  </si>
  <si>
    <t>Antarctica in the Mind of Visitors: Representations of a Remote Destination</t>
  </si>
  <si>
    <t>TOURISM IN ANTARCTICA: A MULTIDISCIPLINARY VIEW OF NEW ACTIVITIES CARRIED OUT ON THE WHITE CONTINENT</t>
  </si>
  <si>
    <t>SpringerBriefs in Geography</t>
  </si>
  <si>
    <t>Article; Book Chapter</t>
  </si>
  <si>
    <t>Tourist representations; Expectations; Satisfaction; Experience; Wilderness</t>
  </si>
  <si>
    <t>In recent years, Antarctica has been identified as an important remote destination for tourism, with a diverse offer based on its natural and historical resources, which motivates tourist flows to this continent of the extremes. The mental construct of Antarctica as a tourist destination is specially shaped in the place of origin of visitors by different factors related to the past experience, by word of mouth and external communication as well. This contribution examines visitors' representations of Antarctica as a remote destination. To do so, a structured questionnaire was used during two Austral summer seasons, considering different stages as regards the Antarctic experience (images prior to departure, on-site experience and level of satisfaction achieved). Taking into account the number of visitors who go to the Antarctic Peninsula each summer season, it is interesting to consider their profile as well as the representations they have about Antarctica and the type of experience accomplished since the space gains a special meaning and therefore, different tensions take place, which give value to resources and generate attractiveness.</t>
  </si>
  <si>
    <t>[Vereda, Marisol] Univ Nacl Tierra del Fuego, Inst Desarrollo Econ &amp; Innovac, Onas 450, RA-0910 Ushuaia, Argentina</t>
  </si>
  <si>
    <t>Vereda, M (corresponding author), Univ Nacl Tierra del Fuego, Inst Desarrollo Econ &amp; Innovac, Onas 450, RA-0910 Ushuaia, Argentina.</t>
  </si>
  <si>
    <t>mvereda@untdf.edu.ar</t>
  </si>
  <si>
    <t>Vereda, Marisol/ABE-9136-2021</t>
  </si>
  <si>
    <t>Vereda, Marisol/0000-0003-1157-2971</t>
  </si>
  <si>
    <t>2211-4165</t>
  </si>
  <si>
    <t>978-3-319-39914-0; 978-3-319-39912-6</t>
  </si>
  <si>
    <t>SPRINGERBRIEF GEOGR</t>
  </si>
  <si>
    <t>10.1007/978-3-319-39914-0_1</t>
  </si>
  <si>
    <t>10.1007/978-3-319-39914-0</t>
  </si>
  <si>
    <t>Hospitality, Leisure, Sport &amp; Tourism</t>
  </si>
  <si>
    <t>Book Citation Index – Social Sciences &amp; Humanities (BKCI-SSH)</t>
  </si>
  <si>
    <t>Social Sciences - Other Topics</t>
  </si>
  <si>
    <t>BJ1KD</t>
  </si>
  <si>
    <t>WOS:000417782800002</t>
  </si>
  <si>
    <t>Schillat, M</t>
  </si>
  <si>
    <t>Schillat, Monika</t>
  </si>
  <si>
    <t>Images of Antarctica as Transmitted by Literature</t>
  </si>
  <si>
    <t>Antarctic literature; Construction of imaginary space; Tourist expectation; Recreation of epic voyages; Extreme adventure tourism</t>
  </si>
  <si>
    <t>This chapter intends to retrace the imagination about Antarctica, focusing on the production of two centuries of narration, starting with science-fiction, eco-thrillers and action-adventure novels, than moving on to non-fantastic narratives which take place in the everyday experiences on the White Continent and finally focusing on soul-searching and personal transformation in the later twentieth century. It attempts to reconstruct the images conjured in the literature, which might have influenced and motivated the expectations of modern day travellers. The study is limited to Anglophone readers and travellers. The article concludes by discussing how the imagery of polar heroes of Antarctic Exploration, as presented in fiction, leads to proposals of extreme adventures and experiences, which might allow the traveller to retrace the steps of their idols from the past.</t>
  </si>
  <si>
    <t>[Schillat, Monika] Univ Nacl Tierra del Fuego, Inst Ciencias Polares Ambiente &amp; Recursos Nat, Onas 450, RA-0910 Ushuaia, Argentina</t>
  </si>
  <si>
    <t>Schillat, M (corresponding author), Univ Nacl Tierra del Fuego, Inst Ciencias Polares Ambiente &amp; Recursos Nat, Onas 450, RA-0910 Ushuaia, Argentina.</t>
  </si>
  <si>
    <t>mschillat@untdf.edu.ar</t>
  </si>
  <si>
    <t>10.1007/978-3-319-39914-0_2</t>
  </si>
  <si>
    <t>WOS:000417782800003</t>
  </si>
  <si>
    <t>Sánchez, RA; Roura, R</t>
  </si>
  <si>
    <t>Sanchez, Rodolfo A.; Roura, Ricardo</t>
  </si>
  <si>
    <t>Supervision of Antarctic Shipborne Tourism: A Pending Issue?</t>
  </si>
  <si>
    <t>Antarctic tourism; Antarctic treaty system; Tourism regulation; Tourism supervision; Visitor guidelines; Port state control; Flag state control</t>
  </si>
  <si>
    <t>This chapter focuses on the ways Parties to the Antarctic Treaty, and the tourism industry supervise the implementation of applicable regulation for Antarctic shipborne tourism. Tourism regulation is adopted in the framework of the Antarctic Treaty Consultative Meetings, as well as the external provisions from other international fora and by industry self-regulation. Based on a description of the existing regulation and provisions in place, this chapter discusses the way supervision of Antarctic tourist operations have been debated, conducted and reported by both Treaty Parties and the industry. The article concludes by discussing likely mechanisms to enhance supervision of the management of shipborne tourist activities in Antarctica, and proposing further lines of research on this issue.</t>
  </si>
  <si>
    <t>[Sanchez, Rodolfo A.] Minist Relac Exteriores &amp; Culto, Direcc Gen Asuntos Antarticos, Esmeralda 1212,C1007ABR, RA-1212 Buenos Aires, DF, Argentina; [Roura, Ricardo] Antarctic &amp; Southern Ocean Coalit, 1320 19th St NW,5th Floor, Washington, DC 20036 USA</t>
  </si>
  <si>
    <t>Sánchez, RA (corresponding author), Minist Relac Exteriores &amp; Culto, Direcc Gen Asuntos Antarticos, Esmeralda 1212,C1007ABR, RA-1212 Buenos Aires, DF, Argentina.</t>
  </si>
  <si>
    <t>zrf@mrecic.gov.ar; ricardo.roura@worldonline.nl</t>
  </si>
  <si>
    <t>10.1007/978-3-319-39914-0_3</t>
  </si>
  <si>
    <t>WOS:000417782800004</t>
  </si>
  <si>
    <t>Adventure Tourism Poses New Challenges for the International Association of Antarctica Tour Operators (IAATO)</t>
  </si>
  <si>
    <t>IAATO; Visitor guidance; Management of tour operators; Expansion of new activities; Adventure tourism</t>
  </si>
  <si>
    <t>The chapter focuses on how the IAATO (International Association of Antarctica Tour Operators), member organization, which aims to advocate and promote the practice of safe and environmentally responsible travel to the Antarctic has dealt over the last 25 years with visitor guidance and the management of the tour operators. It also discusses how the apparent expansion of new activities, such as adventure tourism proposals, carried out in Antarctica, pose new challenges to both Treaty Parties and IAATO, keeping in mind aspects of risk management and environmental considerations. We aim to analyze IAATO's strategies towards these new activities.</t>
  </si>
  <si>
    <t>10.1007/978-3-319-39914-0_4</t>
  </si>
  <si>
    <t>WOS:000417782800005</t>
  </si>
  <si>
    <t>Jensen, M; Vereda, M</t>
  </si>
  <si>
    <t>Jensen, Marie; Vereda, Marisol</t>
  </si>
  <si>
    <t>The Origins and Development of Antarctic Tourism Through Ushuaia as a Gateway Port</t>
  </si>
  <si>
    <t>Tourist flows; Gateway; Antarctic voyages; Antarctic visitors; Government and private sectors</t>
  </si>
  <si>
    <t>From a diachronic perspective, this contribution offers an analysis of seaborne tourism to Antarctica focusing on Ushuaia as a base port and/or a port of call from 1958 to 2014. In this respect, a periodization was undertaken according to key factors that determined the tourist shipborne flows to Antarctica. The analysis starts with the first tourist voyage to Antarctica on board the vessel Les Eclaireurs, organized by Argentina in January 1958 and it finishes in 2014, including the 2014/2015 Austral summer season. The comparison of different sources enables a revision of the voyages, tourist flows, evolution of seasons, factors that influenced the development of Antarctic tourism and the role of Ushuaia as a gateway city. Likewise, a reference to the tourist boom in the 1970s is given, since it is the period when Antarctic shipborne tourism consolidates as a tourist product, being the most active decade before the sustained growth that started in the 1990s. Also, the occurrence of large cruise ships is taken into account. Finally, an integrated analysis per period is provided.</t>
  </si>
  <si>
    <t>[Jensen, Marie; Vereda, Marisol] Univ Nacl Tierra del Fuego, Inst Desarrollo Econ &amp; Innovac, Onas 450, RA-0910 Ushuaia, Argentina</t>
  </si>
  <si>
    <t>Jensen, M (corresponding author), Univ Nacl Tierra del Fuego, Inst Desarrollo Econ &amp; Innovac, Onas 450, RA-0910 Ushuaia, Argentina.</t>
  </si>
  <si>
    <t>mjensen@untdf.edu.ar; mvereda@untdf.edu.ar</t>
  </si>
  <si>
    <t>10.1007/978-3-319-39914-0_5</t>
  </si>
  <si>
    <t>WOS:000417782800006</t>
  </si>
  <si>
    <t>Leane, E</t>
  </si>
  <si>
    <t>Roberts, P; VanDerWatt, LM; Howkins, A</t>
  </si>
  <si>
    <t>Leane, Elizabeth</t>
  </si>
  <si>
    <t>Antarctic Diaries and Heroic Reputations: Changing the Subject</t>
  </si>
  <si>
    <t>ANTARCTICA AND THE HUMANITIES</t>
  </si>
  <si>
    <t>Palgrave Studies in the History of Science and Technology</t>
  </si>
  <si>
    <t>[Leane, Elizabeth] Univ Tasmania, Sch Humanities, Inst Marine &amp; Antarctic Studies, Hobart, Tas, Australia</t>
  </si>
  <si>
    <t>Leane, E (corresponding author), Univ Tasmania, Sch Humanities, Inst Marine &amp; Antarctic Studies, Hobart, Tas, Australia.</t>
  </si>
  <si>
    <t>Leane, Elizabeth/0000-0002-7954-6529</t>
  </si>
  <si>
    <t>PALGRAVE</t>
  </si>
  <si>
    <t>BASINGSTOKE</t>
  </si>
  <si>
    <t>HOUNDMILLS, BASINGSTOKE RG21 6XS, ENGLAND</t>
  </si>
  <si>
    <t>978-1-137-54575-6; 978-1-137-54574-9</t>
  </si>
  <si>
    <t>PALGR STUD HIST SCI</t>
  </si>
  <si>
    <t>10.1057/978-1-137-54575-6_2</t>
  </si>
  <si>
    <t>10.1057/978-1-137-54575-6</t>
  </si>
  <si>
    <t>History; History &amp; Philosophy Of Science</t>
  </si>
  <si>
    <t>Book Citation Index – Social Sciences &amp; Humanities (BKCI-SSH); Book Citation Index – Science (BKCI-S)</t>
  </si>
  <si>
    <t>History; History &amp; Philosophy of Science</t>
  </si>
  <si>
    <t>BH1UW</t>
  </si>
  <si>
    <t>WOS:000398561300003</t>
  </si>
  <si>
    <t>Lüdecke, C</t>
  </si>
  <si>
    <t>Luedecke, Cornelia</t>
  </si>
  <si>
    <t>Beriberi at Kerguelen: A Sub-Antarctic Case Study of a Tropical Disease, 1901-1903</t>
  </si>
  <si>
    <t>[Luedecke, Cornelia] SCAR Hist Expert Grp, Munich, Germany</t>
  </si>
  <si>
    <t>Lüdecke, C (corresponding author), SCAR Hist Expert Grp, Munich, Germany.</t>
  </si>
  <si>
    <t>10.1057/978-1-137-54575-6_3</t>
  </si>
  <si>
    <t>WOS:000398561300004</t>
  </si>
  <si>
    <t>van der Watt, LM; Swart, S</t>
  </si>
  <si>
    <t>van der Watt, Lize-Marie; Swart, Sandra</t>
  </si>
  <si>
    <t>The Whiteness of Antarctica: Race and South Africa's Antarctic History</t>
  </si>
  <si>
    <t>[van der Watt, Lize-Marie] Umea Univ, Arctic Res Ctr, Umea, Sweden; [Swart, Sandra] Stellenbosch Univ, Dept Hist, Stellenbosch, South Africa</t>
  </si>
  <si>
    <t>Umea University; Stellenbosch University</t>
  </si>
  <si>
    <t>van der Watt, LM (corresponding author), Umea Univ, Arctic Res Ctr, Umea, Sweden.</t>
  </si>
  <si>
    <t>Swart, Sandra/0000-0002-4608-2182</t>
  </si>
  <si>
    <t>10.1057/978-1-137-54575-6_6</t>
  </si>
  <si>
    <t>WOS:000398561300007</t>
  </si>
  <si>
    <t>Howkins, A</t>
  </si>
  <si>
    <t>Howkins, Adrian</t>
  </si>
  <si>
    <t>Emerging from the Shadow of Science: Challenges and Opportunities for Antarctic History</t>
  </si>
  <si>
    <t>[Howkins, Adrian] Colorado State Univ, Dept Hist, Ft Collins, CO 80523 USA</t>
  </si>
  <si>
    <t>Colorado State University</t>
  </si>
  <si>
    <t>Howkins, A (corresponding author), Colorado State Univ, Dept Hist, Ft Collins, CO 80523 USA.</t>
  </si>
  <si>
    <t>10.1057/978-1-137-54575-6_11</t>
  </si>
  <si>
    <t>WOS:000398561300012</t>
  </si>
  <si>
    <t>Elzinga, A</t>
  </si>
  <si>
    <t>Elzinga, Aant</t>
  </si>
  <si>
    <t>Some Reflections on the Emergence of Antarctic Humanities</t>
  </si>
  <si>
    <t>CLIMATE; HISTORY</t>
  </si>
  <si>
    <t>[Elzinga, Aant] Gothenburg Univ, Dept Philosophy Linguist &amp; Theory Sci, Gothenburg, Sweden</t>
  </si>
  <si>
    <t>University of Gothenburg</t>
  </si>
  <si>
    <t>Elzinga, A (corresponding author), Gothenburg Univ, Dept Philosophy Linguist &amp; Theory Sci, Gothenburg, Sweden.</t>
  </si>
  <si>
    <t>10.1057/978-1-137-54575-6_12</t>
  </si>
  <si>
    <t>WOS:000398561300013</t>
  </si>
  <si>
    <t>Dowdeswell, JA; Batchelor, CL; Hogan, KA; Schenke, HW</t>
  </si>
  <si>
    <t>Dowdeswell, JA; Canals, M; Jakobsson, M; Todd, BJ; Dowdeswell, EK; Hogan, KA</t>
  </si>
  <si>
    <t>Dowdeswell, J. A.; Batchelor, C. L.; Hogan, K. A.; Schenke, H. -W.</t>
  </si>
  <si>
    <t>Nordvestfjord: a major East Greenland fjord system</t>
  </si>
  <si>
    <t>ATLAS OF SUBMARINE GLACIAL LANDFORMS: MODERN, QUATERNARY AND ANCIENT</t>
  </si>
  <si>
    <t>Geological Society Memoirs</t>
  </si>
  <si>
    <t>SCORESBY-SUND; MARGIN</t>
  </si>
  <si>
    <t>[Dowdeswell, J. A.; Batchelor, C. L.] Univ Cambridge, Scott Polar Res Inst, Cambridge CB2 1ER, England; [Hogan, K. A.] British Antarctic Survey, Nat Environm Res Council, Madingley Rd, Cambridge CB3 0ET, England; [Schenke, H. -W.] Helmholtz Ctr Polar &amp; Marine Res, Alfred Wegener Inst, D-27570 Bremerhaven, Germany</t>
  </si>
  <si>
    <t>University of Cambridge; UK Research &amp; Innovation (UKRI); Natural Environment Research Council (NERC); NERC British Antarctic Survey; Helmholtz Association; Alfred Wegener Institute, Helmholtz Centre for Polar &amp; Marine Research</t>
  </si>
  <si>
    <t>Dowdeswell, JA (corresponding author), Univ Cambridge, Scott Polar Res Inst, Cambridge CB2 1ER, England.</t>
  </si>
  <si>
    <t>jd16@cam.ac.uk</t>
  </si>
  <si>
    <t>Batchelor, Christine/JCN-7543-2023</t>
  </si>
  <si>
    <t>Dowdeswell, Julian/0000-0003-1369-9482</t>
  </si>
  <si>
    <t>NERC [bas0100030] Funding Source: UKRI</t>
  </si>
  <si>
    <t>NERC(UK Research &amp; Innovation (UKRI)Natural Environment Research Council (NERC))</t>
  </si>
  <si>
    <t>GEOLOGICAL SOC PUBLISHING HOUSE</t>
  </si>
  <si>
    <t>UNIT 7, BRASSMILL ENTERPRISE CTR, BRASSMILL LANE, BATH BA1 3JN, AVON, ENGLAND</t>
  </si>
  <si>
    <t>0435-4052</t>
  </si>
  <si>
    <t>978-1-78620-268-0</t>
  </si>
  <si>
    <t>GEOL SOC MEM</t>
  </si>
  <si>
    <t>10.1144/M46.40</t>
  </si>
  <si>
    <t>Book Citation Index – Science (BKCI-S)</t>
  </si>
  <si>
    <t>BH2ZX</t>
  </si>
  <si>
    <t>WOS:000399497100004</t>
  </si>
  <si>
    <t>MacLean, B; Blasco, S; Bennett, R; Clarke, JEH; Patton, E</t>
  </si>
  <si>
    <t>MacLean, B.; Blasco, S.; Bennett, R.; Clarke, J. E. Hughes; Patton, E.</t>
  </si>
  <si>
    <t>Mega-scale glacial lineations, Peel Sound, Canadian Arctic Archipelago</t>
  </si>
  <si>
    <t>ANTARCTIC ICE STREAM; AMUNDSEN GULF; BENEATH; LANDFORMS; EVOLUTION; RETREAT</t>
  </si>
  <si>
    <t>[MacLean, B.; Blasco, S.; Bennett, R.; Patton, E.] Nat Resources Canada, Geol Survey Canada, POB 1006, Dartmouth, NS B2Y 4A2, Canada; [Clarke, J. E. Hughes] Univ New Brunswick, Ocean Mapping Grp, Fredericton, NB E3B 5A3, Canada</t>
  </si>
  <si>
    <t>Natural Resources Canada; Lands &amp; Minerals Sector - Natural Resources Canada; Geological Survey of Canada; University of New Brunswick</t>
  </si>
  <si>
    <t>MacLean, B (corresponding author), Nat Resources Canada, Geol Survey Canada, POB 1006, Dartmouth, NS B2Y 4A2, Canada.</t>
  </si>
  <si>
    <t>Brian.Maclean@canada.ca</t>
  </si>
  <si>
    <t>Hughes Clarke, John/0000-0002-3846-9926</t>
  </si>
  <si>
    <t>10.1144/M46.89</t>
  </si>
  <si>
    <t>WOS:000399497100006</t>
  </si>
  <si>
    <t>Moat features, Amundsen Gulf, Canadian Arctic Archipelago</t>
  </si>
  <si>
    <t>ANTARCTIC ICE STREAM; SCALE GLACIAL LINEATIONS; BENEATH</t>
  </si>
  <si>
    <t>Blasco, S (corresponding author), Nat Resources Canada, Geol Survey Canada, POB 1006, Dartmouth, NS B2Y 4A2, Canada.</t>
  </si>
  <si>
    <t>rbennett@canada.ca</t>
  </si>
  <si>
    <t>10.1144/M46.85</t>
  </si>
  <si>
    <t>WOS:000399497100008</t>
  </si>
  <si>
    <t>Fransner, O; Noormets, R; Flink, AE; Hogan, KA</t>
  </si>
  <si>
    <t>Fransner, O.; Noormets, R.; Flink, A. E.; Hogan, K. A.</t>
  </si>
  <si>
    <t>Crag-and-tail landforms in outer Rijpfjorden, Nordaustlandet, Svalbard</t>
  </si>
  <si>
    <t>WEICHSELIAN ICE-SHEET; SUBMARINE LANDFORMS; FLOW; RECONSTRUCTION; SEA</t>
  </si>
  <si>
    <t>[Fransner, O.; Noormets, R.; Flink, A. E.] Univ Ctr Svalbard, Dept Arctic Geol, N-9171 Longyearbyen, Norway; [Hogan, K. A.] British Antarctic Survey, Nat Environm Res Council, Madingley Rd, Cambridge CB3 0ET, England</t>
  </si>
  <si>
    <t>University Centre Svalbard (UNIS); UK Research &amp; Innovation (UKRI); Natural Environment Research Council (NERC); NERC British Antarctic Survey</t>
  </si>
  <si>
    <t>Fransner, O (corresponding author), Univ Ctr Svalbard, Dept Arctic Geol, N-9171 Longyearbyen, Norway.</t>
  </si>
  <si>
    <t>oscarjacob.fransner@unis.no</t>
  </si>
  <si>
    <t>Noormets, Riko/0000-0002-2832-386X</t>
  </si>
  <si>
    <t>10.1144/M46.125</t>
  </si>
  <si>
    <t>WOS:000399497100011</t>
  </si>
  <si>
    <t>Graham, AGC; Hodgson, DA</t>
  </si>
  <si>
    <t>Graham, A. G. C.; Hodgson, D. A.</t>
  </si>
  <si>
    <t>Terminal moraines in the fjord basins of sub-Antarctic South Georgia</t>
  </si>
  <si>
    <t>[Graham, A. G. C.] Univ Exeter, Coll Life &amp; Environm Sci, Rennes Dr, Exeter EX4 4RJ, Devon, England; [Hodgson, D. A.] British Antarctic Survey, Nat Environm Res Council, Madingley Rd, Cambridge CB3 0ET, England</t>
  </si>
  <si>
    <t>University of Exeter; UK Research &amp; Innovation (UKRI); Natural Environment Research Council (NERC); NERC British Antarctic Survey</t>
  </si>
  <si>
    <t>Graham, AGC (corresponding author), Univ Exeter, Coll Life &amp; Environm Sci, Rennes Dr, Exeter EX4 4RJ, Devon, England.</t>
  </si>
  <si>
    <t>a.graham@exeter.ac.uk</t>
  </si>
  <si>
    <t>NERC [bas0100030, NE/K000527/2] Funding Source: UKRI</t>
  </si>
  <si>
    <t>10.1144/M46.165</t>
  </si>
  <si>
    <t>WOS:000399497100016</t>
  </si>
  <si>
    <t>Burton, D. J.; Dowdeswell, J. A.; Hogan, K. A.; Noormets, R.</t>
  </si>
  <si>
    <t>Little Ice Age terminal and retreat moraines in Kollerfjorden, NW Spitsbergen</t>
  </si>
  <si>
    <t>LANDFORMS; SVALBARD; FJORDS; SURGE</t>
  </si>
  <si>
    <t>[Burton, D. J.; Dowdeswell, J. A.] Univ Cambridge, Scott Polar Res Inst, Cambridge CB2 1ER, England; [Hogan, K. A.] British Antarctic Survey, Nat Environm Res Council, Madingley Rd, Cambridge CB3 0ET, England; [Noormets, R.] Univ Ctr Svalbard, Dept Arctic Geol, N-9171 Longyearbyen, Norway</t>
  </si>
  <si>
    <t>Noormets, Riko/0000-0002-2832-386X; Dowdeswell, Julian/0000-0003-1369-9482</t>
  </si>
  <si>
    <t>10.1144/M46.35</t>
  </si>
  <si>
    <t>WOS:000399497100018</t>
  </si>
  <si>
    <t>O Cofaigh, C; Hogan, KA; Dowdeswell, JA; Streuff, K</t>
  </si>
  <si>
    <t>O Cofaigh, C.; Hogan, K. A.; Dowdeswell, J. A.; Streuff, K.</t>
  </si>
  <si>
    <t>Stratified glacimarine basin-fills in West Greenland fjords</t>
  </si>
  <si>
    <t>[O Cofaigh, C.; Streuff, K.] Univ Durham, Dept Geog, Durham DH1 3LE, England; [Hogan, K. A.] British Antarctic Survey, Nat Environm Res Council, Madingley Rd, Cambridge CB3 0ET, England; [Dowdeswell, J. A.] Univ Cambridge, Scott Polar Res Inst, Cambridge CB2 1ER, England</t>
  </si>
  <si>
    <t>Durham University; UK Research &amp; Innovation (UKRI); Natural Environment Research Council (NERC); NERC British Antarctic Survey; University of Cambridge</t>
  </si>
  <si>
    <t>O Cofaigh, C (corresponding author), Univ Durham, Dept Geog, Durham DH1 3LE, England.</t>
  </si>
  <si>
    <t>colm.ocofaigh@durham.ac.uk</t>
  </si>
  <si>
    <t>Streuff, Katharina/JVO-1269-2024</t>
  </si>
  <si>
    <t>Streuff, Katharina/0000-0002-1508-8311; Dowdeswell, Julian/0000-0003-1369-9482</t>
  </si>
  <si>
    <t>10.1144/M46.83</t>
  </si>
  <si>
    <t>WOS:000399497100032</t>
  </si>
  <si>
    <t>O'Brien, PE; Smith, J; Riddle, M</t>
  </si>
  <si>
    <t>O'Brien, P. E.; Smith, J.; Riddle, M.</t>
  </si>
  <si>
    <t>Bouldery debris mantle deposited by cold-based ice offshore of the Vestfold Hills, East Antarctica</t>
  </si>
  <si>
    <t>[O'Brien, P. E.] Macquarie Univ, Dept Environm Sci, Sydney, NSW 2109, Australia; [Smith, J.] Geosci Australia, GPO Box 378, Canberra, ACT 2601, Australia; [Riddle, M.] Australian Antarctic Div, Channel Highway, Kingston, Tas 7050, Australia</t>
  </si>
  <si>
    <t>Macquarie University; Geoscience Australia; Australian Antarctic Division</t>
  </si>
  <si>
    <t>O'Brien, PE (corresponding author), Macquarie Univ, Dept Environm Sci, Sydney, NSW 2109, Australia.</t>
  </si>
  <si>
    <t>phil.obrien.ant@gmail.com</t>
  </si>
  <si>
    <t>O'Brien, Philip/0000-0003-3446-3292; Smith, Jodie/0000-0002-4706-4269</t>
  </si>
  <si>
    <t>10.1144/M46.48</t>
  </si>
  <si>
    <t>WOS:000399497100040</t>
  </si>
  <si>
    <t>Lavoie, C; Domack, EW; Heirman, K; Naudts, L; Brachfeld, S</t>
  </si>
  <si>
    <t>Lavoie, C.; Domack, E. W.; Heirman, K.; Naudts, L.; Brachfeld, S.</t>
  </si>
  <si>
    <t>A Holocene volcanic knoll within a glacial trough, Antarctic Sound, northern Antarctic Peninsula</t>
  </si>
  <si>
    <t>[Lavoie, C.] Univ Aveiro, Dept Geosci, CESAM, P-3810193 Aveiro, Portugal; [Domack, E. W.] Univ S Florida, Coll Marine Sci, St Petersburg, FL 33701 USA; [Heirman, K.; Naudts, L.] Univ Ghent, Renard Ctr Marine Geol, B-9000 Ghent, Belgium; [Heirman, K.; Naudts, L.] Geol Survey Denmark &amp; Greenland, Dept Geophys, Oster Voldgade 10, DK-1350 Copenhagen, Denmark; [Naudts, L.] Royal Belgian Inst Nat Sci RBINS OD Nat, B-8400 Oostende, Belgium; [Brachfeld, S.] Montclair State Univ, Dept Earth &amp; Environm Studies, Montclair, NJ 07043 USA</t>
  </si>
  <si>
    <t>Universidade de Aveiro; State University System of Florida; University of South Florida; Ghent University; Geological Survey Of Denmark &amp; Greenland; Montclair State University</t>
  </si>
  <si>
    <t>Domack, EW (corresponding author), Univ S Florida, Coll Marine Sci, St Petersburg, FL 33701 USA.</t>
  </si>
  <si>
    <t>edomack@usf.edu</t>
  </si>
  <si>
    <t>Heirman, Katrien/0000-0001-6832-8385; Brachfeld, Stefanie/0000-0003-4612-2866</t>
  </si>
  <si>
    <t>10.1144/M46.130</t>
  </si>
  <si>
    <t>WOS:000399497100045</t>
  </si>
  <si>
    <t>Canals, M; Amblas, D; Casamor, JL</t>
  </si>
  <si>
    <t>Canals, M.; Amblas, D.; Casamor, J. L.</t>
  </si>
  <si>
    <t>Cross-shelf troughs in Central Bransfield Basin, Antarctic Peninsula</t>
  </si>
  <si>
    <t>ICE-SHEET</t>
  </si>
  <si>
    <t>[Canals, M.; Amblas, D.; Casamor, J. L.] Univ Barcelona, GRC Geociencies Marines, E-08028 Barcelona, Spain</t>
  </si>
  <si>
    <t>University of Barcelona</t>
  </si>
  <si>
    <t>Canals, M (corresponding author), Univ Barcelona, GRC Geociencies Marines, E-08028 Barcelona, Spain.</t>
  </si>
  <si>
    <t>miquelcanals@ub.edu</t>
  </si>
  <si>
    <t>Canals, Miquel/F-4922-2013; Amblas, David/A-5482-2015; Casamor, Jose Luis/J-5719-2017</t>
  </si>
  <si>
    <t>Casamor, Jose Luis/0000-0001-9445-6997</t>
  </si>
  <si>
    <t>10.1144/M46.138</t>
  </si>
  <si>
    <t>WOS:000399497100059</t>
  </si>
  <si>
    <t>Cofaigh, CO; Livingstone, SJ; Dowdeswell, JA</t>
  </si>
  <si>
    <t>Cofaigh, C. O.; Livingstone, S. J.; Dowdeswell, J. A.</t>
  </si>
  <si>
    <t>Mega-scale glacial lineations in Marguerite Trough, Antarctic Peninsula</t>
  </si>
  <si>
    <t>PALEO-ICE STREAM; SHELF; BEDFORMS</t>
  </si>
  <si>
    <t>[Cofaigh, C. O.] Univ Durham, Dept Geog, Durham DH1 3LE, England; [Livingstone, S. J.] Univ Sheffield, Dept Geog, Sheffield S10 2TN, S Yorkshire, England; [Dowdeswell, J. A.] Univ Cambridge, Scott Polar Res Inst, Cambridge CB2 1ER, England</t>
  </si>
  <si>
    <t>Durham University; University of Sheffield; University of Cambridge</t>
  </si>
  <si>
    <t>Cofaigh, CO (corresponding author), Univ Durham, Dept Geog, Durham DH1 3LE, England.</t>
  </si>
  <si>
    <t>Livingstone, Stephen/0000-0002-7240-5037; Dowdeswell, Julian/0000-0003-1369-9482</t>
  </si>
  <si>
    <t>10.1144/M46.72</t>
  </si>
  <si>
    <t>WOS:000399497100061</t>
  </si>
  <si>
    <t>Canals, M; Amblas, D</t>
  </si>
  <si>
    <t>Canals, M.; Amblas, D.</t>
  </si>
  <si>
    <t>The bundle: a mega-scale glacial landform left by an ice stream, Western Bransfield Basin</t>
  </si>
  <si>
    <t>ANTARCTIC PENINSULA</t>
  </si>
  <si>
    <t>[Canals, M.; Amblas, D.] Univ Barcelona, GRC Geociencies Marines, E-08028 Barcelona, Spain</t>
  </si>
  <si>
    <t>Amblas, David/A-5482-2015; Canals, Miquel/F-4922-2013</t>
  </si>
  <si>
    <t>10.1144/M46.157</t>
  </si>
  <si>
    <t>WOS:000399497100062</t>
  </si>
  <si>
    <t>Tasianas, A; Bünz, S; Vadakkepuliyambatta, S; Mienert, J</t>
  </si>
  <si>
    <t>Tasianas, A.; Bunz, S.; Vadakkepuliyambatta, S.; Mienert, J.</t>
  </si>
  <si>
    <t>Buried subglacial landforms in the SW Barents Sea imaged using high-resolution P-Cable seismic data</t>
  </si>
  <si>
    <t>PALEO-ICE STREAM; ANTARCTIC PENINSULA; GEOMORPHOLOGY</t>
  </si>
  <si>
    <t>[Tasianas, A.; Bunz, S.; Vadakkepuliyambatta, S.; Mienert, J.] UiT Arctic Univ Norway, Dept Geol, Ctr Arctic Gas Hydrate Environm &amp; Climate, N-9037 Tromso, Norway</t>
  </si>
  <si>
    <t>UiT The Arctic University of Tromso</t>
  </si>
  <si>
    <t>Tasianas, A (corresponding author), UiT Arctic Univ Norway, Dept Geol, Ctr Arctic Gas Hydrate Environm &amp; Climate, N-9037 Tromso, Norway.</t>
  </si>
  <si>
    <t>alexandros.tasianas@uit.no</t>
  </si>
  <si>
    <t>Vadakkepuliyambatta, Sunil/ABA-4417-2021</t>
  </si>
  <si>
    <t>Vadakkepuliyambatta, Sunil/0000-0003-1118-1321; Bunz, Stefan/0000-0002-9215-7325</t>
  </si>
  <si>
    <t>10.1144/M46.117</t>
  </si>
  <si>
    <t>WOS:000399497100065</t>
  </si>
  <si>
    <t>Nitsche, FO; Larter, RD; Gohl, K; Graham, AGC; Kuhn, G</t>
  </si>
  <si>
    <t>Nitsche, F. O.; Larter, R. D.; Gohl, K.; Graham, A. G. C.; Kuhn, G.</t>
  </si>
  <si>
    <t>Crag-and-tail features on the Amundsen Sea continental shelf, West Antarctica</t>
  </si>
  <si>
    <t>GLACIAL GEOMORPHIC FEATURES; ICE-SHEET; EMBAYMENT</t>
  </si>
  <si>
    <t>[Nitsche, F. O.] Columbia Univ, Lamont Doherty Earth Observ, Palisades, NY 10964 USA; [Larter, R. D.] British Antarctic Survey, Nat Environm Res Council, Madingley Rd, Cambridge CB3 0ET, England; [Gohl, K.; Kuhn, G.] Helmholtz Ctr Polar &amp; Marine Res, Alfred Wegener Inst, Alten Hafen 26, D-27568 Bremerhaven, Germany; [Graham, A. G. C.] Univ Exeter, Coll Life &amp; Environm Sci, Rennes Dr, Exeter EX4 4RJ, Devon, England</t>
  </si>
  <si>
    <t>Columbia University; UK Research &amp; Innovation (UKRI); Natural Environment Research Council (NERC); NERC British Antarctic Survey; Helmholtz Association; Alfred Wegener Institute, Helmholtz Centre for Polar &amp; Marine Research; University of Exeter</t>
  </si>
  <si>
    <t>Nitsche, FO (corresponding author), Columbia Univ, Lamont Doherty Earth Observ, Palisades, NY 10964 USA.</t>
  </si>
  <si>
    <t>fnitsche@ldeo.columbia.edu</t>
  </si>
  <si>
    <t>Nitsche, Frank O/A-9343-2009</t>
  </si>
  <si>
    <t>Nitsche, Frank O/0000-0002-4137-547X; Gohl, Karsten/0000-0002-9558-2116</t>
  </si>
  <si>
    <t>10.1144/M46.2</t>
  </si>
  <si>
    <t>WOS:000399497100073</t>
  </si>
  <si>
    <t>Domack, EW; Amblas, D; Canals, M</t>
  </si>
  <si>
    <t>Domack, E. W.; Amblas, D.; Canals, M.</t>
  </si>
  <si>
    <t>Bedrock meltwater channels in Palmer Deep, Antarctic Peninsula</t>
  </si>
  <si>
    <t>PALEO-ICE STREAM; PINE ISLAND BAY; SUBGLACIAL BEDFORMS; CONTINENTAL-SHELF; WEST ANTARCTICA; FLOW; EVOLUTION; DYNAMICS</t>
  </si>
  <si>
    <t>[Domack, E. W.] Univ S Florida, Coll Marine Sci, St Petersburg, FL 33701 USA; [Amblas, D.; Canals, M.] Univ Barcelona, GRC Geociencies Marines, E-08028 Barcelona, Spain</t>
  </si>
  <si>
    <t>State University System of Florida; University of South Florida; University of Barcelona</t>
  </si>
  <si>
    <t>Canals, Miquel/F-4922-2013; Amblas, David/A-5482-2015</t>
  </si>
  <si>
    <t>10.1144/M46.52</t>
  </si>
  <si>
    <t>WOS:000399497100079</t>
  </si>
  <si>
    <t>Small, deep shelf-basins and their sedimentary infill, western Bransfield Strait, Antarctic Peninsula</t>
  </si>
  <si>
    <t>10.1144/M46.116</t>
  </si>
  <si>
    <t>WOS:000399497100080</t>
  </si>
  <si>
    <t>Hogan, KA; Dowdeswell, JA; Larter, RD; O Cofaigh, C; Bartholomew, I</t>
  </si>
  <si>
    <t>Hogan, K. A.; Dowdeswell, J. A.; Larter, R. D.; O Cofaigh, C.; Bartholomew, I.</t>
  </si>
  <si>
    <t>Subglacial meltwater channels in Marguerite Trough, western Antarctic Peninsula</t>
  </si>
  <si>
    <t>ICE STREAM</t>
  </si>
  <si>
    <t>[Hogan, K. A.; Larter, R. D.] British Antarctic Survey, Nat Environm Res Council, Madingley Rd, Cambridge CB3 0ET, England; [Dowdeswell, J. A.; Bartholomew, I.] Univ Cambridge, Scott Polar Res Inst, Cambridge CB2 1ER, England; [O Cofaigh, C.] Univ Durham, Dept Geog, Durham DH1 3LE, England</t>
  </si>
  <si>
    <t>UK Research &amp; Innovation (UKRI); Natural Environment Research Council (NERC); NERC British Antarctic Survey; University of Cambridge; Durham University</t>
  </si>
  <si>
    <t>Hogan, KA (corresponding author), British Antarctic Survey, Nat Environm Res Council, Madingley Rd, Cambridge CB3 0ET, England.</t>
  </si>
  <si>
    <t>kelgan@bas.ac.uk</t>
  </si>
  <si>
    <t>10.1144/M46.178</t>
  </si>
  <si>
    <t>WOS:000399497100081</t>
  </si>
  <si>
    <t>Bedrock channels in Pine Island Bay, West Antarctica</t>
  </si>
  <si>
    <t>ICE; FLOW</t>
  </si>
  <si>
    <t>10.1144/M46.1</t>
  </si>
  <si>
    <t>WOS:000399497100082</t>
  </si>
  <si>
    <t>Dutrieux, P; Jenkins, A; Nicholls, KW</t>
  </si>
  <si>
    <t>Dutrieux, P.; Jenkins, A.; Nicholls, K. W.</t>
  </si>
  <si>
    <t>Ice-shelf basal morphology from an upward-looking multibeam system deployed from an autonomous underwater vehicle</t>
  </si>
  <si>
    <t>PINE ISLAND GLACIER; ANTARCTICA</t>
  </si>
  <si>
    <t>[Dutrieux, P.] Univ Washington, Polar Sci Ctr, Appl Phys Lab, 1013 NE 40th St,Box 355640, Seattle, WA 98105 USA; [Dutrieux, P.; Jenkins, A.; Nicholls, K. W.] British Antarctic Survey, Nat Environm Res Council, Madingley Rd, Cambridge CB3 0ET, England</t>
  </si>
  <si>
    <t>University of Washington; University of Washington Seattle; UK Research &amp; Innovation (UKRI); Natural Environment Research Council (NERC); NERC British Antarctic Survey</t>
  </si>
  <si>
    <t>Dutrieux, P (corresponding author), Univ Washington, Polar Sci Ctr, Appl Phys Lab, 1013 NE 40th St,Box 355640, Seattle, WA 98105 USA.;Dutrieux, P (corresponding author), British Antarctic Survey, Nat Environm Res Council, Madingley Rd, Cambridge CB3 0ET, England.</t>
  </si>
  <si>
    <t>dutrieux@uw.edu</t>
  </si>
  <si>
    <t>Jenkins, Adrian/IUN-2406-2023; Dutrieux, Pierre/B-7568-2012</t>
  </si>
  <si>
    <t>Jenkins, Adrian/0000-0002-9117-0616; Dutrieux, Pierre/0000-0002-8066-934X</t>
  </si>
  <si>
    <t>NERC [bas0100033] Funding Source: UKRI</t>
  </si>
  <si>
    <t>10.1144/M46.79</t>
  </si>
  <si>
    <t>WOS:000399497100083</t>
  </si>
  <si>
    <t>Graham, AGC; Hogan, KA</t>
  </si>
  <si>
    <t>Graham, A. G. C.; Hogan, K. A.</t>
  </si>
  <si>
    <t>Crescentic scours on palaeo-ice stream beds</t>
  </si>
  <si>
    <t>[Graham, A. G. C.] Univ Exeter, Coll Life &amp; Environm Sci, Rennes Dr, Exeter EX4 4RJ, Devon, England; [Hogan, K. A.] British Antarctic Survey, Nat Environm Res Council, Madingley Rd, Cambridge CB3 0ET, England</t>
  </si>
  <si>
    <t>10.1144/M46.166</t>
  </si>
  <si>
    <t>WOS:000399497100084</t>
  </si>
  <si>
    <t>Evans, J; Hogan, KA</t>
  </si>
  <si>
    <t>Evans, J.; Hogan, K. A.</t>
  </si>
  <si>
    <t>Grounding-zone wedges on the northern Larsen shelf, Antarctic Peninsula</t>
  </si>
  <si>
    <t>PALAEO-ICE STREAM; FLOW DYNAMICS; HISTORY; SYSTEM; SHEET</t>
  </si>
  <si>
    <t>[Evans, J.] Loughborough Univ Technol, Dept Geog, Loughborough LE11 3TU, Leics, England; [Hogan, K. A.] British Antarctic Survey, NERC, Madingley Rd, Cambridge CB3 0ET, England</t>
  </si>
  <si>
    <t>Loughborough University; UK Research &amp; Innovation (UKRI); Natural Environment Research Council (NERC); NERC British Antarctic Survey</t>
  </si>
  <si>
    <t>Evans, J (corresponding author), Loughborough Univ Technol, Dept Geog, Loughborough LE11 3TU, Leics, England.</t>
  </si>
  <si>
    <t>j.evans2@lboro.ac.uk</t>
  </si>
  <si>
    <t>10.1144/M46.3</t>
  </si>
  <si>
    <t>WOS:000399497100092</t>
  </si>
  <si>
    <t>Anderson, JB; Jakobsson, M</t>
  </si>
  <si>
    <t>Anderson, J. B.; Jakobsson, M.</t>
  </si>
  <si>
    <t>Grounding-zone wedges on Antarctic continental shelves</t>
  </si>
  <si>
    <t>LAST GLACIAL MAXIMUM; EASTERN ROSS SEA; ICE-STREAM; SHEET; RETREAT</t>
  </si>
  <si>
    <t>[Anderson, J. B.] Rice Univ, Dept Earth Sci, 6100 Main St, Houston, TX 77005 USA; [Jakobsson, M.] Stockholm Univ, Dept Geol Sci, Svante Arrhenius Vag 8, S-10691 Stockholm, Sweden</t>
  </si>
  <si>
    <t>Rice University; Stockholm University</t>
  </si>
  <si>
    <t>Anderson, JB (corresponding author), Rice Univ, Dept Earth Sci, 6100 Main St, Houston, TX 77005 USA.</t>
  </si>
  <si>
    <t>johna@rice.edu</t>
  </si>
  <si>
    <t>Jakobsson, Martin/JAN-6828-2023; Jakobsson, Martin/F-6214-2010</t>
  </si>
  <si>
    <t>Jakobsson, Martin/0000-0002-9033-3559</t>
  </si>
  <si>
    <t>10.1144/M46.7</t>
  </si>
  <si>
    <t>WOS:000399497100095</t>
  </si>
  <si>
    <t>Dickens, WA; Graham, AGC; Smith, JA; Dowdeswell, JA</t>
  </si>
  <si>
    <t>Dickens, W. A.; Graham, A. G. C.; Smith, J. A.; Dowdeswell, J. A.</t>
  </si>
  <si>
    <t>Large, buried glacial moraines revealed by TOPAS sub-bottom profiling, South Orkney Islands, South Atlantic Ocean</t>
  </si>
  <si>
    <t>ANTARCTIC PENINSULA; LANDFORMS</t>
  </si>
  <si>
    <t>[Dickens, W. A.; Smith, J. A.] British Antarctic Survey, NERC, Madingley Rd, Cambridge CB3 0ET, England; [Dickens, W. A.; Dowdeswell, J. A.] Univ Cambridge, Scott Polar Res Inst, Cambridge CB2 1ER, England; [Graham, A. G. C.] Univ Exeter, Coll Life &amp; Environm Sci, Rennes Dr, Exeter EX4 4RJ, Devon, England</t>
  </si>
  <si>
    <t>UK Research &amp; Innovation (UKRI); Natural Environment Research Council (NERC); NERC British Antarctic Survey; University of Cambridge; University of Exeter</t>
  </si>
  <si>
    <t>Dickens, WA (corresponding author), British Antarctic Survey, NERC, Madingley Rd, Cambridge CB3 0ET, England.;Dickens, WA (corresponding author), Univ Cambridge, Scott Polar Res Inst, Cambridge CB2 1ER, England.</t>
  </si>
  <si>
    <t>wild@bas.ac.uk</t>
  </si>
  <si>
    <t>10.1144/M46.47</t>
  </si>
  <si>
    <t>WOS:000399497100099</t>
  </si>
  <si>
    <t>Dowdeswell, JA; Hogan, KA</t>
  </si>
  <si>
    <t>Dowdeswell, J. A.; Hogan, K. A.</t>
  </si>
  <si>
    <t>Huge iceberg ploughmarks and associated corrugation ridges on the northern Svalbard shelf</t>
  </si>
  <si>
    <t>GREENLAND; ANTARCTICA; SEDIMENTS; SEA</t>
  </si>
  <si>
    <t>[Dowdeswell, J. A.] Univ Cambridge, Scott Polar Res Inst, Cambridge CB2 1ER, England; [Hogan, K. A.] British Antarctic Survey, NERC, Madingley Rd, Cambridge CB3 0ET, England</t>
  </si>
  <si>
    <t>10.1144/M46.4</t>
  </si>
  <si>
    <t>WOS:000399497100108</t>
  </si>
  <si>
    <t>Stewart, TJ; Stagpoole, VM; Wood, RA; Carter, L</t>
  </si>
  <si>
    <t>Stewart, T. J.; Stagpoole, V. M.; Wood, R. A.; Carter, L.</t>
  </si>
  <si>
    <t>Ploughmarks and pits on the Chatham Rise: a record of deep-keeled Antarctic icebergs at 43° 20′ S</t>
  </si>
  <si>
    <t>[Stewart, T. J.; Stagpoole, V. M.] Geol &amp; Nucl Sci Res Inst, POB 30-368, Lower Hutt 5040, New Zealand; [Wood, R. A.] Chatham Rock Phosphate Ltd, POB 231, Takaka 7142, New Zealand; [Carter, L.] Victoria Univ, POB 600, Wellington 6140, New Zealand</t>
  </si>
  <si>
    <t>Victoria University Wellington</t>
  </si>
  <si>
    <t>Stewart, TJ (corresponding author), Geol &amp; Nucl Sci Res Inst, POB 30-368, Lower Hutt 5040, New Zealand.</t>
  </si>
  <si>
    <t>t.stewart@gns.cri.nz</t>
  </si>
  <si>
    <t>10.1144/M46.87</t>
  </si>
  <si>
    <t>WOS:000399497100111</t>
  </si>
  <si>
    <t>Gales, JA; Larter, RD; Leat, PT</t>
  </si>
  <si>
    <t>Gales, J. A.; Larter, R. D.; Leat, P. T.</t>
  </si>
  <si>
    <t>Iceberg ploughmarks and associated sediment ridges on the southern Weddell Sea margin</t>
  </si>
  <si>
    <t>ANTARCTICA; SYSTEMS; CHANNEL</t>
  </si>
  <si>
    <t>[Gales, J. A.] British Geol Survey, Lyell Ctr, Res Ave South, Edinburgh EH14 4AP, Midlothian, Scotland; [Larter, R. D.; Leat, P. T.] British Antarctic Survey, Nat Environm Res Council, Madingley Rd, Cambridge CB3 0ET, England</t>
  </si>
  <si>
    <t>UK Research &amp; Innovation (UKRI); Natural Environment Research Council (NERC); NERC British Geological Survey; UK Research &amp; Innovation (UKRI); Natural Environment Research Council (NERC); NERC British Antarctic Survey</t>
  </si>
  <si>
    <t>Gales, JA (corresponding author), British Geol Survey, Lyell Ctr, Res Ave South, Edinburgh EH14 4AP, Midlothian, Scotland.</t>
  </si>
  <si>
    <t>jgales@bgs.ac.uk</t>
  </si>
  <si>
    <t>Gales, Jenny/0000-0003-4402-5800</t>
  </si>
  <si>
    <t>10.1144/M46.11</t>
  </si>
  <si>
    <t>WOS:000399497100118</t>
  </si>
  <si>
    <t>Wilkinson, JP; Wadhams, P</t>
  </si>
  <si>
    <t>Wilkinson, J. P.; Wadhams, P.</t>
  </si>
  <si>
    <t>The three-dimensional shape of sea ice revealed by multibeam sonar</t>
  </si>
  <si>
    <t>[Wilkinson, J. P.] British Antarctic Survey, Nat Environm Res Council, Madingley Rd, Cambridge CB3 0ET, England; [Wadhams, P.] Univ Cambridge, Dept Appl Math &amp; Theoret Phys, Cambridge CB3 0WA, England</t>
  </si>
  <si>
    <t>Wilkinson, JP (corresponding author), British Antarctic Survey, Nat Environm Res Council, Madingley Rd, Cambridge CB3 0ET, England.</t>
  </si>
  <si>
    <t>jpw28@bas.ac.uk</t>
  </si>
  <si>
    <t>NERC [bas0100032] Funding Source: UKRI</t>
  </si>
  <si>
    <t>10.1144/M46.181</t>
  </si>
  <si>
    <t>WOS:000399497100125</t>
  </si>
  <si>
    <t>Seafloor kettle holes in Orleans Trough, Bransfield Basin, Antarctic Peninsula</t>
  </si>
  <si>
    <t>10.1144/M46.16</t>
  </si>
  <si>
    <t>WOS:000399497100130</t>
  </si>
  <si>
    <t>Batchelor, CL; Dowdeswell, JA; Jakobsson, M; Hogan, KA; Gebhardt, CA</t>
  </si>
  <si>
    <t>Batchelor, C. L.; Dowdeswell, J. A.; Jakobsson, M.; Hogan, K. A.; Gebhardt, C. A.</t>
  </si>
  <si>
    <t>Landform assemblage produced by ice-grounding events on the Yermak Plateau</t>
  </si>
  <si>
    <t>CENTRAL ARCTIC-OCEAN; SHEET; MARGIN; NORTHERN; EROSION; SHELF; BASIN</t>
  </si>
  <si>
    <t>[Batchelor, C. L.; Dowdeswell, J. A.] Univ Cambridge, Scott Polar Res Inst, Cambridge CB2 1ER, England; [Jakobsson, M.] Stockholm Univ, Dept Geol Sci, Svante Arrhenius Vag 8, S-10691 Stockholm, Sweden; [Hogan, K. A.] British Antarctic Survey, Nat Environm Res Council, Madingley Rd, Cambridge CB3 0ET, England; [Gebhardt, C. A.] Helmholtz Ctr Polar &amp; Marine Res, Alfred Wegener Inst, Van Ronzelen Str 2, D-27568 Bremerhaven, Germany</t>
  </si>
  <si>
    <t>University of Cambridge; Stockholm University; UK Research &amp; Innovation (UKRI); Natural Environment Research Council (NERC); NERC British Antarctic Survey; Helmholtz Association; Alfred Wegener Institute, Helmholtz Centre for Polar &amp; Marine Research</t>
  </si>
  <si>
    <t>Batchelor, CL (corresponding author), Univ Cambridge, Scott Polar Res Inst, Cambridge CB2 1ER, England.</t>
  </si>
  <si>
    <t>clb70@cam.ac.uk</t>
  </si>
  <si>
    <t>Jakobsson, Martin/F-6214-2010; Batchelor, Christine/JCN-7543-2023; Gebhardt, Catalina/AHI-6432-2022; Jakobsson, Martin/JAN-6828-2023</t>
  </si>
  <si>
    <t>Gebhardt, Catalina/0000-0002-3227-0676; Jakobsson, Martin/0000-0002-9033-3559; Dowdeswell, Julian/0000-0003-1369-9482</t>
  </si>
  <si>
    <t>10.1144/M46.169</t>
  </si>
  <si>
    <t>WOS:000399497100134</t>
  </si>
  <si>
    <t>Hogan, KA; Dowdeswell, JA; Noormets, R</t>
  </si>
  <si>
    <t>Hogan, K. A.; Dowdeswell, J. A.; Noormets, R.</t>
  </si>
  <si>
    <t>Assemblages of submarine landforms in the glacial troughs of the northern Barents Sea, east of Svalbard</t>
  </si>
  <si>
    <t>WEICHSELIAN ICE-SHEET; FLOW; HISTORY; MARGIN; STREAM</t>
  </si>
  <si>
    <t>[Hogan, K. A.] British Antarctic Survey, Nat Environm Res Council, Madingley Rd, Cambridge CB3 0ET, England; [Dowdeswell, J. A.] Univ Cambridge, Scott Polar Res Inst, Cambridge CB2 1ER, England; [Noormets, R.] Univ Ctr Svalbard, Dept Arctic Geol, N-9171 Longyearbyen, Norway</t>
  </si>
  <si>
    <t>UK Research &amp; Innovation (UKRI); Natural Environment Research Council (NERC); NERC British Antarctic Survey; University of Cambridge; University Centre Svalbard (UNIS)</t>
  </si>
  <si>
    <t>10.1144/M46.170</t>
  </si>
  <si>
    <t>WOS:000399497100135</t>
  </si>
  <si>
    <t>Amblas, D; Canals, M</t>
  </si>
  <si>
    <t>Amblas, D.; Canals, M.</t>
  </si>
  <si>
    <t>Landform assemblage produced by the Biscoe Trough ice stream, northern Antarctic Peninsula</t>
  </si>
  <si>
    <t>LAST GLACIAL MAXIMUM; SHEET; DYNAMICS; MARGIN; LGM</t>
  </si>
  <si>
    <t>[Amblas, D.; Canals, M.] Univ Barcelona, GRC Geociencies Marines, E-08028 Barcelona, Spain</t>
  </si>
  <si>
    <t>Amblas, D (corresponding author), Univ Barcelona, GRC Geociencies Marines, E-08028 Barcelona, Spain.</t>
  </si>
  <si>
    <t>damblas@ub.edu</t>
  </si>
  <si>
    <t>10.1144/M46.149</t>
  </si>
  <si>
    <t>WOS:000399497100137</t>
  </si>
  <si>
    <t>Graham, AGC; Nitsche, FO; Larter, RD; Gohl, K</t>
  </si>
  <si>
    <t>Graham, A. G. C.; Nitsche, F. O.; Larter, R. D.; Gohl, K.</t>
  </si>
  <si>
    <t>Submarine landform assemblage produced beneath the Dotson-Getz palaeo-ice stream, West Antarctica</t>
  </si>
  <si>
    <t>PINE ISLAND BAY; SHEET; SHELF; FLOW</t>
  </si>
  <si>
    <t>[Graham, A. G. C.] Univ Exeter, Coll Life &amp; Environm Sci, Rennes Dr, Exeter EX4 4RJ, Devon, England; [Nitsche, F. O.] Columbia Univ, Lamont Doherty Earth Observ, Palisades, NY 10964 USA; [Larter, R. D.] British Antarctic Survey, Nat Environm Res Council, Madingley Rd, Cambridge CB3 0ET, England; [Gohl, K.] Helmholtz Ctr Polar &amp; Marine Res, Alfred Wegener Inst, Alten Hafen 26, D-27568 Bremerhaven, Germany</t>
  </si>
  <si>
    <t>University of Exeter; Columbia University; UK Research &amp; Innovation (UKRI); Natural Environment Research Council (NERC); NERC British Antarctic Survey; Helmholtz Association; Alfred Wegener Institute, Helmholtz Centre for Polar &amp; Marine Research</t>
  </si>
  <si>
    <t>10.1144/M46.176</t>
  </si>
  <si>
    <t>WOS:000399497100138</t>
  </si>
  <si>
    <t>Klages, JP; Kuhn, G; Hillenbrand, CD; Graham, AGC; Smith, JA; Larter, RD; Gohl, K</t>
  </si>
  <si>
    <t>Klages, J. P.; Kuhn, G.; Hillenbrand, C. -D.; Graham, A. G. C.; Smith, J. A.; Larter, R. D.; Gohl, K.</t>
  </si>
  <si>
    <t>A glacial landform assemblage from an inter-ice stream setting in the eastern Amundsen Sea Embayment, West Antarctica</t>
  </si>
  <si>
    <t>TILL</t>
  </si>
  <si>
    <t>[Klages, J. P.; Kuhn, G.; Gohl, K.] Helmholtz Ctr Polar &amp; Marine Res, Alfred Wegener Inst, Alten Hafen 26, D-27568 Bremerhaven, Germany; [Hillenbrand, C. -D.; Smith, J. A.; Larter, R. D.] British Antarctic Survey, Nat Environm Res Council, Madingley Rd, Cambridge CB3 0ET, England; [Graham, A. G. C.] Univ Exeter, Coll Life &amp; Environm Sci, Rennes Dr, Exeter EX4 4RJ, Devon, England</t>
  </si>
  <si>
    <t>Helmholtz Association; Alfred Wegener Institute, Helmholtz Centre for Polar &amp; Marine Research; UK Research &amp; Innovation (UKRI); Natural Environment Research Council (NERC); NERC British Antarctic Survey; University of Exeter</t>
  </si>
  <si>
    <t>Klages, JP (corresponding author), Helmholtz Ctr Polar &amp; Marine Res, Alfred Wegener Inst, Alten Hafen 26, D-27568 Bremerhaven, Germany.</t>
  </si>
  <si>
    <t>Johann.Klages@awi.de</t>
  </si>
  <si>
    <t>Klages, Johann Philipp/0000-0003-0968-1183; Gohl, Karsten/0000-0002-9558-2116</t>
  </si>
  <si>
    <t>10.1144/M46.147</t>
  </si>
  <si>
    <t>WOS:000399497100139</t>
  </si>
  <si>
    <t>Gales, JA; Larter, RD; Leat, PT; Jokat, W</t>
  </si>
  <si>
    <t>Gales, J. A.; Larter, R. D.; Leat, P. T.; Jokat, W.</t>
  </si>
  <si>
    <t>Components of an Antarctic trough-mouth fan: examples from the Crary Fan, Weddell Sea</t>
  </si>
  <si>
    <t>CONTINENTAL-MARGIN</t>
  </si>
  <si>
    <t>[Gales, J. A.] British Geol Survey, Lyell Ctr, Res Ave South, Edinburgh EH14 4AP, Midlothian, Scotland; [Larter, R. D.; Leat, P. T.] British Antarctic Survey, Nat Environm Res Council, Madingley Rd, Cambridge CB3 0ET, England; [Jokat, W.] Helmholtz Ctr Polar &amp; Marine Res, Alfred Wegener Inst, Alten Hafen 26, D-27568 Bremerhaven, Germany</t>
  </si>
  <si>
    <t>UK Research &amp; Innovation (UKRI); Natural Environment Research Council (NERC); NERC British Geological Survey; UK Research &amp; Innovation (UKRI); Natural Environment Research Council (NERC); NERC British Antarctic Survey; Helmholtz Association; Alfred Wegener Institute, Helmholtz Centre for Polar &amp; Marine Research</t>
  </si>
  <si>
    <t>Jokat, Wilfried/0000-0002-7793-5854; Gales, Jenny/0000-0003-4402-5800</t>
  </si>
  <si>
    <t>10.1144/M46.82</t>
  </si>
  <si>
    <t>WOS:000399497100150</t>
  </si>
  <si>
    <t>Submarine gullies on the southern Weddell Sea slope, Antarctica</t>
  </si>
  <si>
    <t>CONTINENTAL-SLOPE</t>
  </si>
  <si>
    <t>[Gales, J. A.] British Geol Survey, Lyell Ctr, Res Ave South, Edinburgh EH14 4AP, Midlothian, Scotland; [Larter, R. D.; Leat, P. T.] British Antarctic Survey, NERC, Madingley Rd, Cambridge CB3 0ET, England</t>
  </si>
  <si>
    <t>10.1144/M46.12</t>
  </si>
  <si>
    <t>WOS:000399497100153</t>
  </si>
  <si>
    <t>Contourite drifts and canyon-channel systems on the Northern Antarctic Peninsula Pacific margin</t>
  </si>
  <si>
    <t>CONTINENTAL RISE WEST; SEDIMENT DRIFTS</t>
  </si>
  <si>
    <t>10.1144/M46.17</t>
  </si>
  <si>
    <t>WOS:000399497100158</t>
  </si>
  <si>
    <t>Volpi, V; Accettella, D; Diviacco, P; Rebesco, M</t>
  </si>
  <si>
    <t>Volpi, V.; Accettella, D.; Diviacco, P.; Rebesco, M.</t>
  </si>
  <si>
    <t>Slope instability along the western margin of the Antarctic Peninsula</t>
  </si>
  <si>
    <t>[Volpi, V.; Accettella, D.; Diviacco, P.; Rebesco, M.] Ist Nazl Oceanog &amp; Geofis Sperimentale, I-34010 Trieste, Italy</t>
  </si>
  <si>
    <t>Istituto Nazionale di Oceanografia e di Geofisica Sperimentale</t>
  </si>
  <si>
    <t>Volpi, V (corresponding author), Ist Nazl Oceanog &amp; Geofis Sperimentale, I-34010 Trieste, Italy.</t>
  </si>
  <si>
    <t>vvolpi@ogs.trieste.it</t>
  </si>
  <si>
    <t>Rebesco, Michele/B-7462-2014</t>
  </si>
  <si>
    <t>Rebesco, Michele/0000-0002-9492-4081; Volpi, Valentina/0000-0002-4407-615X; ACCETTELLA, Daniela/0000-0001-8886-6607</t>
  </si>
  <si>
    <t>10.1144/M46.49</t>
  </si>
  <si>
    <t>WOS:000399497100161</t>
  </si>
  <si>
    <t>Larter, RD; Hogan, KA; Dowdeswell, JA</t>
  </si>
  <si>
    <t>Larter, R. D.; Hogan, K. A.; Dowdeswell, J. A.</t>
  </si>
  <si>
    <t>Large sediment drifts on the upper continental rise west of the Antarctic Peninsula</t>
  </si>
  <si>
    <t>PACIFIC MARGIN</t>
  </si>
  <si>
    <t>[Larter, R. D.; Hogan, K. A.] British Antarctic Survey, NERC, Madingley Rd, Cambridge CB3 0ET, England; [Dowdeswell, J. A.] Univ Cambridge, Scott Polar Res Inst, Cambridge CB2 1ER, England</t>
  </si>
  <si>
    <t>Larter, RD (corresponding author), British Antarctic Survey, NERC, Madingley Rd, Cambridge CB3 0ET, England.</t>
  </si>
  <si>
    <t>rdla@bas.ac.uk</t>
  </si>
  <si>
    <t>NERC [bas0100030, NE/J006548/1] Funding Source: UKRI</t>
  </si>
  <si>
    <t>10.1144/M46.132</t>
  </si>
  <si>
    <t>WOS:000399497100162</t>
  </si>
  <si>
    <t>Hogan, KA; Vanneste, M; Dowdeswell, JA; Mienert, J</t>
  </si>
  <si>
    <t>Hogan, K. A.; Vanneste, M.; Dowdeswell, J. A.; Mienert, J.</t>
  </si>
  <si>
    <t>Geomorphology of the huge Hinlopen-Yermak landslide on the northern Svalbard margin</t>
  </si>
  <si>
    <t>ARCTIC-OCEAN; SPITSBERGEN; SLIDE</t>
  </si>
  <si>
    <t>[Hogan, K. A.] British Antarctic Survey, NERC, Madingley Rd, Cambridge CB3 0ET, England; [Vanneste, M.] Norwegian Geotech Inst, Postboks 3930 Ulleval Stn, N-0806 Oslo, Norway; [Dowdeswell, J. A.] Univ Cambridge, Scott Polar Res Inst, Cambridge CB2 1ER, England; [Mienert, J.] UiT Arctic Univ Norway, Ctr Arct Gas Hydrate Environm &amp; Climate, Dept Geol, N-9037 Tromso, Norway</t>
  </si>
  <si>
    <t>UK Research &amp; Innovation (UKRI); Natural Environment Research Council (NERC); NERC British Antarctic Survey; Norwegian Geotechnical Institute, NGI; University of Cambridge; UiT The Arctic University of Tromso</t>
  </si>
  <si>
    <t>Hogan, KA (corresponding author), British Antarctic Survey, NERC, Madingley Rd, Cambridge CB3 0ET, England.</t>
  </si>
  <si>
    <t>10.1144/M46.123</t>
  </si>
  <si>
    <t>WOS:000399497100169</t>
  </si>
  <si>
    <t>Canals, M; Amblas, D; Casamor, JL; Lastras, G</t>
  </si>
  <si>
    <t>Canals, M.; Amblas, D.; Casamor, J. L.; Lastras, G.</t>
  </si>
  <si>
    <t>Gebra Slide: glacial and tectonic controls on recurrent submarine landsliding off the northern tip of the Antarctic Peninsula</t>
  </si>
  <si>
    <t>SLOPE FAILURE; SEA-FLOOR; EVOLUTION; SYSTEM; MARGIN</t>
  </si>
  <si>
    <t>[Canals, M.; Amblas, D.; Casamor, J. L.; Lastras, G.] Univ Barcelona, GRC Geociencies Marines, E-08028 Barcelona, Spain</t>
  </si>
  <si>
    <t>Lastras, Galderic/HPF-8363-2023; Amblas, David/A-5482-2015; Canals, Miquel/F-4922-2013; Lastras, Galderic/A-6487-2013; Casamor, Jose Luis/J-5719-2017</t>
  </si>
  <si>
    <t>Lastras, Galderic/0000-0002-8756-3855; Lastras, Galderic/0000-0002-8756-3855; Casamor, Jose Luis/0000-0001-9445-6997</t>
  </si>
  <si>
    <t>10.1144/M46.156</t>
  </si>
  <si>
    <t>WOS:000399497100170</t>
  </si>
  <si>
    <t>Dowdeswell, JA; Hogan, KA; Cofaigh, CO</t>
  </si>
  <si>
    <t>Dowdeswell, J. A.; Hogan, K. A.; Cofaigh, C. O.</t>
  </si>
  <si>
    <t>Submarine glacial-landform distribution across the West Greenland margin: a fjord-shelf-slope transect through the Uummannaq system (70-71° N)</t>
  </si>
  <si>
    <t>TROUGH-MOUTH-FAN; EAST GREENLAND; ICE-SHEET; CONTINENTAL-SHELF; SCORESBY-SUND; SEDIMENTARY PROCESSES; ANTARCTIC PENINSULA; STREAM; FLOW; SEA</t>
  </si>
  <si>
    <t>[Dowdeswell, J. A.] Univ Cambridge, Scott Polar Res Inst, Cambridge CB2 1ER, England; [Hogan, K. A.] British Antarctic Survey, NERC, Madingley Rd, Cambridge CB3 0ET, England; [Cofaigh, C. O.] Univ Durham, Dept Geog, Durham DH1 3LE, England</t>
  </si>
  <si>
    <t>University of Cambridge; UK Research &amp; Innovation (UKRI); Natural Environment Research Council (NERC); NERC British Antarctic Survey; Durham University</t>
  </si>
  <si>
    <t>10.1144/M46.150</t>
  </si>
  <si>
    <t>WOS:000399497100175</t>
  </si>
  <si>
    <t>García, M; Batchelor, CL; Dowdeswell, JA; Hogan, KA; O Cofaigh, C</t>
  </si>
  <si>
    <t>Garcia, M.; Batchelor, C. L.; Dowdeswell, J. A.; Hogan, K. A.; O Cofaigh, C.</t>
  </si>
  <si>
    <t>A glacier-influenced turbidite system and associated landform assemblage in the Greenland Basin and adjacent continental slope</t>
  </si>
  <si>
    <t>TROUGH MOUTH FANS; NORTH-SEA FAN; ICE-SHEET; EAST GREENLAND; SEDIMENTARY PROCESSES; SUBMARINE LANDFORMS; DENMARK STRAIT; SHELF; MARGIN; FLOW</t>
  </si>
  <si>
    <t>[Garcia, M.] Inst Andaluz Ciencias Tierra, Av Palmeras 4, Granada 18100, Spain; [Garcia, M.] Univ Ghent, Dept Geol, Renard Ctr Marine Geol, B-9000 Ghent, Belgium; [Batchelor, C. L.; Dowdeswell, J. A.] Univ Cambridge, Scott Polar Res Inst, Cambridge CB2 1ER, England; [Hogan, K. A.] British Antarctic Survey, Nat Environm Res Council, Madingley Rd, Cambridge CB3 0ET, England; [O Cofaigh, C.] Univ Durham, Dept Geog, Durham DH1 3LE, England</t>
  </si>
  <si>
    <t>Consejo Superior de Investigaciones Cientificas (CSIC); CSIC - Instituto Andaluz de Ciencias de la Tierra (IACT); Ghent University; University of Cambridge; UK Research &amp; Innovation (UKRI); Natural Environment Research Council (NERC); NERC British Antarctic Survey; Durham University</t>
  </si>
  <si>
    <t>Batchelor, Christine/JCN-7543-2023; Garcia, Marga/L-7410-2014</t>
  </si>
  <si>
    <t>Garcia, Marga/0000-0003-2632-6132; Dowdeswell, Julian/0000-0003-1369-9482</t>
  </si>
  <si>
    <t>10.1144/M46.148</t>
  </si>
  <si>
    <t>WOS:000399497100176</t>
  </si>
  <si>
    <t>Canals, M; Amblas, D; Domack, EW; Lastras, G; Lavoie, C; Casamor, JL; Smith, C</t>
  </si>
  <si>
    <t>Canals, M.; Amblas, D.; Domack, E. W.; Lastras, G.; Lavoie, C.; Casamor, J. L.; Smith, C.</t>
  </si>
  <si>
    <t>The seafloor imprint of the Gerlache-Boyd Ice Stream (65-62° S), northern Antarctic Peninsula</t>
  </si>
  <si>
    <t>GLACIAL GEOMORPHIC FEATURES; CONTINENTAL-SHELF; SHEET; SEDIMENTATION; EVOLUTION; MAXIMUM; STRAIT; SYSTEM; LGM</t>
  </si>
  <si>
    <t>[Canals, M.; Amblas, D.; Lastras, G.; Casamor, J. L.] Univ Barcelona, GRC Geociencies Marines, E-08028 Barcelona, Spain; [Domack, E. W.; Smith, C.] Univ S Florida, Coll Marine Sci, St Petersburg, FL 33701 USA; [Lavoie, C.] Univ Aveiro, Dept Geosci CESAM, P-3810193 Aveiro, Portugal</t>
  </si>
  <si>
    <t>University of Barcelona; State University System of Florida; University of South Florida; Universidade de Aveiro</t>
  </si>
  <si>
    <t>Lastras, Galderic/HPF-8363-2023; Amblas, David/A-5482-2015; Lastras, Galderic/A-6487-2013; Canals, Miquel/F-4922-2013; Casamor, Jose Luis/J-5719-2017</t>
  </si>
  <si>
    <t>10.1144/M46.174</t>
  </si>
  <si>
    <t>WOS:000399497100178</t>
  </si>
  <si>
    <t>Livingstone, SJ; O Cofaigh, C; Hogan, KA; Dowdeswell, JA</t>
  </si>
  <si>
    <t>Livingstone, S. J.; O Cofaigh, C.; Hogan, K. A.; Dowdeswell, J. A.</t>
  </si>
  <si>
    <t>Submarine glacial-landform distribution along an Antarctic Peninsula palaeo-ice stream: a shelf-slope transect through the Marguerite Trough system (66-70° S)</t>
  </si>
  <si>
    <t>SEDIMENTARY PROCESSES; CONTINENTAL-SLOPE; WEST ANTARCTICA; SHEET; MORPHOLOGY; BAY; EVOLUTION; MARGINS; BENEATH; MOUTH</t>
  </si>
  <si>
    <t>[Livingstone, S. J.] Univ Sheffield, Dept Geog, Sheffield S10 2TN, S Yorkshire, England; [O Cofaigh, C.] Univ Durham, Dept Geog, Durham DH1 3LE, England; [Hogan, K. A.] British Antarctic Survey, Nat Environm Res Council, Madingley Rd, Cambridge CB3 0ET, England; [Dowdeswell, J. A.] Univ Cambridge, Scott Polar Res Inst, Cambridge CB2 1ER, England</t>
  </si>
  <si>
    <t>University of Sheffield; Durham University; UK Research &amp; Innovation (UKRI); Natural Environment Research Council (NERC); NERC British Antarctic Survey; University of Cambridge</t>
  </si>
  <si>
    <t>Livingstone, SJ (corresponding author), Univ Sheffield, Dept Geog, Sheffield S10 2TN, S Yorkshire, England.</t>
  </si>
  <si>
    <t>s.j.livingstone@sheffield.ac.uk</t>
  </si>
  <si>
    <t>10.1144/M46.180</t>
  </si>
  <si>
    <t>WOS:000399497100179</t>
  </si>
  <si>
    <t>Graham, AGC; Jakobsson, M; Nitsche, FO; Larter, RD; Anderson, JB; Hillenbrand, CD; Gohl, K; Klages, JP; Smith, JA; Jenkins, A</t>
  </si>
  <si>
    <t>Graham, A. G. C.; Jakobsson, M.; Nitsche, F. O.; Larter, R. D.; Anderson, J. B.; Hillenbrand, C. -D.; Gohl, K.; Klages, J. P.; Smith, J. A.; Jenkins, A.</t>
  </si>
  <si>
    <t>Submarine glacial-landform distribution across the West Antarctic margin, from grounding line to slope: the Pine Island-Thwaites ice-stream system</t>
  </si>
  <si>
    <t>AMUNDSEN SEA; CONTINENTAL-SHELF; BAY; SHEET; RETREAT; DYNAMICS; MAXIMUM; BENEATH; RECORD</t>
  </si>
  <si>
    <t>[Graham, A. G. C.] Univ Exeter, Coll Life &amp; Environm Sci, Rennes Dr, Exeter EX4 4RJ, Devon, England; [Jakobsson, M.] Stockholm Univ, Dept Geol Sci, Svante Arrhenius Vag 8, S-10691 Stockholm, Sweden; [Nitsche, F. O.] Columbia Univ, Lamont Doherty Earth Observ, Palisades, NY 10964 USA; [Larter, R. D.; Hillenbrand, C. -D.; Smith, J. A.; Jenkins, A.] British Antarctic Survey, Nat Environm Res Council, Madingley Rd, Cambridge CB3 0ET, England; [Anderson, J. B.] Rice Univ, Dept Earth Sci, 6100 Main St, Houston, TX 77005 USA; [Gohl, K.; Klages, J. P.] Helmholtz Ctr Polar &amp; Marine Res, Alfred Wegener Inst, Alten Hafen 26, D-27568 Bremerhaven, Germany</t>
  </si>
  <si>
    <t>University of Exeter; Stockholm University; Columbia University; UK Research &amp; Innovation (UKRI); Natural Environment Research Council (NERC); NERC British Antarctic Survey; Rice University; Helmholtz Association; Alfred Wegener Institute, Helmholtz Centre for Polar &amp; Marine Research</t>
  </si>
  <si>
    <t>Nitsche, Frank O/A-9343-2009; Jakobsson, Martin/F-6214-2010; Jakobsson, Martin/JAN-6828-2023; Jenkins, Adrian/IUN-2406-2023</t>
  </si>
  <si>
    <t>Nitsche, Frank O/0000-0002-4137-547X; Jakobsson, Martin/0000-0002-9033-3559; Klages, Johann Philipp/0000-0003-0968-1183; Jenkins, Adrian/0000-0002-9117-0616; Gohl, Karsten/0000-0002-9558-2116</t>
  </si>
  <si>
    <t>10.1144/M46.173</t>
  </si>
  <si>
    <t>WOS:000399497100180</t>
  </si>
  <si>
    <t>O'Brien, PE; Beaman, R; De Santis, L; Domack, EW; Escutia, C; Harris, PT; Leventer, A; McMullen, K; Post, A; Quilty, PG; Shevenell, AE; Batchelor, CL</t>
  </si>
  <si>
    <t>O'Brien, P. E.; Beaman, R.; De Santis, L.; Domack, E. W.; Escutia, C.; Harris, P. T.; Leventer, A.; McMullen, K.; Post, A.; Quilty, P. G.; Shevenell, A. E.; Batchelor, C. L.</t>
  </si>
  <si>
    <t>Submarine glacial landforms on the cold East Antarctic margin</t>
  </si>
  <si>
    <t>ICE-SHEET EVOLUTION; MAC-ROBERTSON-LAND; PRYDZ BAY; CONTINENTAL-SHELF; GEORGE-V; SEDIMENTARY PROCESSES; TERRE ADELIE; WILKES LAND; MORPHOLOGY; DEPOSITS</t>
  </si>
  <si>
    <t>[O'Brien, P. E.] Macquarie Univ, Dept Environm Sci, Sydney, NSW 2109, Australia; [Beaman, R.] James Cook Univ, Coll Sci Technol &amp; Engn, Townsville, Qld 4811, Australia; [De Santis, L.] Ist Nazl Oceanog &amp; Geofis Sperimentale, I-34010 Trieste, Italy; [Domack, E. W.; Shevenell, A. E.] Univ S Florida, Coll Marine Sci, St Petersburg, FL 33701 USA; [Escutia, C.] Inst Andaluz Ciencias Tierra, Granada 18100, Spain; [Harris, P. T.] GRID Arendal, N-4836 Arendal, Norway; [Leventer, A.] Colgate Univ, Dept Geol, Hamilton, NY 13346 USA; [McMullen, K.] Woods Hole Oceanog Inst, 266 Woods Hole Rd, Woods Hole, MA 02543 USA; [Post, A.] Geosci Australia, GPO Box 378, Canberra, ACT 2601, Australia; [Quilty, P. G.] Univ Tasmania, Dept Earth Sci, Hobart, Tas 7005, Australia; [Batchelor, C. L.] Univ Cambridge, Scott Polar Res Inst, Cambridge CB2 1ER, England</t>
  </si>
  <si>
    <t>Macquarie University; James Cook University; Istituto Nazionale di Oceanografia e di Geofisica Sperimentale; State University System of Florida; University of South Florida; Consejo Superior de Investigaciones Cientificas (CSIC); CSIC - Instituto Andaluz de Ciencias de la Tierra (IACT); Colgate University; Woods Hole Oceanographic Institution; Geoscience Australia; University of Tasmania; University of Cambridge</t>
  </si>
  <si>
    <t>Batchelor, Christine/JCN-7543-2023; Shevenell, Amelia E/C-2757-2015; Harris, Peter/AAI-7100-2020; Escutia, Carlota/B-8614-2015</t>
  </si>
  <si>
    <t>Escutia, Carlota/0000-0002-4932-8619; Leventer, Amy/0000-0001-9401-0987; O'Brien, Philip/0000-0003-3446-3292; De Santis, Laura/0000-0002-7752-7754; Post, Alexandra/0000-0002-6287-3283</t>
  </si>
  <si>
    <t>10.1144/M46.172</t>
  </si>
  <si>
    <t>WOS:000399497100181</t>
  </si>
  <si>
    <t>Bell, T; Cooper, AK; Solheim, A; Todd, BJ; Dowdeswell, JA; Canals, M; Jakobsson, M; Dowdeswell, EK; Hogan, KA</t>
  </si>
  <si>
    <t>Bell, T.; Cooper, A. K.; Solheim, A.; Todd, B. J.; Dowdeswell, J. A.; Canals, M.; Jakobsson, M.; Dowdeswell, E. K.; Hogan, K. A.</t>
  </si>
  <si>
    <t>Glossary of glaciated continental margins and related geoscience methods</t>
  </si>
  <si>
    <t>[Bell, T.] Mem Univ Newfoundland, Dept Geog, St John, NF A1B 3X9, Canada; [Cooper, A. K.] US Geol Survey, Marine &amp; Coastal Geol, 345 Middlefield Rd, Menlo Pk, CA 94205 USA; [Solheim, A.] Norwegian Geotech Inst, Postboks 3930, N-0806 Oslo, Norway; [Todd, B. J.] Nat Resources Canada, Geol Survey Canada, POB 1006, Dartmouth, NS B2Y 4A2, Canada; [Dowdeswell, J. A.; Dowdeswell, E. K.] Univ Cambridge, Scott Polar Res Inst, Cambridge CB2 1ER, England; [Canals, M.] Univ Barcelona, GRC Geociencies Marines, E-08028 Barcelona, Spain; [Jakobsson, M.] Stockholm Univ, Dept Geol Sci, Svante Arrhenius Vag 8, S-10691 Stockholm, Sweden; [Hogan, K. A.] British Antarctic Survey, Nat Environm Res Council, Madingley Rd, Cambridge CB3 0ET, England</t>
  </si>
  <si>
    <t>Memorial University Newfoundland; United States Department of the Interior; United States Geological Survey; Norwegian Geotechnical Institute, NGI; Natural Resources Canada; Lands &amp; Minerals Sector - Natural Resources Canada; Geological Survey of Canada; University of Cambridge; University of Barcelona; Stockholm University; UK Research &amp; Innovation (UKRI); Natural Environment Research Council (NERC); NERC British Antarctic Survey</t>
  </si>
  <si>
    <t>Todd, BJ (corresponding author), Nat Resources Canada, Geol Survey Canada, POB 1006, Dartmouth, NS B2Y 4A2, Canada.</t>
  </si>
  <si>
    <t>Brian.Todd@canada.ca</t>
  </si>
  <si>
    <t>Jakobsson, Martin/JAN-6828-2023; Canals, Miquel/F-4922-2013; Jakobsson, Martin/F-6214-2010</t>
  </si>
  <si>
    <t>Jakobsson, Martin/0000-0002-9033-3559; Dowdeswell, Julian/0000-0003-1369-9482</t>
  </si>
  <si>
    <t>10.1144/M46.177</t>
  </si>
  <si>
    <t>WOS:000399497100184</t>
  </si>
  <si>
    <t>Akimoto, H</t>
  </si>
  <si>
    <t>Akimoto, Hajime</t>
  </si>
  <si>
    <t>Stratospheric Reaction Chemistry</t>
  </si>
  <si>
    <t>ATMOSPHERIC REACTION CHEMISTRY</t>
  </si>
  <si>
    <t>Springer Atmospheric Sciences</t>
  </si>
  <si>
    <t>ATMOSPHERIC CHEMISTRY; ANTARCTIC OZONE; SELF-REACTION; CHLORINE; RADICALS; O-3; NITROGEN; AEROSOL; HOX; DESTRUCTION</t>
  </si>
  <si>
    <t>[Akimoto, Hajime] Natl Inst Environm Studies, Tsukuba, Ibaraki, Japan</t>
  </si>
  <si>
    <t>National Institute for Environmental Studies - Japan</t>
  </si>
  <si>
    <t>Akimoto, H (corresponding author), Natl Inst Environm Studies, Tsukuba, Ibaraki, Japan.</t>
  </si>
  <si>
    <t>PO BOX 17, 3300 AA DORDRECHT, NETHERLANDS</t>
  </si>
  <si>
    <t>2194-5217</t>
  </si>
  <si>
    <t>978-4-431-55870-5; 978-4-431-55868-2</t>
  </si>
  <si>
    <t>SPRINGER ATMOS SCI</t>
  </si>
  <si>
    <t>10.1007/978-4-431-55870-5_8</t>
  </si>
  <si>
    <t>10.1007/978-4-431-55870-5</t>
  </si>
  <si>
    <t>BH1JQ</t>
  </si>
  <si>
    <t>WOS:000398079300010</t>
  </si>
  <si>
    <t>Springer, K</t>
  </si>
  <si>
    <t>Jezierski, T; Ensminger, J; Papet, LE</t>
  </si>
  <si>
    <t>Springer, Keith</t>
  </si>
  <si>
    <t>Detection Dogs in Strategies for Eradicating Pest Species from Natural Environments</t>
  </si>
  <si>
    <t>CANINE OLFACTION SCIENCE AND LAW: ADVANCES IN FORENSIC SCIENCE, MEDICINE, CONSERVATION, AND ENVIRONMENTAL REMEDIATION</t>
  </si>
  <si>
    <t>[Springer, Keith] Tasmania Pk &amp; Wildlife Serv, Macquarie Isl Pest Eradicat Project, Hobart, Tas, Australia; [Springer, Keith] New Zealand Antarctic Programme, Logist Management, Christchurch, New Zealand</t>
  </si>
  <si>
    <t>Springer, K (corresponding author), Tasmania Pk &amp; Wildlife Serv, Macquarie Isl Pest Eradicat Project, Hobart, Tas, Australia.</t>
  </si>
  <si>
    <t>keith.springer@gmail.com</t>
  </si>
  <si>
    <t>CRC PRESS-TAYLOR &amp; FRANCIS GROUP</t>
  </si>
  <si>
    <t>BOCA RATON</t>
  </si>
  <si>
    <t>6000 BROKEN SOUND PARKWAY NW, STE 300, BOCA RATON, FL 33487-2742 USA</t>
  </si>
  <si>
    <t>978-1-4822-6027-4; 978-1-4822-6023-6</t>
  </si>
  <si>
    <t>Criminology &amp; Penology; Veterinary Sciences</t>
  </si>
  <si>
    <t>BI2NS</t>
  </si>
  <si>
    <t>WOS:000409478200028</t>
  </si>
  <si>
    <t>Busch, SV</t>
  </si>
  <si>
    <t>Busch, Signe Veierud</t>
  </si>
  <si>
    <t>Disputes Due to Other Treaty Obligations: The Antarctic Treaty</t>
  </si>
  <si>
    <t>ESTABLISHING CONTINENTAL SHELF LIMITS BEYOND 200 NAUTICAL MILES BY THE COASTAL STATE: A RIGHT OF INVOLVEMENT FOR OTHER STATES?</t>
  </si>
  <si>
    <t>Publications on Ocean Development</t>
  </si>
  <si>
    <t>BRILL</t>
  </si>
  <si>
    <t>LEIDEN</t>
  </si>
  <si>
    <t>PO BOX 9000, 2300 PA LEIDEN, NETHERLANDS</t>
  </si>
  <si>
    <t>0924-1922</t>
  </si>
  <si>
    <t>978-90-04-32624-8; 978-90-04-32623-1</t>
  </si>
  <si>
    <t>PUBL OCEAN</t>
  </si>
  <si>
    <t>10.1163/9789004326248_010</t>
  </si>
  <si>
    <t>Law</t>
  </si>
  <si>
    <t>Government &amp; Law</t>
  </si>
  <si>
    <t>BI2LM</t>
  </si>
  <si>
    <t>WOS:000409375400009</t>
  </si>
  <si>
    <t>Sumaruk, YP; Sumaruk, TP</t>
  </si>
  <si>
    <t>Sumaruk, Y. P.; Sumaruk, T. P.</t>
  </si>
  <si>
    <t>Secular variation of geomagnetic field in Antarctica</t>
  </si>
  <si>
    <t>GEOFIZICHESKIY ZHURNAL-GEOPHYSICAL JOURNAL</t>
  </si>
  <si>
    <t>Russian</t>
  </si>
  <si>
    <t>secular variations; magnetic anomalies; geomagnetic activity; general magnetic field of the Sun</t>
  </si>
  <si>
    <t>The changes of the geomagnetic field secular variations at the Antarctic magnetic observatories for 1956-2010 years were investigated. The comparison between the secular variations at the Antarctica continent and at north polar cap and adjacent observatories in the middle latitudes of south hemisphere was performed. The conclusion was drawn that secular variations at the high latitudes of the Earth have three sources: first-changes of the position of the central dipole and also changes of the value of its magnetic momentum, second-the changes of the intensities of the tectonic sources. These sources create the south-African and Antarctic magnetic anomalies? And third-the changes of geomagnetic activity depending on the sign of general magnetic field of the Sun, and correspondently, on the sign of the vertical component of the interplanetary magnetic field.</t>
  </si>
  <si>
    <t>[Sumaruk, Y. P.; Sumaruk, T. P.] Natl Acad Sci Ukraine, Inst Geophys, Kiev, Ukraine</t>
  </si>
  <si>
    <t>National Academy of Sciences Ukraine; Subbotin Institute of Geophysics, National Academy of Sciences of Ukraine</t>
  </si>
  <si>
    <t>Sumaruk, YP (corresponding author), Natl Acad Sci Ukraine, Inst Geophys, Kiev, Ukraine.</t>
  </si>
  <si>
    <t>S I SUBBOTIN INST GEOPHYSICS NATL ACAD</t>
  </si>
  <si>
    <t>KIEV</t>
  </si>
  <si>
    <t>PR PALLADINA 32, KIEV, 252142, UKRAINE</t>
  </si>
  <si>
    <t>0203-3100</t>
  </si>
  <si>
    <t>2524-1052</t>
  </si>
  <si>
    <t>GEOFIZ ZHURNAL</t>
  </si>
  <si>
    <t>Geofiz. Zhurnal</t>
  </si>
  <si>
    <t>FK2BS</t>
  </si>
  <si>
    <t>WOS:000413287900009</t>
  </si>
  <si>
    <t>Singh, AK; Tiwari, M; Srivastava, A; Sinha, DK; Ramesh, R</t>
  </si>
  <si>
    <t>Singh, Ashutosh K.; Tiwari, Manish; Srivastava, Ankush; Sinha, Devesh K.; Ramesh, R.</t>
  </si>
  <si>
    <t>Wind Strength Variability in the Western Arabian Sea since the Last Glacial Maximum: Southwest vs. Northeast Monsoon Modes</t>
  </si>
  <si>
    <t>JOURNAL OF CLIMATE CHANGE</t>
  </si>
  <si>
    <t>Southwest monsoon; Northeast monsoon; Planktic foraminifera; Holocene; Last Glacial Maximum</t>
  </si>
  <si>
    <t>SOUTHEAST INDIAN-OCEAN; YOUNGER DRYAS EVENT; LATE QUATERNARY; SUMMER MONSOON; ATLANTIC CLIMATE; WINTER MONSOON; ABRUPT CHANGES; HOLOCENE; RECORD; PRODUCTIVITY</t>
  </si>
  <si>
    <t>Both the southwest monsoon (SWM) and the northeast monsoon (NEM) winds are responsible for the variations in the biological productivity in the western Arabian Sea (WAS), as recorded in the Arabian Sea sedimentary planktic foraminiferal record. While most earlier studies from this region ascribe the total observed variability predominantly to SWM, here we attempt to differentiate between the two monsoons based on the relative abundances of depth stratified planktic foraminifera assemblages. We observe a number of intervals of enhanced SWM. The first intensification (SWMI-I) occurred during similar to 16 to 12 ka and is possibly an outcome of early deglacial melting and stepwise increase in SWM strength after the end of the last glacial maximum (LGM). The second intensification (SWMI-II) is recorded at around similar to 10 ka, after the gradual strengthening from the end of the Younger Dryas cold episode. The last interval of intensification (SWMI-III) occurred around (similar to 8.2 to 7.8 ka). In addition, there are two intervals of enhanced NEM: NEMI-I at around 19 to 17 ka and NEMI-II (similar to 8.0 to 5.4 ka). These intervals of two enhanced NEM and three SWM wind strengths are bridged by decline in the SWM at different intervals, such as SWMD-I (similar to 17 to 16 ka), SWMD-II (similar to 12 to 11 ka) and SWMD-III (9.7 ka to 8.2 ka).</t>
  </si>
  <si>
    <t>[Singh, Ashutosh K.; Srivastava, Ankush; Sinha, Devesh K.] Delhi Univ, Ctr Adv Studies, Dept Geol, Delhi 110007, India; [Tiwari, Manish] Natl Ctr Antarctic &amp; Ocean Res, Marine Stable Isotope Lab, Vasco Da Gama 403804, Goa, India; [Ramesh, R.] Phys Res Lab, Geosci Div, Ahmadabad, Gujarat, India</t>
  </si>
  <si>
    <t>University of Delhi; Ministry of Earth Sciences (MoES) - India; National Centre for Polar and Ocean Research (NCPOR); Department of Space (DoS), Government of India; Physical Research Laboratory - India</t>
  </si>
  <si>
    <t>Singh, AK (corresponding author), Delhi Univ, Ctr Adv Studies, Dept Geol, Delhi 110007, India.</t>
  </si>
  <si>
    <t>2007ashu@gmail.com</t>
  </si>
  <si>
    <t>ISRO-GBP; DST Fast track Project [SP/FTP/ES-85/2009]; Delhi University; CSIR, New Delhi</t>
  </si>
  <si>
    <t>ISRO-GBP; DST Fast track Project; Delhi University; CSIR, New Delhi(Council of Scientific &amp; Industrial Research (CSIR) - India)</t>
  </si>
  <si>
    <t>The work was mainly supported by ISRO-GBP and a DST Fast track Project no. SP/FTP/ES-85/2009 to AKS. AS and DKS thank Delhi University for their support. MT thanks the Director, NCAOR for encouragement. AS also thanks CSIR, New Delhi for providing financial support in the form of Junior Research Fellowship.</t>
  </si>
  <si>
    <t>IOS PRESS</t>
  </si>
  <si>
    <t>NIEUWE HEMWEG 6B, 1013 BG AMSTERDAM, NETHERLANDS</t>
  </si>
  <si>
    <t>2395-7611</t>
  </si>
  <si>
    <t>2395-7697</t>
  </si>
  <si>
    <t>J CLIM CHANG</t>
  </si>
  <si>
    <t>J. Clim. Chang.</t>
  </si>
  <si>
    <t>10.3233/JCC-160017</t>
  </si>
  <si>
    <t>FL2TB</t>
  </si>
  <si>
    <t>WOS:000414071500006</t>
  </si>
  <si>
    <t>Remy, F</t>
  </si>
  <si>
    <t>Baghdadi, N; Zribi, M</t>
  </si>
  <si>
    <t>Remy, Frederique</t>
  </si>
  <si>
    <t>Radar Altimetry for Monitoring the Antarctic Ice Sheet</t>
  </si>
  <si>
    <t>LAND SURFACE REMOTE SENSING IN CONTINENTAL HYDROLOGY</t>
  </si>
  <si>
    <t>SATELLITE GRAVIMETRY; ENVISAT; SNOW; FLOW</t>
  </si>
  <si>
    <t>[Remy, Frederique] CNRS, LEGOS OMP, Toulouse, France</t>
  </si>
  <si>
    <t>Universite de Toulouse; Universite Toulouse III - Paul Sabatier; Centre National de la Recherche Scientifique (CNRS); Institut de Recherche pour le Developpement (IRD); Laboratoire d'Etudes en Geophysique et oceanographie spatiales</t>
  </si>
  <si>
    <t>Remy, F (corresponding author), CNRS, LEGOS OMP, Toulouse, France.</t>
  </si>
  <si>
    <t>ISTE LTD</t>
  </si>
  <si>
    <t>27-37 ST GEORGES RD, 3RD FLR, TUITION HOUSE, LONDON, SW19 4EU, ENGLAND</t>
  </si>
  <si>
    <t>9780-0-81-01181-2; 9781-7-85-48104-8</t>
  </si>
  <si>
    <t>Remote Sensing; Water Resources</t>
  </si>
  <si>
    <t>BI5WS</t>
  </si>
  <si>
    <t>WOS:000412911500009</t>
  </si>
  <si>
    <t>Blewett, SCJ; Phillips, D</t>
  </si>
  <si>
    <t>Linol, B; DeWit, MJ</t>
  </si>
  <si>
    <t>Blewett, Scarlett C. J.; Phillips, David</t>
  </si>
  <si>
    <t>An Overview of Cape Fold Belt Geochronology: Implications for Sediment Provenance and the Timing of Orogenesis</t>
  </si>
  <si>
    <t>ORIGIN AND EVOLUTION OF THE CAPE MOUNTAINS AND KAROO BASIN</t>
  </si>
  <si>
    <t>Regional Geology Reviews</t>
  </si>
  <si>
    <t>Cape Fold Belt; Geochronology; Provenance; Orogenesis; 40Ar/39Ar; ARGUSVI Muscovite</t>
  </si>
  <si>
    <t>EASTERN-CAPE; SOUTH-AFRICA; FALKLAND ISLANDS; AGE CONSTRAINTS; K-AR; EVOLUTION; STEYTLERVILLE; METAMORPHISM; 40AR/39AR; BASEMENT</t>
  </si>
  <si>
    <t>The Cape Fold Belt (CFB) is a 1300 km long fold-and-thrust mountain belt along the western and southern coastlines of South Africa. A limited understanding of the sedimentary provenance history and poor constraints on the timing of deformation has restricted the ability to provide a coherent tectonic model for the evolution of the CFB. Provenance studies on the Cape Supergroup, which dominates CFB outcrop, are largely limited to U-Pb dating of detrital zircons, which indicate the Namaqua-Natal Metamorphic Complex and Pan-African orogenic belts as likely sources for much of the detritus. Early geochronological studies constraining the timing of deformation in the CFB utilized 40Ar/39Ar step-heating analysis of bulk mineral separates. In these studies, dominant age domains were interpreted as multiple episodes of deformation. More recent 40Ar/39Ar results, from single muscovite grains and aggregate samples, were interpreted in terms of a bimodal tectonic evolution (ca. 270 Ma and ca. 251 Ma) for the CFB. In the present study, preliminary high precision 40Ar/39Ar step-heating analyses were carried out on &gt;100 single muscovite grains from the Cape Supergroup of the Eastern Cape area. These results identify a large detrital muscovite population &gt;440 Ma, confirming sedimentary contributions from Pan-African aged rocks of the Saldanian Orogen and associated Cape Granites, and possibly the East African-Antarctic Orogen. Similar muscovite ages at ca. 253 (Ma) are interpreted as constraining the final stage(s) of CFB orogenesis. Intermediate ages between 255 and 440 Ma are attributed to mixed age populations of detrital and metamorphic micas and/or partial resetting/recrystallization of these components by the low-grade CFB metamorphism. The significant detrital population and presence of partially overprinted micas highlights the risks of using bulk mineral separates, as per previous studies. Collectively, the current geochronological data do not support discrete deformation events, but also do not rule out the possibility of earlier or long-lived deformation events. Consequently, available models for the timing of CFB deformation should be treated with caution.</t>
  </si>
  <si>
    <t>[Blewett, Scarlett C. J.; Phillips, David] Univ Melbourne, Sch Earth Sci, Parkville, Vic 3010, Australia</t>
  </si>
  <si>
    <t>Blewett, SCJ (corresponding author), Univ Melbourne, Sch Earth Sci, Parkville, Vic 3010, Australia.</t>
  </si>
  <si>
    <t>blewetts@unimelb.edu.au</t>
  </si>
  <si>
    <t>Blewett, Scarlett/0000-0003-3767-9400</t>
  </si>
  <si>
    <t>2364-6438</t>
  </si>
  <si>
    <t>2364-6446</t>
  </si>
  <si>
    <t>978-3-319-40859-0; 978-3-319-40858-3</t>
  </si>
  <si>
    <t>REGION GEOL REV</t>
  </si>
  <si>
    <t>10.1007/978-3-319-40859-0_5</t>
  </si>
  <si>
    <t>10.1007/978-3-319-40859-0</t>
  </si>
  <si>
    <t>BI5UZ</t>
  </si>
  <si>
    <t>WOS:000412853600006</t>
  </si>
  <si>
    <t>Lukyanchenko, OO; Vorona, YV; Kostina, OV; Geraschenko, OV</t>
  </si>
  <si>
    <t>Lukyanchenko, O. O.; Vorona, Y. U.; Kostina, O. V.; Geraschenko, O. V.</t>
  </si>
  <si>
    <t>ANALYSIS OF THE WIND LOADING INFLUENCE ON THE FUEL RESERVOIR STOCHASTIC BEHAVIOR</t>
  </si>
  <si>
    <t>OPIR MATERIALIV I TEORIA SPORUD-STRENGTH OF MATERIALS AND THEORY OF STRUCTURES</t>
  </si>
  <si>
    <t>probabilistic model; wind loading; wavelet analysis; spectral analysis; finite element method; reservoir</t>
  </si>
  <si>
    <t>The fuel reservoir at the Ukrainian Antarctic station Academician Vernadsky refers to responsible structures which could lead to significant environmental disasters when damaging. Mathematical models of wind load on buildings located in hard-to-reach places and are in unfavorable conditions of exploitation require improvement and development. Meanwhile only probabilistic modeling gives possibility of adequate representation of the design values of wind under relatively small volumes of meteorological data. Such models of wind load were constructed in the form of a quasistationary differential random process and a sequence of extreme values of wind load which are described by the Gumbel double exponential distribution. The wavelet spectra of wind realizations were investigated with the help of continuous wavelet transform in the time-frequency space. The non-orthogonal normalized wavelet basis functions of different types (Morlet, Paul and the Mexican Hat) were used. With the help of modern FEM software a mathematical model of a complex structure was built in the form of a system of two connected cylindrical shells. The static nonlinear behavior of a fuel reservoir combining with a protective capacity was investigated by the modified Newton-Raphson method. The analysis of the stress-strain state of the protective capacity showed that the maximum equivalent stresses locates in the upper belt. The combination of two shells in one system affects the stress state of the fuel reservoir even under the influence of wind. So maximum stresses are observed in the reservoir near the upper fuel nozzle. A modal analysis of the complex shell system was carried out by the Lanczos algorithm. The construction eigenfrequency spectrum was found to be dense. There are regular and irregular deformations of the walls of the both protective and fuel reservoirs with a different number of half-waves along the directrix. There is one half-wave along the generators of both shells with slight deformations near the branch pipes. The spectral method for estimation of system responses (displacements, stresses and accelerations) was applied for the analysis of its stochastic behavior. The maximum responses are observed at the eigenfrequencies.</t>
  </si>
  <si>
    <t>[Lukyanchenko, O. O.; Vorona, Y. U.; Kostina, O. V.; Geraschenko, O. V.] Kyiv Natl Univ Construct &amp; Architecture, Inst Struct Mech KNUCA, 31 Povitroflotsky Ave, UA-03680 Kiev, Ukraine</t>
  </si>
  <si>
    <t>Ministry of Education &amp; Science of Ukraine; Kyiv National University of Construction &amp; Architecture</t>
  </si>
  <si>
    <t>Lukyanchenko, OO (corresponding author), Kyiv Natl Univ Construct &amp; Architecture, Inst Struct Mech KNUCA, 31 Povitroflotsky Ave, UA-03680 Kiev, Ukraine.</t>
  </si>
  <si>
    <t>tush_lu@meta.ua; yuvv@ukr.net; kl0867@meta.ua; olg_guera@ukr.net</t>
  </si>
  <si>
    <t>Gerashchenko, Oleg Valeriiovych/IVV-6661-2023; Kostina, Olena/JFJ-8439-2023</t>
  </si>
  <si>
    <t>Gerashchenko, Oleg Valeriiovych/0009-0003-3586-1548;</t>
  </si>
  <si>
    <t>BUDIVELNIK</t>
  </si>
  <si>
    <t>KYIV</t>
  </si>
  <si>
    <t>AVE POVITROFLOTSKY, 31, KYIV, 03680, UKRAINE</t>
  </si>
  <si>
    <t>2410-2547</t>
  </si>
  <si>
    <t>OPIR MATERIALIV TEOR</t>
  </si>
  <si>
    <t>Opir Materialiv Teor. Sporud</t>
  </si>
  <si>
    <t>FH0VB</t>
  </si>
  <si>
    <t>WOS:000410857600013</t>
  </si>
  <si>
    <t>Kochanska, B; Kedzia, A; Gebska, A</t>
  </si>
  <si>
    <t>Kochanska, Barbara; Kedzia, Anna; Gebska, Alina</t>
  </si>
  <si>
    <t>SENSITIVITY TO CHITOSAN ASCORBATE MICROAEROPHILIC BACTERIA ISOLATED FROM INFECTIONS OF ORAL CAVITY</t>
  </si>
  <si>
    <t>PROGRESS ON CHEMISTRY AND APPLICATION OF CHITIN AND ITS DERIVATIVES</t>
  </si>
  <si>
    <t>microaerophilic bacteria; chitosan ascorbate; susceptibility; oral cavity</t>
  </si>
  <si>
    <t>The aim of the date was to determine the sensitivity to chitosan ascorbate microaerophilic bacteria isolated from pathological pockets, root canals and apical abscesses. Chitosan was obtained from Antarctic krill. The experiments included 70 clinical isolates and 4 standards strains. The susceptibility of microaerophilic bacteria was performed by means of plate dilution technique in Brucella agar supplemented with 5% defibrinated sheep blood. Inoculum contained 10(5) CFU per spot. Incubation inoculated agar was performed at 37 degrees C for 48 hrs in microaerophilic conditions. MIC was defined as the least concentrations of chitosan ascorbate that inhibited growth of tested bacteria. The results indicated that 47% of all date bacteria was susceptible to chitosan ascorbate in ranges &lt;= 0.01 - 0.5 mg/ml. The most susceptible were the strains of Corynebacterium matruchotii (100%, MIC &lt;= 0.01 - 0.5 mg/ml) and the least sensitive strains of Rothia dentocariosa (MIC in ranges 1.0. - &gt;= 4.0 mg/ml).</t>
  </si>
  <si>
    <t>[Kochanska, Barbara] Med Univ Gdansk, Dept Conservat Dent, E Orzeszkowej Str 18, PL-80208 Gdansk, Poland; [Kedzia, Anna; Gebska, Alina] Med Univ Gdansk, Dept Oral Microbiol, Do Studzienki Str 38, PL-80227 Gdansk, Poland</t>
  </si>
  <si>
    <t>Fahrenheit Universities; Medical University Gdansk; Fahrenheit Universities; Medical University Gdansk</t>
  </si>
  <si>
    <t>Kochanska, B (corresponding author), Med Univ Gdansk, Dept Conservat Dent, E Orzeszkowej Str 18, PL-80208 Gdansk, Poland.</t>
  </si>
  <si>
    <t>bkochan@gumed.edu.pl</t>
  </si>
  <si>
    <t>Kochanska, Barbara/O-5313-2018</t>
  </si>
  <si>
    <t>Kochanska, Barbara/0000-0001-5479-0704; Gebska, Alina/0000-0002-0695-3975</t>
  </si>
  <si>
    <t>POLISH CHITIN SOC</t>
  </si>
  <si>
    <t>LODZ</t>
  </si>
  <si>
    <t>INST BIOPOLIMEROW &amp; WLOKIEN CHEMICZNYCH LODZI, M SKLODOWSKIEJ CURIE 19-27, LODZ, 90-570, POLAND</t>
  </si>
  <si>
    <t>1896-5644</t>
  </si>
  <si>
    <t>PROG CHEM APPL CHITI</t>
  </si>
  <si>
    <t>Prog. Chem. Appl. Chitin Deriv.</t>
  </si>
  <si>
    <t>10.15259/PCACD.21.11</t>
  </si>
  <si>
    <t>Materials Science, Biomaterials</t>
  </si>
  <si>
    <t>FG4GJ</t>
  </si>
  <si>
    <t>WOS:000410197600011</t>
  </si>
  <si>
    <t>Xavier, JC; Fugmann, G; Beck, I; Huffman, L; Jensen, E</t>
  </si>
  <si>
    <t>Castro, P; Azeiteiro, UM; BacelarNicolau, P; Filho, WL; Azul, AM</t>
  </si>
  <si>
    <t>Xavier, Jose C.; Fugmann, Gerlis; Beck, Inga; Huffman, Louise; Jensen, Eric</t>
  </si>
  <si>
    <t>Education on Biodiversity in the Polar Regions</t>
  </si>
  <si>
    <t>BIODIVERSITY AND EDUCATION FOR SUSTAINABLE DEVELOPMENT</t>
  </si>
  <si>
    <t>World Sustainability Series</t>
  </si>
  <si>
    <t>CLIMATE-CHANGE; CONSERVATION; ECOSYSTEMS; CHALLENGES; IMPACTS; VISITOR</t>
  </si>
  <si>
    <t>The polar regions are famously associated with extreme temperatures, ice, snow, legendary explorers, indigenous people, polar bears, penguins and other impressive fauna and flora. The past decades have witnessed a revolution in the amount of data collected in the polar regions, with considerable advances in the knowledge of numerous areas, including in polar biodiversity. Educationally, the polar regions can be perfect vehicles to transfer educational concepts related to biodiversity, but unfortunately, the evaluation of the impact of educational activities related to polar biodiversity is scarce. This chapter provides a general review of the importance of the polar regions, the increasing status of polar education in the last decade, examples of polar educational activities on biodiversity, and a resource to stakeholders interested in polar science and education. With pivotal inputs to polar education during the International Polar Year, 2007-2008, three of the most important challenges to be addressed in the future are to assess the needs of polar educators, strengthen the network of information sharing of educational materials (e.g. in a validated, multi-lingual and easily accessible online mode) and to develop robust evaluation of the educational activities. Recent improvements in internet technologies may provide a major source of ideas and the ability to effortlessly spread polar information relevant to biodiversity education.</t>
  </si>
  <si>
    <t>[Xavier, Jose C.] Univ Coimbra, Marine &amp; Environm Res Ctr MARE, Dept Life Sci, P-3001401 Coimbra, Portugal; [Xavier, Jose C.] British Antarctic Survey, Nat Environm Res Council, Madingley Rd, Cambridge CB3 0ET, England; [Fugmann, Gerlis] UiT, APECS, Tromso, Norway; [Beck, Inga] Heidelberg Univ, Inst Geog, Berliner Str 48, D-69120 Heidelberg, Germany; [Huffman, Louise] PEI, ARCUS, 3535 Coll Rd,Suite 101, Fairbanks, AK 99709 USA; [Jensen, Eric] Univ Warwick, Dept Sociol, Coventry CV4 7AL, W Midlands, England</t>
  </si>
  <si>
    <t>Universidade de Coimbra; UK Research &amp; Innovation (UKRI); Natural Environment Research Council (NERC); NERC British Antarctic Survey; UiT The Arctic University of Tromso; Ruprecht Karls University Heidelberg; University of Warwick</t>
  </si>
  <si>
    <t>Xavier, JC (corresponding author), Univ Coimbra, Marine &amp; Environm Res Ctr MARE, Dept Life Sci, P-3001401 Coimbra, Portugal.</t>
  </si>
  <si>
    <t>/0000-0002-9621-6660; Jensen, Eric/0000-0002-8332-4507</t>
  </si>
  <si>
    <t>NERC [bas0100035] Funding Source: UKRI</t>
  </si>
  <si>
    <t>2199-7373</t>
  </si>
  <si>
    <t>2199-7381</t>
  </si>
  <si>
    <t>978-3-319-32318-3; 978-3-319-32317-6</t>
  </si>
  <si>
    <t>WORLD SUSTAIN SER</t>
  </si>
  <si>
    <t>10.1007/978-3-319-32318-3_4</t>
  </si>
  <si>
    <t>10.1007/978-3-319-32318-3</t>
  </si>
  <si>
    <t>Education &amp; Educational Research</t>
  </si>
  <si>
    <t>BI2PL</t>
  </si>
  <si>
    <t>WOS:000409551700005</t>
  </si>
  <si>
    <t>Omelon, CR</t>
  </si>
  <si>
    <t>Hurst, CJ</t>
  </si>
  <si>
    <t>Omelon, Christopher R.</t>
  </si>
  <si>
    <t>Endolithic Microorganisms and Their Habitats</t>
  </si>
  <si>
    <t>THEIR WORLD: A DIVERSITY OF MICROBIAL ENVIRONMENTS</t>
  </si>
  <si>
    <t>Advances in Environmental Microbiology</t>
  </si>
  <si>
    <t>MCMURDO DRY VALLEYS; CRYPTOENDOLITHIC MICROBIAL ENVIRONMENT; CARBON-DIOXIDE EXCHANGE; WATER-VAPOR UPTAKE; DESICCATION-TOLERANT CYANOBACTERIUM; ATACAMA DESERT IMPLICATIONS; HAUGHTON IMPACT STRUCTURE; SOUTHERN VICTORIA-LAND; ANTARCTIC COLD DESERT; OASIS FRAY JORGE</t>
  </si>
  <si>
    <t>Endolithic microorganisms are widespread in desert biomes, where hostile environmental conditions limit the majority of life to rock habitats. In these habitats, microorganisms receive light for photosynthesis, moderated and warmer temperatures, protection from UV radiation, and prolonged exposure to liquid water. In general, these microbial communities are composed of phototrophic microorganisms as well as fungi and heterotrophic bacteria. Microbial composition is distinct from soil communities, suggesting these habitats select for microorganisms best suited to this environment. The habitat is not nutrient limited, which explains why these microbial communities colonize a wide range of lithic substrates with different mineralogies; however, greater environmental pressures select for those able to tolerate increasingly harsh conditions. Growth rates vary primarily as a function of moisture availability, resulting in long-lived communities in the driest deserts. While most microorganisms require liquid water for growth, some lichens with an algal phycobiont can photosynthesize with water vapor alone, a significant advantage in these water-limited biomes. Additional strategies against stress include synthesis of pigments, EPS, and osmoprotectants, which significantly offsets the growth of biomass. Microbial activity leads to physical and geochemical weathering, but can also result in stabilization of the lithic habitat. Identification of endolithic biosignatures and microbial fossils has resulted in their study from an astrobiological perspective in the search for life on other planets.</t>
  </si>
  <si>
    <t>[Omelon, Christopher R.] Univ Texas Austin, Dept Geol Sci, 2275 Speedway,Mail Stop C9000, Austin, TX 78712 USA</t>
  </si>
  <si>
    <t>Omelon, CR (corresponding author), Univ Texas Austin, Dept Geol Sci, 2275 Speedway,Mail Stop C9000, Austin, TX 78712 USA.</t>
  </si>
  <si>
    <t>omelon@jsg.utexas.edu</t>
  </si>
  <si>
    <t>Omelon, Christopher R/B-8520-2011</t>
  </si>
  <si>
    <t>2366-3324</t>
  </si>
  <si>
    <t>978-3-319-28071-4; 978-3-319-28069-1</t>
  </si>
  <si>
    <t>ADV ENV MICROBIOLOGY</t>
  </si>
  <si>
    <t>10.1007/978-3-319-28071-4_4</t>
  </si>
  <si>
    <t>10.1007/978-3-319-28071-4</t>
  </si>
  <si>
    <t>BI2PD</t>
  </si>
  <si>
    <t>WOS:000409541800007</t>
  </si>
  <si>
    <t>Dickinson, I; Walker, G; Pearce, DA</t>
  </si>
  <si>
    <t>Dickinson, Iain; Walker, Giselle; Pearce, David A.</t>
  </si>
  <si>
    <t>Microbes and the Arctic Ocean</t>
  </si>
  <si>
    <t>RIBOSOMAL-RNA GENES; ANTARCTIC SEA-ICE; MARINE FOOD-WEB; POLYBROMINATED DIPHENYL ETHERS; BEAUFORT SEA; BACTERIAL COMMUNITIES; CLIMATE-CHANGE; EUKARYOTIC PICOPLANKTON; PSYCHROPHILIC BACTERIA; HETEROTROPHIC AMEBAS</t>
  </si>
  <si>
    <t>It is surprising how little we really know about the microorganisms that live within the Arctic Ocean and in particular their role in the marine food web. A comprehensive food web study is yet to be conducted, and although many studies talk of an Arctic marine food web, publications normally focus on just one aspect of it. In some way, it mirrors our knowledge of the deep sea. We know it exists, we know the main interactions and pathways, but a great deal of the background information and detail is lacking. The single most important part of our research, therefore, is to understand the role and function of microorganisms in the environment. A fitting analogy is perhaps an iceberg. We know what it looks like, we know roughly what it does and how it behaves, we even know that the majority of the iceberg is hidden from view. However, we know very little about the effects of an iceberg on the general environment around it. Further, if we induce change in the behaviour of that iceberg, we have little idea what effect it might have. This is due to a combination of factors; (1) the complexity of the science, (2) the ambition, cost and logistics of conducting experimental work in these systems, (3) the fact that the existing, relatively simple model is sufficient for most purposes, (4) technological and methodological limitations and (5) research funding tends not to favour supporting ambitious long term ecological studies which can be very expensive. However, as with most questions in science, the harder we look, the more there is to find, and for every question we answer, a number of new questions arise. In this chapter, we attempt to give an overview of what is known about the microbial community in the Arctic marine food web, assess why this knowledge is relatively limited and pose some of the questions that remain to be answered.</t>
  </si>
  <si>
    <t>[Dickinson, Iain] Northumbria Univ, Fac Hlth &amp; Life Sci, Ellison Bldg, Newcastle Upon Tyne NE1 8ST, Tyne &amp; Wear, England; [Walker, Giselle; Pearce, David A.] Univ Ctr Svalbard UNIS, POB 156, Longyearbyen 9171, Svalbard; [Pearce, David A.] Northumbria Univ, Fac Hlth &amp; Life Sci, Ellison Bldg, Newcastle Upon Tyne NE1 8ST, Tyne &amp; Wear, England; [Pearce, David A.] British Antarctic Survey, Nat Environm Res Council, Madingley Rd, Cambridge CB3 OET, England</t>
  </si>
  <si>
    <t>Northumbria University; Northumbria University; UK Research &amp; Innovation (UKRI); Natural Environment Research Council (NERC); NERC British Antarctic Survey</t>
  </si>
  <si>
    <t>Pearce, DA (corresponding author), Univ Ctr Svalbard UNIS, POB 156, Longyearbyen 9171, Svalbard.;Pearce, DA (corresponding author), Northumbria Univ, Fac Hlth &amp; Life Sci, Ellison Bldg, Newcastle Upon Tyne NE1 8ST, Tyne &amp; Wear, England.;Pearce, DA (corresponding author), British Antarctic Survey, Nat Environm Res Council, Madingley Rd, Cambridge CB3 OET, England.</t>
  </si>
  <si>
    <t>iain.dickinson@northumbria.ac.uk; david.pearce@northumbria.ac.uk</t>
  </si>
  <si>
    <t>10.1007/978-3-319-28071-4_9</t>
  </si>
  <si>
    <t>WOS:000409541800012</t>
  </si>
  <si>
    <t>Aktas, S; Mirasoglu, B; Yumbul, AS; Çotuk, B</t>
  </si>
  <si>
    <t>Aktas, Samil; Mirasoglu, Bengusu; Yumbul, Ayse Sena; Cotuk, Birol</t>
  </si>
  <si>
    <t>MEDICAL CONSULTANCY OF THE FIRST TURKISH ANTARCTIC RESEARCH EXPEDITION 2016</t>
  </si>
  <si>
    <t>JOURNAL OF ISTANBUL FACULTY OF MEDICINE-ISTANBUL TIP FAKULTESI DERGISI</t>
  </si>
  <si>
    <t>Antarctic regions; demography; health condition</t>
  </si>
  <si>
    <t>Objective: Antarctica is the coldest, farthest, and highest continent on Earth. Due to its extreme conditions and isolation, researchers undergo health assessments, which are prepared differently in each country. Health standards for National Arctic and Antarctic Polar Research Projects were prepared by our Faculty, and the scientists participating in the first national scientific expedition were assessed in the Department of Underwater and Hyperbaric Medicine. Materials and Methods: After one year of investigation, National Turkish Polar Research Health Standards (TUKAS) were prepared. Medical assessment of the candidate researchers was done according to these standards in our hospital. All the physical examinations, laboratory and radiologic results were recorded. Researchers were monitored all through the expedition and any medical condition was recorded. Results: Thirteen researchers attended the 1st Turkish Antarctic Scientific Expedition in 2016. Twelve researchers were assessed according to TUKAS. Cardiologic conditions were detected in four applicants. There was a history of tuberculosis in one applicant and hepatitis A and B in another. Also, there were minor gastrointestinal problems in three applicants. None of the detected conditions impeded participation. No serious health problems were reported during the expedition. Conclusion: Team members who are to work in Antarctica should be selected carefully by taking into account a physical examination and medical conditions. Istanbul Faculty of Medicine, Department of Underwater and Hyperbaric Medicine has been selected for the examination of the Turkish team. Thus, the data, which will be kept in one center, will be an important resource for future scientific studies.</t>
  </si>
  <si>
    <t>[Aktas, Samil; Mirasoglu, Bengusu; Yumbul, Ayse Sena] Istanbul Univ, Istanbul Tip Fak, Sualti Hekimligi &amp; Hiperbar Tip Anabilim Dali, Istanbul, Turkey; [Cotuk, Birol] Marmara Univ, Spor Bilimleri Fak, Spor Sagl Bilimleri Anabilim Dali, Istanbul, Turkey</t>
  </si>
  <si>
    <t>Istanbul University; Marmara University</t>
  </si>
  <si>
    <t>Aktas, S (corresponding author), Istanbul Univ, Istanbul Tip Fak, Sualti Hekimligi &amp; Hiperbar Tip Anabilim Dali, Istanbul, Turkey.</t>
  </si>
  <si>
    <t>samilaktas@yahoo.com</t>
  </si>
  <si>
    <t>Aktaş, Şamil/AAD-6656-2020; Mirasoglu, Bengusu/AAE-7277-2020; COTUK, HASAN BIROL/A-8214-2018</t>
  </si>
  <si>
    <t>Mirasoglu, Bengusu/0000-0002-2062-0229; COTUK, HASAN BIROL/0000-0001-7623-2279</t>
  </si>
  <si>
    <t>ISTANBUL UNIV, FACULTY MEDICINE, PUBLISHING OFFICE</t>
  </si>
  <si>
    <t>ISTANBUL</t>
  </si>
  <si>
    <t>ISTANBUL UNIV, ISTANBUL TIP FAKULTESI DEKANLIGI, YAYUNCILIK BIRIMI, TURGUT OZAL CAD CAPA FAITH, PK, ISTANBUL, 34093, TURKEY</t>
  </si>
  <si>
    <t>1305-6433</t>
  </si>
  <si>
    <t>1305-6441</t>
  </si>
  <si>
    <t>J INSTANB FAC MED</t>
  </si>
  <si>
    <t>J. Instanb. Fac. Med.</t>
  </si>
  <si>
    <t>Medicine, General &amp; Internal</t>
  </si>
  <si>
    <t>General &amp; Internal Medicine</t>
  </si>
  <si>
    <t>FE8FW</t>
  </si>
  <si>
    <t>WOS:000408442000004</t>
  </si>
  <si>
    <t>Polishchuk, KV; Verkulich, SR; Ezhikov, IS; Pushina, ZV</t>
  </si>
  <si>
    <t>Polishchuk, K. V.; Verkulich, S. R.; Ezhikov, I. S.; Pushina, Z. V.</t>
  </si>
  <si>
    <t>Postglacial relative sea level change at Fildes Peninsula, King George Island (West Antarctic)</t>
  </si>
  <si>
    <t>LED I SNEG-ICE AND SNOW</t>
  </si>
  <si>
    <t>Antarctic; bottom relief forms; bottom sediments; glacial isostasy; Holocene; marine deposits; radiocarbon dating; sea level changes</t>
  </si>
  <si>
    <t>LAST GLACIAL MAXIMUM; ICE; HOLOCENE</t>
  </si>
  <si>
    <t>Analysis and integration of data obtained in our field and laboratory investigations of 2008-2012 together with results of previous paleogeographic studies were conducted to reveal parameters and factors of the post-glacial changes in the relative sea-level on the Fildes Peninsula and the King George Island. Results of dating of organic material taken from cross-sections of Quaternary deposits, data on morphology of marine landforms as well as on bottom sediments in lakes were used to construct a curve of changes in the relative sea-level. Our research has shown that the rapid rise of relative sea level in the area (since the beginning of the Holocene) decelerated about 8000 years BP, achieving its maximum about 7000 years BP. This was followed by the fall of relative sea-level (the land elevation) by 18-20 m in total, and it was characterized by relatively high rate of fall during periods of 60005000 years BP, 4000-2500 years BP, and during the last 1500 years; the rate decreased in 5000-4000 years BP and 25001600 years BP. The changes in relative sea level in this region were determined by the following factors: the eustatic component of the global changes in sea-level and, possibly, oscillations in the global sea level of another nature; local parameters of the Last glacial maximum; a course of the Peninsula deglaciation; regional physical characteristics of the Earth's crust and the mantle substances; local tectonic processes, including the isostatic rebound. Since the beginning of the Holocene up to about 7000 years BP, the main contribution to changes of the relative sea-level in this area was made by the global eustatic factor. The subsequent fall of the relative sea-level (elevation of the Peninsula surface) proceeded under condition of reduced role of the eustatic factor and predominance of other factors.</t>
  </si>
  <si>
    <t>[Polishchuk, K. V.; Verkulich, S. R.; Ezhikov, I. S.; Pushina, Z. V.] Arctic &amp; Antarctic Res Inst, St Petersburg, Russia; [Polishchuk, K. V.] St Petersburg State Univ, St Petersburg, Russia; [Pushina, Z. V.] All Russia Sci Res Inst Geol &amp; Mineral Resources, St Petersburg, Russia</t>
  </si>
  <si>
    <t>Arctic &amp; Antarctic Research Institute; Saint Petersburg State University</t>
  </si>
  <si>
    <t>Polishchuk, KV (corresponding author), Arctic &amp; Antarctic Res Inst, St Petersburg, Russia.;Polishchuk, KV (corresponding author), St Petersburg State Univ, St Petersburg, Russia.</t>
  </si>
  <si>
    <t>Ksya.poleshuk@gmail.com</t>
  </si>
  <si>
    <t>Jozhikov, Ilya/E-8747-2019</t>
  </si>
  <si>
    <t>INST GEOGRAPHY, RUSSIAN ACAD SCIENCES</t>
  </si>
  <si>
    <t>PROFSOYUZNAYA UL 90, MOSCOW, 117864, RUSSIA</t>
  </si>
  <si>
    <t>2076-6734</t>
  </si>
  <si>
    <t>2412-3765</t>
  </si>
  <si>
    <t>LED SNEG</t>
  </si>
  <si>
    <t>Led Sneg</t>
  </si>
  <si>
    <t>10.15356/2076-6734-2016-1-93-102</t>
  </si>
  <si>
    <t>FE5ET</t>
  </si>
  <si>
    <t>WOS:000408235500009</t>
  </si>
  <si>
    <t>Bantsev, DV; Ganyushkin, DA; Ekaykin, AA; Chistyakov, KV</t>
  </si>
  <si>
    <t>Bantsev, D. V.; Ganyushkin, D. A.; Ekaykin, A. A.; Chistyakov, K. V.</t>
  </si>
  <si>
    <t>Isotope-geochemical investigation of glacio-nival systems of the Tabyn-Bogdo-Ola mountain massif (Western Mongolia)</t>
  </si>
  <si>
    <t>accumulation estimation; glacier runoff; isotope-geochemical investigation; Tabyn Bogdo mountain massif</t>
  </si>
  <si>
    <t>CORES</t>
  </si>
  <si>
    <t>Results of investigation of glacio-nival systems made in the Tabyn-Bogdo-Ola mountains (Western Mongolia) are presented in the paper. Average content of delta O-18 in the Tsagan-Us river water amounts to 17.44 parts per thousand that is almost equal to the isotope content in the clear glacier runoff near the edge of the Kozlov Glacier (-17.43 parts per thousand). It means that the isotope content in water doesn't significantly change over a distance of 30 km along the Tsagan-Us river. Hence, it appears that for this distance the river has no additional non-glacial feed. The magnitude 17.4 +/- 0.1% can be considered as the average content of isotopes in the glacio-nival system in the Tabyn-Bogdo-Ola mountain massif. This value can also be the precipitation-weighted average isotope content in the solid precipitations which are accumulated in glaciers of this massif. Seasonal isotope fluctuations are partly preserved in the snow-firn mass in the accumulation area of the Kozlov Glacier. A rate of annual accumulation was estimated by multiplying the apparent thickness (160 cm) of an annual layer into the snow density. According to our observations, it is equal to 800 mm w.e./year during 2013-2014. Accumulation is increased due to the wind and avalanche transportation of snow. During the ablation season, summer and spring snowfalls over the Kozlov Glacier area melt. Thus, it is possible to suppose that the autumn snowfalls play the important role in the accumulation. We may also suppose that the main source of the moisture for the Tabyn-Bogdo-Ola massif is located somewhere in the Inner Asia.</t>
  </si>
  <si>
    <t>[Bantsev, D. V.; Ganyushkin, D. A.; Ekaykin, A. A.; Chistyakov, K. V.] St Petersburg State Univ, St Petersburg, Russia; [Ekaykin, A. A.] Arctic &amp; Antarctic Res Inst, St Petersburg, Russia</t>
  </si>
  <si>
    <t>Saint Petersburg State University; Arctic &amp; Antarctic Research Institute</t>
  </si>
  <si>
    <t>Bantsev, DV (corresponding author), St Petersburg State Univ, St Petersburg, Russia.</t>
  </si>
  <si>
    <t>bancev-d@yandex.ru</t>
  </si>
  <si>
    <t>Chistyakov, Kirill V/M-8489-2013; Bantcev, Dmitrii/AAK-2319-2020; Ganyushkin, Dmitry/M-8516-2013</t>
  </si>
  <si>
    <t>Ganyushkin, Dmitry/0000-0001-6109-8652</t>
  </si>
  <si>
    <t>10.15356/2076-6734-2016-2-169-176</t>
  </si>
  <si>
    <t>FE5EX</t>
  </si>
  <si>
    <t>WOS:000408235900003</t>
  </si>
  <si>
    <t>Golobokova, LP; Polkin, VV; Onischuk, NA; Khuriganova, OI; Tikhomirov, AB; Terpugova, SA; Polkin, VV; Turchinovich, US; Radionov, VF</t>
  </si>
  <si>
    <t>Golobokova, L. P.; Polkin, V. V.; Onischuk, N. A.; Khuriganova, O. I.; Tikhomirov, A. B.; Terpugova, S. A.; Polkin, V. V.; Turchinovich, U. S.; Radionov, V. F.</t>
  </si>
  <si>
    <t>Chemical composition of aerosol in the atmospheric surface layer of the East Antarctica coastal zone</t>
  </si>
  <si>
    <t>aerosol; coast of East Antarctica; crustal enrichment factor; ground layer; elements; ions</t>
  </si>
  <si>
    <t>TRACE-ELEMENTS; ICE CORE; SNOW; STATION; DOME</t>
  </si>
  <si>
    <t>Chemical composition of aerosol in the ground layer of the coastal zone in East Antarctica is analyzed in the article. The aerosol samples were taken in 2006-2015 during seasonal works of the Russian Antarctic Expeditions (RAE), namely, these were 52nd-53rd, 55th, and 58th-60th expeditions. Samples were taken in the 200-km band of the sea-shore zone along routes of the research vessels (REV) Akademik Fedorov and Akademik Treshnikov as well as on territories of the Russian stations Molodezhnaya and Mirny. Although the results obtained did show the wide range of the aerosol concentrations and a certain variability of their chemical composition, some common features of the variability were revealed. Thus, during the period from 2006 to 2014 a decrease of average values of the sums were noted. Spatially, a tendency of decreasing of the ion concentrations was found in the direction from the station Novolazarevskaya to the Molodezhnaya one, but the concentrations increased from the Molodezhnaya to the station Mirny. The sum of ions of the aerosol in the above mentioned coastal zone was, on the average, equal to 2.44 mu g/m(3), and it was larger than that on the territory of the Antarctic stations Molodezhnaya (0,29 mu g/m(3)) and Mirny (0,50 ag/m(3)). The main part to the sum of the aerosol ions on the Antarctic stations was contributed by Na+, Ca2+, Cl-, SO42-. The main ions in aerosol composition in the coastal zone are ions Na+ and Cl-. The dominant contribution of the sea salt and SO42- can be traced in not only the composition of atmospheric aerosols, but also in the chemical composition of the fresh snow in the coastal areas of East Antarctica: at the Indian station Maitri, on the Larsemann Hills, and in a boring located in 55.3 km from the station Progress (K = 1.4 divided by 6.1). It was noted that values of the coefficient of enrichment K of these ions decreases as someone moves from a shore to inland. Estimation of contributions of the continental and maritime factors to formation of the aerosol chemical composition revealed higher enrichment ratios for K+, Ca2+, SO42- (K = 3.6 divided by 13.0). This reflects not only influence of the natural sources, but the intensity of human activities on the Antarctic continent as well. The elemental composition of solid aerosols was also analyzed. The largest concentrations were determined for Zn, Al and Fe. The ratio of concentration of the elements in both the soluble and insoluble phases of the aerosol showed that 84.1% of the total amount of the elements was contained in a water-insoluble state. Fractional relation between the element concentrations changed in different phases from 16 to 98%. High enrichment of the aerosol particles by Zn, Cu, Cr, Ba, Pb, Ni, Se, As, Cd (the enrichment factors = 27 divided by 26 445) had been revealed. The content of dominant chemical components (Na+, Cl-, Zn, Fe), factors and coefficients of the element enrichment in the aerosols as well as in fresh snow of the coastal zone of East Antarctica are indicative of the identity of sources where their composition is formed.</t>
  </si>
  <si>
    <t>[Golobokova, L. P.; Onischuk, N. A.; Khuriganova, O. I.] Russian Acad Sci, Limnol Inst, Siberian Branch, Irkutsk, Russia; [Polkin, V. V.; Tikhomirov, A. B.; Terpugova, S. A.; Polkin, V. V.; Turchinovich, U. S.] Russian Acad Sci, VE Zuev Inst Atmospher Opt, Siberian Branch, Tomsk, Russia; [Radionov, V. F.] Arctic &amp; Antarctic Res Inst, St Petersburg, Russia</t>
  </si>
  <si>
    <t>Irkutsk Science Centre of the Russian Academy of Sciences; Russian Academy of Sciences; Limnological Institute SB RAS; Zuev Institute of Atmospheric Optics, Siberian Branch of the Russian Academy of Sciences; Russian Academy of Sciences; Arctic &amp; Antarctic Research Institute</t>
  </si>
  <si>
    <t>Golobokova, LP (corresponding author), Russian Acad Sci, Limnol Inst, Siberian Branch, Irkutsk, Russia.</t>
  </si>
  <si>
    <t>lg@lin.irk.ru</t>
  </si>
  <si>
    <t>Terpugova, Svetlana/A-5054-2014; Polkin, Victor/G-4153-2014; Golobokova, Liudmila Petrovna/J-4361-2018; Radionov, Vladimir F./O-3038-2017</t>
  </si>
  <si>
    <t>10.15356/2076-6734-2016-2-177-188</t>
  </si>
  <si>
    <t>WOS:000408235900004</t>
  </si>
  <si>
    <t>Markov, AN; Dahl-Jensen, D; Kotlyakov, VM; Golubev, VN; Leonov, MG; Lukin, VV</t>
  </si>
  <si>
    <t>Markov, A. N.; Dahl-Jensen, D.; Kotlyakov, V. M.; Golubev, V. N.; Leonov, M. G.; Lukin, V. V.</t>
  </si>
  <si>
    <t>Dynamics of Antarctic and Greenland ice sheets using the borehole, radio sounding and space observations</t>
  </si>
  <si>
    <t>Antarctica; Earth's crust; geotectonics; glacier; Greenland; ice sheet; ice sheet dynamics</t>
  </si>
  <si>
    <t>CORE; FLOW</t>
  </si>
  <si>
    <t>Based on data of measurements in deep ice boreholes, as well as of radar and space geodetic observations in Antarctica and Greenland, a number of new features of the ice mass transport had been revealed. Note that these features do not correspond to the traditional but still hypothetical notions (ideas) of the monotonous and uniform spatial changes in the ice sheet dynamics. Using results of the long-term monitoring of the borehole coordinate axes at the Vostok station (down to 1920 m), east profile Vostok - Vostok 1 - Pionerskaya - Mirny (1409 km, down to the depth of 450 m), and analysis of radar sections, Russian specialists revealed the following: a) the Antarctic ice sheet has stratified changes in speed and a fan-like change in the flow direction along the depth; b) plastic firn layer has individual parameters of dynamics and actually flows down from more monolithic body of the ice sheet (the flow directions differ by 30-80 degrees); c) in some places inside the sheet, the underlying ice masses flow faster than the upper ones. Researchers from the United States and Denmark registered on the radar sections of the lowest third of the ice domes in the central regions of the Antarctica (AGAP) and Greenland (NEEM) some folded structures, which were not typical of ice sheets (vertical amplitude of the folds is about 400 m, inclination of the wings is about 45 degrees or more). The tectonic analysis we have performed allows making a conclusion that a genesis of these ice structures is identical to the diapir folds and to diapirs which are formed at a displacement of lower plastic ice masses by the upper monolithic ones, or to echelon folds of crumpling of lower ice layers at their faster flow along original bed as compared with the overlying ice mass. This makes possible to suggest that a turbulent ice flow can occur in the spacious near-bottom and the most plastic area, and a model of the ice sheet dynamics is considered as extruding of underlying masses by the overlying ones. Specialists of the United States analyzed results of the radar interferometry obtained from satellites of Canada, the US, Europe, and Japan (RADARSAT-1, 2; Envisat ASAR; ERS-1/2; ALOS PALSAR) and determined a velocity of the flow of the day surface of the Antarctic ice sheet. They constructed a map of the 3D-structure of the ice flows and had revealed that the dominating ice diffluence from the central area down to the coastal zone is in a complicated way composed by many local streams. We conducted the morphological analysis and made the conclusion that these flows interact to one another under conditions of the strong differentiation of a surface inclination of the ice flow moving down along the mountain relief of original bedrock, and this process is similar to a merging of glaciers with individual characteristics due to different ice-catchments.</t>
  </si>
  <si>
    <t>[Markov, A. N.] Jilin Univ, Polar Res Ctr, Changchun, Jilin, Peoples R China; [Dahl-Jensen, D.] Univ Copenhagen, Ctr Ice &amp; Climate, Copenhagen, Denmark; [Kotlyakov, V. M.] Russian Acad Sci, Inst Geog, Moscow, Russia; [Golubev, V. N.] Lomonosov Moscow State Univ, Moscow, Russia; [Leonov, M. G.] Russian Acad Sci, Inst Geol, Moscow, Russia; [Lukin, V. V.] Russian Antarct Expedit, St Petersburg, Russia</t>
  </si>
  <si>
    <t>Jilin University; University of Copenhagen; Russian Academy of Sciences; Institute of Geography, Russian Academy of Sciences; Lomonosov Moscow State University; Russian Academy of Sciences; Geological Institute, Russian Academy of Sciences</t>
  </si>
  <si>
    <t>Markov, AN (corresponding author), Jilin Univ, Polar Res Ctr, Changchun, Jilin, Peoples R China.</t>
  </si>
  <si>
    <t>am100@inbox.ru</t>
  </si>
  <si>
    <t>Dahl-Jensen, Dorthe/AAO-6951-2020</t>
  </si>
  <si>
    <t>Dahl-Jensen, Dorthe/0000-0002-1474-1948</t>
  </si>
  <si>
    <t>10.15356/2076-6734-2016-3-309-332</t>
  </si>
  <si>
    <t>FE5EZ</t>
  </si>
  <si>
    <t>WOS:000408236100002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</si>
</sst>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75</v>
      </c>
      <c r="G2" t="s">
        <v>74</v>
      </c>
      <c r="H2" t="s">
        <v>74</v>
      </c>
      <c r="I2" t="s">
        <v>76</v>
      </c>
      <c r="J2" t="s">
        <v>77</v>
      </c>
      <c r="K2" t="s">
        <v>74</v>
      </c>
      <c r="L2" t="s">
        <v>74</v>
      </c>
      <c r="M2" t="s">
        <v>78</v>
      </c>
      <c r="N2" t="s">
        <v>79</v>
      </c>
      <c r="O2" t="s">
        <v>74</v>
      </c>
      <c r="P2" t="s">
        <v>74</v>
      </c>
      <c r="Q2" t="s">
        <v>74</v>
      </c>
      <c r="R2" t="s">
        <v>74</v>
      </c>
      <c r="S2" t="s">
        <v>74</v>
      </c>
      <c r="T2" t="s">
        <v>80</v>
      </c>
      <c r="U2" t="s">
        <v>81</v>
      </c>
      <c r="V2" t="s">
        <v>82</v>
      </c>
      <c r="W2" t="s">
        <v>83</v>
      </c>
      <c r="X2" t="s">
        <v>84</v>
      </c>
      <c r="Y2" t="s">
        <v>85</v>
      </c>
      <c r="Z2" t="s">
        <v>86</v>
      </c>
      <c r="AA2" t="s">
        <v>87</v>
      </c>
      <c r="AB2" t="s">
        <v>88</v>
      </c>
      <c r="AC2" t="s">
        <v>89</v>
      </c>
      <c r="AD2" t="s">
        <v>90</v>
      </c>
      <c r="AE2" t="s">
        <v>91</v>
      </c>
      <c r="AF2" t="s">
        <v>74</v>
      </c>
      <c r="AG2">
        <v>74</v>
      </c>
      <c r="AH2">
        <v>12</v>
      </c>
      <c r="AI2">
        <v>12</v>
      </c>
      <c r="AJ2">
        <v>0</v>
      </c>
      <c r="AK2">
        <v>40</v>
      </c>
      <c r="AL2" t="s">
        <v>92</v>
      </c>
      <c r="AM2" t="s">
        <v>93</v>
      </c>
      <c r="AN2" t="s">
        <v>94</v>
      </c>
      <c r="AO2" t="s">
        <v>95</v>
      </c>
      <c r="AP2" t="s">
        <v>96</v>
      </c>
      <c r="AQ2" t="s">
        <v>74</v>
      </c>
      <c r="AR2" t="s">
        <v>97</v>
      </c>
      <c r="AS2" t="s">
        <v>98</v>
      </c>
      <c r="AT2" t="s">
        <v>99</v>
      </c>
      <c r="AU2">
        <v>2016</v>
      </c>
      <c r="AV2">
        <v>30</v>
      </c>
      <c r="AW2">
        <v>6</v>
      </c>
      <c r="AX2" t="s">
        <v>74</v>
      </c>
      <c r="AY2" t="s">
        <v>74</v>
      </c>
      <c r="AZ2" t="s">
        <v>74</v>
      </c>
      <c r="BA2" t="s">
        <v>74</v>
      </c>
      <c r="BB2">
        <v>844</v>
      </c>
      <c r="BC2">
        <v>858</v>
      </c>
      <c r="BD2" t="s">
        <v>74</v>
      </c>
      <c r="BE2" t="s">
        <v>100</v>
      </c>
      <c r="BF2" t="str">
        <f>HYPERLINK("http://dx.doi.org/10.1002/2015GB005364","http://dx.doi.org/10.1002/2015GB005364")</f>
        <v>http://dx.doi.org/10.1002/2015GB005364</v>
      </c>
      <c r="BG2" t="s">
        <v>74</v>
      </c>
      <c r="BH2" t="s">
        <v>74</v>
      </c>
      <c r="BI2">
        <v>15</v>
      </c>
      <c r="BJ2" t="s">
        <v>101</v>
      </c>
      <c r="BK2" t="s">
        <v>102</v>
      </c>
      <c r="BL2" t="s">
        <v>103</v>
      </c>
      <c r="BM2" t="s">
        <v>104</v>
      </c>
      <c r="BN2" t="s">
        <v>74</v>
      </c>
      <c r="BO2" t="s">
        <v>105</v>
      </c>
      <c r="BP2" t="s">
        <v>74</v>
      </c>
      <c r="BQ2" t="s">
        <v>74</v>
      </c>
      <c r="BR2" t="s">
        <v>106</v>
      </c>
      <c r="BS2" t="s">
        <v>107</v>
      </c>
      <c r="BT2" t="str">
        <f>HYPERLINK("https%3A%2F%2Fwww.webofscience.com%2Fwos%2Fwoscc%2Ffull-record%2FWOS:000379949500003","View Full Record in Web of Science")</f>
        <v>View Full Record in Web of Science</v>
      </c>
    </row>
    <row r="3" spans="1:72" x14ac:dyDescent="0.15">
      <c r="A3" t="s">
        <v>72</v>
      </c>
      <c r="B3" t="s">
        <v>108</v>
      </c>
      <c r="C3" t="s">
        <v>74</v>
      </c>
      <c r="D3" t="s">
        <v>74</v>
      </c>
      <c r="E3" t="s">
        <v>74</v>
      </c>
      <c r="F3" t="s">
        <v>109</v>
      </c>
      <c r="G3" t="s">
        <v>74</v>
      </c>
      <c r="H3" t="s">
        <v>74</v>
      </c>
      <c r="I3" t="s">
        <v>110</v>
      </c>
      <c r="J3" t="s">
        <v>111</v>
      </c>
      <c r="K3" t="s">
        <v>74</v>
      </c>
      <c r="L3" t="s">
        <v>74</v>
      </c>
      <c r="M3" t="s">
        <v>78</v>
      </c>
      <c r="N3" t="s">
        <v>79</v>
      </c>
      <c r="O3" t="s">
        <v>74</v>
      </c>
      <c r="P3" t="s">
        <v>74</v>
      </c>
      <c r="Q3" t="s">
        <v>74</v>
      </c>
      <c r="R3" t="s">
        <v>74</v>
      </c>
      <c r="S3" t="s">
        <v>74</v>
      </c>
      <c r="T3" t="s">
        <v>112</v>
      </c>
      <c r="U3" t="s">
        <v>113</v>
      </c>
      <c r="V3" t="s">
        <v>114</v>
      </c>
      <c r="W3" t="s">
        <v>115</v>
      </c>
      <c r="X3" t="s">
        <v>116</v>
      </c>
      <c r="Y3" t="s">
        <v>117</v>
      </c>
      <c r="Z3" t="s">
        <v>118</v>
      </c>
      <c r="AA3" t="s">
        <v>119</v>
      </c>
      <c r="AB3" t="s">
        <v>120</v>
      </c>
      <c r="AC3" t="s">
        <v>121</v>
      </c>
      <c r="AD3" t="s">
        <v>122</v>
      </c>
      <c r="AE3" t="s">
        <v>123</v>
      </c>
      <c r="AF3" t="s">
        <v>74</v>
      </c>
      <c r="AG3">
        <v>95</v>
      </c>
      <c r="AH3">
        <v>67</v>
      </c>
      <c r="AI3">
        <v>70</v>
      </c>
      <c r="AJ3">
        <v>3</v>
      </c>
      <c r="AK3">
        <v>111</v>
      </c>
      <c r="AL3" t="s">
        <v>124</v>
      </c>
      <c r="AM3" t="s">
        <v>125</v>
      </c>
      <c r="AN3" t="s">
        <v>126</v>
      </c>
      <c r="AO3" t="s">
        <v>127</v>
      </c>
      <c r="AP3" t="s">
        <v>128</v>
      </c>
      <c r="AQ3" t="s">
        <v>74</v>
      </c>
      <c r="AR3" t="s">
        <v>129</v>
      </c>
      <c r="AS3" t="s">
        <v>130</v>
      </c>
      <c r="AT3" t="s">
        <v>99</v>
      </c>
      <c r="AU3">
        <v>2016</v>
      </c>
      <c r="AV3">
        <v>22</v>
      </c>
      <c r="AW3">
        <v>6</v>
      </c>
      <c r="AX3" t="s">
        <v>74</v>
      </c>
      <c r="AY3" t="s">
        <v>74</v>
      </c>
      <c r="AZ3" t="s">
        <v>74</v>
      </c>
      <c r="BA3" t="s">
        <v>74</v>
      </c>
      <c r="BB3">
        <v>2038</v>
      </c>
      <c r="BC3">
        <v>2053</v>
      </c>
      <c r="BD3" t="s">
        <v>74</v>
      </c>
      <c r="BE3" t="s">
        <v>131</v>
      </c>
      <c r="BF3" t="str">
        <f>HYPERLINK("http://dx.doi.org/10.1111/gcb.13247","http://dx.doi.org/10.1111/gcb.13247")</f>
        <v>http://dx.doi.org/10.1111/gcb.13247</v>
      </c>
      <c r="BG3" t="s">
        <v>74</v>
      </c>
      <c r="BH3" t="s">
        <v>74</v>
      </c>
      <c r="BI3">
        <v>16</v>
      </c>
      <c r="BJ3" t="s">
        <v>132</v>
      </c>
      <c r="BK3" t="s">
        <v>102</v>
      </c>
      <c r="BL3" t="s">
        <v>133</v>
      </c>
      <c r="BM3" t="s">
        <v>134</v>
      </c>
      <c r="BN3">
        <v>26855008</v>
      </c>
      <c r="BO3" t="s">
        <v>135</v>
      </c>
      <c r="BP3" t="s">
        <v>74</v>
      </c>
      <c r="BQ3" t="s">
        <v>74</v>
      </c>
      <c r="BR3" t="s">
        <v>106</v>
      </c>
      <c r="BS3" t="s">
        <v>136</v>
      </c>
      <c r="BT3" t="str">
        <f>HYPERLINK("https%3A%2F%2Fwww.webofscience.com%2Fwos%2Fwoscc%2Ffull-record%2FWOS:000378721700005","View Full Record in Web of Science")</f>
        <v>View Full Record in Web of Science</v>
      </c>
    </row>
    <row r="4" spans="1:72" x14ac:dyDescent="0.15">
      <c r="A4" t="s">
        <v>72</v>
      </c>
      <c r="B4" t="s">
        <v>137</v>
      </c>
      <c r="C4" t="s">
        <v>74</v>
      </c>
      <c r="D4" t="s">
        <v>74</v>
      </c>
      <c r="E4" t="s">
        <v>74</v>
      </c>
      <c r="F4" t="s">
        <v>138</v>
      </c>
      <c r="G4" t="s">
        <v>74</v>
      </c>
      <c r="H4" t="s">
        <v>74</v>
      </c>
      <c r="I4" t="s">
        <v>139</v>
      </c>
      <c r="J4" t="s">
        <v>140</v>
      </c>
      <c r="K4" t="s">
        <v>74</v>
      </c>
      <c r="L4" t="s">
        <v>74</v>
      </c>
      <c r="M4" t="s">
        <v>78</v>
      </c>
      <c r="N4" t="s">
        <v>79</v>
      </c>
      <c r="O4" t="s">
        <v>74</v>
      </c>
      <c r="P4" t="s">
        <v>74</v>
      </c>
      <c r="Q4" t="s">
        <v>74</v>
      </c>
      <c r="R4" t="s">
        <v>74</v>
      </c>
      <c r="S4" t="s">
        <v>74</v>
      </c>
      <c r="T4" t="s">
        <v>141</v>
      </c>
      <c r="U4" t="s">
        <v>142</v>
      </c>
      <c r="V4" t="s">
        <v>143</v>
      </c>
      <c r="W4" t="s">
        <v>144</v>
      </c>
      <c r="X4" t="s">
        <v>145</v>
      </c>
      <c r="Y4" t="s">
        <v>146</v>
      </c>
      <c r="Z4" t="s">
        <v>147</v>
      </c>
      <c r="AA4" t="s">
        <v>148</v>
      </c>
      <c r="AB4" t="s">
        <v>74</v>
      </c>
      <c r="AC4" t="s">
        <v>149</v>
      </c>
      <c r="AD4" t="s">
        <v>150</v>
      </c>
      <c r="AE4" t="s">
        <v>151</v>
      </c>
      <c r="AF4" t="s">
        <v>74</v>
      </c>
      <c r="AG4">
        <v>49</v>
      </c>
      <c r="AH4">
        <v>39</v>
      </c>
      <c r="AI4">
        <v>44</v>
      </c>
      <c r="AJ4">
        <v>2</v>
      </c>
      <c r="AK4">
        <v>20</v>
      </c>
      <c r="AL4" t="s">
        <v>124</v>
      </c>
      <c r="AM4" t="s">
        <v>125</v>
      </c>
      <c r="AN4" t="s">
        <v>126</v>
      </c>
      <c r="AO4" t="s">
        <v>152</v>
      </c>
      <c r="AP4" t="s">
        <v>153</v>
      </c>
      <c r="AQ4" t="s">
        <v>74</v>
      </c>
      <c r="AR4" t="s">
        <v>154</v>
      </c>
      <c r="AS4" t="s">
        <v>155</v>
      </c>
      <c r="AT4" t="s">
        <v>99</v>
      </c>
      <c r="AU4">
        <v>2016</v>
      </c>
      <c r="AV4">
        <v>25</v>
      </c>
      <c r="AW4">
        <v>6</v>
      </c>
      <c r="AX4" t="s">
        <v>74</v>
      </c>
      <c r="AY4" t="s">
        <v>74</v>
      </c>
      <c r="AZ4" t="s">
        <v>74</v>
      </c>
      <c r="BA4" t="s">
        <v>74</v>
      </c>
      <c r="BB4">
        <v>670</v>
      </c>
      <c r="BC4">
        <v>678</v>
      </c>
      <c r="BD4" t="s">
        <v>74</v>
      </c>
      <c r="BE4" t="s">
        <v>156</v>
      </c>
      <c r="BF4" t="str">
        <f>HYPERLINK("http://dx.doi.org/10.1111/geb.12444","http://dx.doi.org/10.1111/geb.12444")</f>
        <v>http://dx.doi.org/10.1111/geb.12444</v>
      </c>
      <c r="BG4" t="s">
        <v>74</v>
      </c>
      <c r="BH4" t="s">
        <v>74</v>
      </c>
      <c r="BI4">
        <v>9</v>
      </c>
      <c r="BJ4" t="s">
        <v>157</v>
      </c>
      <c r="BK4" t="s">
        <v>102</v>
      </c>
      <c r="BL4" t="s">
        <v>158</v>
      </c>
      <c r="BM4" t="s">
        <v>159</v>
      </c>
      <c r="BN4" t="s">
        <v>74</v>
      </c>
      <c r="BO4" t="s">
        <v>160</v>
      </c>
      <c r="BP4" t="s">
        <v>74</v>
      </c>
      <c r="BQ4" t="s">
        <v>74</v>
      </c>
      <c r="BR4" t="s">
        <v>106</v>
      </c>
      <c r="BS4" t="s">
        <v>161</v>
      </c>
      <c r="BT4" t="str">
        <f>HYPERLINK("https%3A%2F%2Fwww.webofscience.com%2Fwos%2Fwoscc%2Ffull-record%2FWOS:000383516100004","View Full Record in Web of Science")</f>
        <v>View Full Record in Web of Science</v>
      </c>
    </row>
    <row r="5" spans="1:72" x14ac:dyDescent="0.15">
      <c r="A5" t="s">
        <v>72</v>
      </c>
      <c r="B5" t="s">
        <v>162</v>
      </c>
      <c r="C5" t="s">
        <v>74</v>
      </c>
      <c r="D5" t="s">
        <v>74</v>
      </c>
      <c r="E5" t="s">
        <v>74</v>
      </c>
      <c r="F5" t="s">
        <v>163</v>
      </c>
      <c r="G5" t="s">
        <v>74</v>
      </c>
      <c r="H5" t="s">
        <v>74</v>
      </c>
      <c r="I5" t="s">
        <v>164</v>
      </c>
      <c r="J5" t="s">
        <v>140</v>
      </c>
      <c r="K5" t="s">
        <v>74</v>
      </c>
      <c r="L5" t="s">
        <v>74</v>
      </c>
      <c r="M5" t="s">
        <v>78</v>
      </c>
      <c r="N5" t="s">
        <v>79</v>
      </c>
      <c r="O5" t="s">
        <v>74</v>
      </c>
      <c r="P5" t="s">
        <v>74</v>
      </c>
      <c r="Q5" t="s">
        <v>74</v>
      </c>
      <c r="R5" t="s">
        <v>74</v>
      </c>
      <c r="S5" t="s">
        <v>74</v>
      </c>
      <c r="T5" t="s">
        <v>165</v>
      </c>
      <c r="U5" t="s">
        <v>166</v>
      </c>
      <c r="V5" t="s">
        <v>167</v>
      </c>
      <c r="W5" t="s">
        <v>168</v>
      </c>
      <c r="X5" t="s">
        <v>169</v>
      </c>
      <c r="Y5" t="s">
        <v>170</v>
      </c>
      <c r="Z5" t="s">
        <v>171</v>
      </c>
      <c r="AA5" t="s">
        <v>74</v>
      </c>
      <c r="AB5" t="s">
        <v>172</v>
      </c>
      <c r="AC5" t="s">
        <v>173</v>
      </c>
      <c r="AD5" t="s">
        <v>174</v>
      </c>
      <c r="AE5" t="s">
        <v>175</v>
      </c>
      <c r="AF5" t="s">
        <v>74</v>
      </c>
      <c r="AG5">
        <v>71</v>
      </c>
      <c r="AH5">
        <v>18</v>
      </c>
      <c r="AI5">
        <v>19</v>
      </c>
      <c r="AJ5">
        <v>2</v>
      </c>
      <c r="AK5">
        <v>31</v>
      </c>
      <c r="AL5" t="s">
        <v>124</v>
      </c>
      <c r="AM5" t="s">
        <v>125</v>
      </c>
      <c r="AN5" t="s">
        <v>126</v>
      </c>
      <c r="AO5" t="s">
        <v>152</v>
      </c>
      <c r="AP5" t="s">
        <v>153</v>
      </c>
      <c r="AQ5" t="s">
        <v>74</v>
      </c>
      <c r="AR5" t="s">
        <v>154</v>
      </c>
      <c r="AS5" t="s">
        <v>155</v>
      </c>
      <c r="AT5" t="s">
        <v>99</v>
      </c>
      <c r="AU5">
        <v>2016</v>
      </c>
      <c r="AV5">
        <v>25</v>
      </c>
      <c r="AW5">
        <v>6</v>
      </c>
      <c r="AX5" t="s">
        <v>74</v>
      </c>
      <c r="AY5" t="s">
        <v>74</v>
      </c>
      <c r="AZ5" t="s">
        <v>74</v>
      </c>
      <c r="BA5" t="s">
        <v>74</v>
      </c>
      <c r="BB5">
        <v>739</v>
      </c>
      <c r="BC5">
        <v>750</v>
      </c>
      <c r="BD5" t="s">
        <v>74</v>
      </c>
      <c r="BE5" t="s">
        <v>176</v>
      </c>
      <c r="BF5" t="str">
        <f>HYPERLINK("http://dx.doi.org/10.1111/geb.12450","http://dx.doi.org/10.1111/geb.12450")</f>
        <v>http://dx.doi.org/10.1111/geb.12450</v>
      </c>
      <c r="BG5" t="s">
        <v>74</v>
      </c>
      <c r="BH5" t="s">
        <v>74</v>
      </c>
      <c r="BI5">
        <v>12</v>
      </c>
      <c r="BJ5" t="s">
        <v>157</v>
      </c>
      <c r="BK5" t="s">
        <v>102</v>
      </c>
      <c r="BL5" t="s">
        <v>158</v>
      </c>
      <c r="BM5" t="s">
        <v>159</v>
      </c>
      <c r="BN5" t="s">
        <v>74</v>
      </c>
      <c r="BO5" t="s">
        <v>74</v>
      </c>
      <c r="BP5" t="s">
        <v>74</v>
      </c>
      <c r="BQ5" t="s">
        <v>74</v>
      </c>
      <c r="BR5" t="s">
        <v>106</v>
      </c>
      <c r="BS5" t="s">
        <v>177</v>
      </c>
      <c r="BT5" t="str">
        <f>HYPERLINK("https%3A%2F%2Fwww.webofscience.com%2Fwos%2Fwoscc%2Ffull-record%2FWOS:000383516100010","View Full Record in Web of Science")</f>
        <v>View Full Record in Web of Science</v>
      </c>
    </row>
    <row r="6" spans="1:72" x14ac:dyDescent="0.15">
      <c r="A6" t="s">
        <v>72</v>
      </c>
      <c r="B6" t="s">
        <v>178</v>
      </c>
      <c r="C6" t="s">
        <v>74</v>
      </c>
      <c r="D6" t="s">
        <v>74</v>
      </c>
      <c r="E6" t="s">
        <v>74</v>
      </c>
      <c r="F6" t="s">
        <v>179</v>
      </c>
      <c r="G6" t="s">
        <v>74</v>
      </c>
      <c r="H6" t="s">
        <v>74</v>
      </c>
      <c r="I6" t="s">
        <v>180</v>
      </c>
      <c r="J6" t="s">
        <v>181</v>
      </c>
      <c r="K6" t="s">
        <v>74</v>
      </c>
      <c r="L6" t="s">
        <v>74</v>
      </c>
      <c r="M6" t="s">
        <v>78</v>
      </c>
      <c r="N6" t="s">
        <v>79</v>
      </c>
      <c r="O6" t="s">
        <v>74</v>
      </c>
      <c r="P6" t="s">
        <v>74</v>
      </c>
      <c r="Q6" t="s">
        <v>74</v>
      </c>
      <c r="R6" t="s">
        <v>74</v>
      </c>
      <c r="S6" t="s">
        <v>74</v>
      </c>
      <c r="T6" t="s">
        <v>182</v>
      </c>
      <c r="U6" t="s">
        <v>183</v>
      </c>
      <c r="V6" t="s">
        <v>184</v>
      </c>
      <c r="W6" t="s">
        <v>185</v>
      </c>
      <c r="X6" t="s">
        <v>186</v>
      </c>
      <c r="Y6" t="s">
        <v>187</v>
      </c>
      <c r="Z6" t="s">
        <v>188</v>
      </c>
      <c r="AA6" t="s">
        <v>189</v>
      </c>
      <c r="AB6" t="s">
        <v>190</v>
      </c>
      <c r="AC6" t="s">
        <v>191</v>
      </c>
      <c r="AD6" t="s">
        <v>192</v>
      </c>
      <c r="AE6" t="s">
        <v>193</v>
      </c>
      <c r="AF6" t="s">
        <v>74</v>
      </c>
      <c r="AG6">
        <v>93</v>
      </c>
      <c r="AH6">
        <v>5</v>
      </c>
      <c r="AI6">
        <v>6</v>
      </c>
      <c r="AJ6">
        <v>0</v>
      </c>
      <c r="AK6">
        <v>32</v>
      </c>
      <c r="AL6" t="s">
        <v>194</v>
      </c>
      <c r="AM6" t="s">
        <v>195</v>
      </c>
      <c r="AN6" t="s">
        <v>196</v>
      </c>
      <c r="AO6" t="s">
        <v>197</v>
      </c>
      <c r="AP6" t="s">
        <v>198</v>
      </c>
      <c r="AQ6" t="s">
        <v>74</v>
      </c>
      <c r="AR6" t="s">
        <v>181</v>
      </c>
      <c r="AS6" t="s">
        <v>199</v>
      </c>
      <c r="AT6" t="s">
        <v>99</v>
      </c>
      <c r="AU6">
        <v>2016</v>
      </c>
      <c r="AV6">
        <v>773</v>
      </c>
      <c r="AW6">
        <v>1</v>
      </c>
      <c r="AX6" t="s">
        <v>74</v>
      </c>
      <c r="AY6" t="s">
        <v>74</v>
      </c>
      <c r="AZ6" t="s">
        <v>74</v>
      </c>
      <c r="BA6" t="s">
        <v>74</v>
      </c>
      <c r="BB6">
        <v>207</v>
      </c>
      <c r="BC6">
        <v>224</v>
      </c>
      <c r="BD6" t="s">
        <v>74</v>
      </c>
      <c r="BE6" t="s">
        <v>200</v>
      </c>
      <c r="BF6" t="str">
        <f>HYPERLINK("http://dx.doi.org/10.1007/s10750-016-2704-z","http://dx.doi.org/10.1007/s10750-016-2704-z")</f>
        <v>http://dx.doi.org/10.1007/s10750-016-2704-z</v>
      </c>
      <c r="BG6" t="s">
        <v>74</v>
      </c>
      <c r="BH6" t="s">
        <v>74</v>
      </c>
      <c r="BI6">
        <v>18</v>
      </c>
      <c r="BJ6" t="s">
        <v>201</v>
      </c>
      <c r="BK6" t="s">
        <v>102</v>
      </c>
      <c r="BL6" t="s">
        <v>201</v>
      </c>
      <c r="BM6" t="s">
        <v>202</v>
      </c>
      <c r="BN6" t="s">
        <v>74</v>
      </c>
      <c r="BO6" t="s">
        <v>203</v>
      </c>
      <c r="BP6" t="s">
        <v>74</v>
      </c>
      <c r="BQ6" t="s">
        <v>74</v>
      </c>
      <c r="BR6" t="s">
        <v>106</v>
      </c>
      <c r="BS6" t="s">
        <v>204</v>
      </c>
      <c r="BT6" t="str">
        <f>HYPERLINK("https%3A%2F%2Fwww.webofscience.com%2Fwos%2Fwoscc%2Ffull-record%2FWOS:000374979600017","View Full Record in Web of Science")</f>
        <v>View Full Record in Web of Science</v>
      </c>
    </row>
    <row r="7" spans="1:72" x14ac:dyDescent="0.15">
      <c r="A7" t="s">
        <v>72</v>
      </c>
      <c r="B7" t="s">
        <v>205</v>
      </c>
      <c r="C7" t="s">
        <v>74</v>
      </c>
      <c r="D7" t="s">
        <v>74</v>
      </c>
      <c r="E7" t="s">
        <v>74</v>
      </c>
      <c r="F7" t="s">
        <v>206</v>
      </c>
      <c r="G7" t="s">
        <v>74</v>
      </c>
      <c r="H7" t="s">
        <v>74</v>
      </c>
      <c r="I7" t="s">
        <v>207</v>
      </c>
      <c r="J7" t="s">
        <v>181</v>
      </c>
      <c r="K7" t="s">
        <v>74</v>
      </c>
      <c r="L7" t="s">
        <v>74</v>
      </c>
      <c r="M7" t="s">
        <v>78</v>
      </c>
      <c r="N7" t="s">
        <v>79</v>
      </c>
      <c r="O7" t="s">
        <v>74</v>
      </c>
      <c r="P7" t="s">
        <v>74</v>
      </c>
      <c r="Q7" t="s">
        <v>74</v>
      </c>
      <c r="R7" t="s">
        <v>74</v>
      </c>
      <c r="S7" t="s">
        <v>74</v>
      </c>
      <c r="T7" t="s">
        <v>208</v>
      </c>
      <c r="U7" t="s">
        <v>209</v>
      </c>
      <c r="V7" t="s">
        <v>210</v>
      </c>
      <c r="W7" t="s">
        <v>211</v>
      </c>
      <c r="X7" t="s">
        <v>212</v>
      </c>
      <c r="Y7" t="s">
        <v>213</v>
      </c>
      <c r="Z7" t="s">
        <v>214</v>
      </c>
      <c r="AA7" t="s">
        <v>215</v>
      </c>
      <c r="AB7" t="s">
        <v>216</v>
      </c>
      <c r="AC7" t="s">
        <v>217</v>
      </c>
      <c r="AD7" t="s">
        <v>218</v>
      </c>
      <c r="AE7" t="s">
        <v>219</v>
      </c>
      <c r="AF7" t="s">
        <v>74</v>
      </c>
      <c r="AG7">
        <v>55</v>
      </c>
      <c r="AH7">
        <v>8</v>
      </c>
      <c r="AI7">
        <v>9</v>
      </c>
      <c r="AJ7">
        <v>1</v>
      </c>
      <c r="AK7">
        <v>31</v>
      </c>
      <c r="AL7" t="s">
        <v>194</v>
      </c>
      <c r="AM7" t="s">
        <v>195</v>
      </c>
      <c r="AN7" t="s">
        <v>196</v>
      </c>
      <c r="AO7" t="s">
        <v>197</v>
      </c>
      <c r="AP7" t="s">
        <v>198</v>
      </c>
      <c r="AQ7" t="s">
        <v>74</v>
      </c>
      <c r="AR7" t="s">
        <v>181</v>
      </c>
      <c r="AS7" t="s">
        <v>199</v>
      </c>
      <c r="AT7" t="s">
        <v>99</v>
      </c>
      <c r="AU7">
        <v>2016</v>
      </c>
      <c r="AV7">
        <v>772</v>
      </c>
      <c r="AW7">
        <v>1</v>
      </c>
      <c r="AX7" t="s">
        <v>74</v>
      </c>
      <c r="AY7" t="s">
        <v>74</v>
      </c>
      <c r="AZ7" t="s">
        <v>74</v>
      </c>
      <c r="BA7" t="s">
        <v>74</v>
      </c>
      <c r="BB7">
        <v>93</v>
      </c>
      <c r="BC7">
        <v>102</v>
      </c>
      <c r="BD7" t="s">
        <v>74</v>
      </c>
      <c r="BE7" t="s">
        <v>220</v>
      </c>
      <c r="BF7" t="str">
        <f>HYPERLINK("http://dx.doi.org/10.1007/s10750-016-2643-8","http://dx.doi.org/10.1007/s10750-016-2643-8")</f>
        <v>http://dx.doi.org/10.1007/s10750-016-2643-8</v>
      </c>
      <c r="BG7" t="s">
        <v>74</v>
      </c>
      <c r="BH7" t="s">
        <v>74</v>
      </c>
      <c r="BI7">
        <v>10</v>
      </c>
      <c r="BJ7" t="s">
        <v>201</v>
      </c>
      <c r="BK7" t="s">
        <v>102</v>
      </c>
      <c r="BL7" t="s">
        <v>201</v>
      </c>
      <c r="BM7" t="s">
        <v>221</v>
      </c>
      <c r="BN7" t="s">
        <v>74</v>
      </c>
      <c r="BO7" t="s">
        <v>222</v>
      </c>
      <c r="BP7" t="s">
        <v>74</v>
      </c>
      <c r="BQ7" t="s">
        <v>74</v>
      </c>
      <c r="BR7" t="s">
        <v>106</v>
      </c>
      <c r="BS7" t="s">
        <v>223</v>
      </c>
      <c r="BT7" t="str">
        <f>HYPERLINK("https%3A%2F%2Fwww.webofscience.com%2Fwos%2Fwoscc%2Ffull-record%2FWOS:000374689000007","View Full Record in Web of Science")</f>
        <v>View Full Record in Web of Science</v>
      </c>
    </row>
    <row r="8" spans="1:72" x14ac:dyDescent="0.15">
      <c r="A8" t="s">
        <v>72</v>
      </c>
      <c r="B8" t="s">
        <v>224</v>
      </c>
      <c r="C8" t="s">
        <v>74</v>
      </c>
      <c r="D8" t="s">
        <v>74</v>
      </c>
      <c r="E8" t="s">
        <v>74</v>
      </c>
      <c r="F8" t="s">
        <v>225</v>
      </c>
      <c r="G8" t="s">
        <v>74</v>
      </c>
      <c r="H8" t="s">
        <v>226</v>
      </c>
      <c r="I8" t="s">
        <v>227</v>
      </c>
      <c r="J8" t="s">
        <v>228</v>
      </c>
      <c r="K8" t="s">
        <v>74</v>
      </c>
      <c r="L8" t="s">
        <v>74</v>
      </c>
      <c r="M8" t="s">
        <v>78</v>
      </c>
      <c r="N8" t="s">
        <v>79</v>
      </c>
      <c r="O8" t="s">
        <v>74</v>
      </c>
      <c r="P8" t="s">
        <v>74</v>
      </c>
      <c r="Q8" t="s">
        <v>74</v>
      </c>
      <c r="R8" t="s">
        <v>74</v>
      </c>
      <c r="S8" t="s">
        <v>74</v>
      </c>
      <c r="T8" t="s">
        <v>229</v>
      </c>
      <c r="U8" t="s">
        <v>230</v>
      </c>
      <c r="V8" t="s">
        <v>231</v>
      </c>
      <c r="W8" t="s">
        <v>232</v>
      </c>
      <c r="X8" t="s">
        <v>233</v>
      </c>
      <c r="Y8" t="s">
        <v>234</v>
      </c>
      <c r="Z8" t="s">
        <v>235</v>
      </c>
      <c r="AA8" t="s">
        <v>74</v>
      </c>
      <c r="AB8" t="s">
        <v>236</v>
      </c>
      <c r="AC8" t="s">
        <v>237</v>
      </c>
      <c r="AD8" t="s">
        <v>238</v>
      </c>
      <c r="AE8" t="s">
        <v>239</v>
      </c>
      <c r="AF8" t="s">
        <v>74</v>
      </c>
      <c r="AG8">
        <v>28</v>
      </c>
      <c r="AH8">
        <v>122</v>
      </c>
      <c r="AI8">
        <v>122</v>
      </c>
      <c r="AJ8">
        <v>0</v>
      </c>
      <c r="AK8">
        <v>18</v>
      </c>
      <c r="AL8" t="s">
        <v>240</v>
      </c>
      <c r="AM8" t="s">
        <v>241</v>
      </c>
      <c r="AN8" t="s">
        <v>242</v>
      </c>
      <c r="AO8" t="s">
        <v>243</v>
      </c>
      <c r="AP8" t="s">
        <v>244</v>
      </c>
      <c r="AQ8" t="s">
        <v>74</v>
      </c>
      <c r="AR8" t="s">
        <v>228</v>
      </c>
      <c r="AS8" t="s">
        <v>245</v>
      </c>
      <c r="AT8" t="s">
        <v>246</v>
      </c>
      <c r="AU8">
        <v>2016</v>
      </c>
      <c r="AV8">
        <v>271</v>
      </c>
      <c r="AW8" t="s">
        <v>74</v>
      </c>
      <c r="AX8" t="s">
        <v>74</v>
      </c>
      <c r="AY8" t="s">
        <v>74</v>
      </c>
      <c r="AZ8" t="s">
        <v>74</v>
      </c>
      <c r="BA8" t="s">
        <v>74</v>
      </c>
      <c r="BB8">
        <v>76</v>
      </c>
      <c r="BC8">
        <v>97</v>
      </c>
      <c r="BD8" t="s">
        <v>74</v>
      </c>
      <c r="BE8" t="s">
        <v>247</v>
      </c>
      <c r="BF8" t="str">
        <f>HYPERLINK("http://dx.doi.org/10.1016/j.icarus.2016.01.027","http://dx.doi.org/10.1016/j.icarus.2016.01.027")</f>
        <v>http://dx.doi.org/10.1016/j.icarus.2016.01.027</v>
      </c>
      <c r="BG8" t="s">
        <v>74</v>
      </c>
      <c r="BH8" t="s">
        <v>74</v>
      </c>
      <c r="BI8">
        <v>22</v>
      </c>
      <c r="BJ8" t="s">
        <v>248</v>
      </c>
      <c r="BK8" t="s">
        <v>102</v>
      </c>
      <c r="BL8" t="s">
        <v>248</v>
      </c>
      <c r="BM8" t="s">
        <v>249</v>
      </c>
      <c r="BN8" t="s">
        <v>74</v>
      </c>
      <c r="BO8" t="s">
        <v>74</v>
      </c>
      <c r="BP8" t="s">
        <v>74</v>
      </c>
      <c r="BQ8" t="s">
        <v>74</v>
      </c>
      <c r="BR8" t="s">
        <v>106</v>
      </c>
      <c r="BS8" t="s">
        <v>250</v>
      </c>
      <c r="BT8" t="str">
        <f>HYPERLINK("https%3A%2F%2Fwww.webofscience.com%2Fwos%2Fwoscc%2Ffull-record%2FWOS:000373651800007","View Full Record in Web of Science")</f>
        <v>View Full Record in Web of Science</v>
      </c>
    </row>
    <row r="9" spans="1:72" x14ac:dyDescent="0.15">
      <c r="A9" t="s">
        <v>72</v>
      </c>
      <c r="B9" t="s">
        <v>251</v>
      </c>
      <c r="C9" t="s">
        <v>74</v>
      </c>
      <c r="D9" t="s">
        <v>74</v>
      </c>
      <c r="E9" t="s">
        <v>74</v>
      </c>
      <c r="F9" t="s">
        <v>252</v>
      </c>
      <c r="G9" t="s">
        <v>74</v>
      </c>
      <c r="H9" t="s">
        <v>74</v>
      </c>
      <c r="I9" t="s">
        <v>253</v>
      </c>
      <c r="J9" t="s">
        <v>254</v>
      </c>
      <c r="K9" t="s">
        <v>74</v>
      </c>
      <c r="L9" t="s">
        <v>74</v>
      </c>
      <c r="M9" t="s">
        <v>78</v>
      </c>
      <c r="N9" t="s">
        <v>79</v>
      </c>
      <c r="O9" t="s">
        <v>74</v>
      </c>
      <c r="P9" t="s">
        <v>74</v>
      </c>
      <c r="Q9" t="s">
        <v>74</v>
      </c>
      <c r="R9" t="s">
        <v>74</v>
      </c>
      <c r="S9" t="s">
        <v>74</v>
      </c>
      <c r="T9" t="s">
        <v>255</v>
      </c>
      <c r="U9" t="s">
        <v>256</v>
      </c>
      <c r="V9" t="s">
        <v>257</v>
      </c>
      <c r="W9" t="s">
        <v>258</v>
      </c>
      <c r="X9" t="s">
        <v>259</v>
      </c>
      <c r="Y9" t="s">
        <v>260</v>
      </c>
      <c r="Z9" t="s">
        <v>261</v>
      </c>
      <c r="AA9" t="s">
        <v>74</v>
      </c>
      <c r="AB9" t="s">
        <v>74</v>
      </c>
      <c r="AC9" t="s">
        <v>74</v>
      </c>
      <c r="AD9" t="s">
        <v>74</v>
      </c>
      <c r="AE9" t="s">
        <v>74</v>
      </c>
      <c r="AF9" t="s">
        <v>74</v>
      </c>
      <c r="AG9">
        <v>63</v>
      </c>
      <c r="AH9">
        <v>6</v>
      </c>
      <c r="AI9">
        <v>7</v>
      </c>
      <c r="AJ9">
        <v>3</v>
      </c>
      <c r="AK9">
        <v>79</v>
      </c>
      <c r="AL9" t="s">
        <v>194</v>
      </c>
      <c r="AM9" t="s">
        <v>262</v>
      </c>
      <c r="AN9" t="s">
        <v>263</v>
      </c>
      <c r="AO9" t="s">
        <v>264</v>
      </c>
      <c r="AP9" t="s">
        <v>265</v>
      </c>
      <c r="AQ9" t="s">
        <v>74</v>
      </c>
      <c r="AR9" t="s">
        <v>266</v>
      </c>
      <c r="AS9" t="s">
        <v>267</v>
      </c>
      <c r="AT9" t="s">
        <v>99</v>
      </c>
      <c r="AU9">
        <v>2016</v>
      </c>
      <c r="AV9">
        <v>105</v>
      </c>
      <c r="AW9">
        <v>4</v>
      </c>
      <c r="AX9" t="s">
        <v>74</v>
      </c>
      <c r="AY9" t="s">
        <v>74</v>
      </c>
      <c r="AZ9" t="s">
        <v>74</v>
      </c>
      <c r="BA9" t="s">
        <v>74</v>
      </c>
      <c r="BB9">
        <v>1273</v>
      </c>
      <c r="BC9">
        <v>1285</v>
      </c>
      <c r="BD9" t="s">
        <v>74</v>
      </c>
      <c r="BE9" t="s">
        <v>268</v>
      </c>
      <c r="BF9" t="str">
        <f>HYPERLINK("http://dx.doi.org/10.1007/s00531-015-1227-6","http://dx.doi.org/10.1007/s00531-015-1227-6")</f>
        <v>http://dx.doi.org/10.1007/s00531-015-1227-6</v>
      </c>
      <c r="BG9" t="s">
        <v>74</v>
      </c>
      <c r="BH9" t="s">
        <v>74</v>
      </c>
      <c r="BI9">
        <v>13</v>
      </c>
      <c r="BJ9" t="s">
        <v>269</v>
      </c>
      <c r="BK9" t="s">
        <v>102</v>
      </c>
      <c r="BL9" t="s">
        <v>270</v>
      </c>
      <c r="BM9" t="s">
        <v>271</v>
      </c>
      <c r="BN9" t="s">
        <v>74</v>
      </c>
      <c r="BO9" t="s">
        <v>74</v>
      </c>
      <c r="BP9" t="s">
        <v>74</v>
      </c>
      <c r="BQ9" t="s">
        <v>74</v>
      </c>
      <c r="BR9" t="s">
        <v>106</v>
      </c>
      <c r="BS9" t="s">
        <v>272</v>
      </c>
      <c r="BT9" t="str">
        <f>HYPERLINK("https%3A%2F%2Fwww.webofscience.com%2Fwos%2Fwoscc%2Ffull-record%2FWOS:000376260300011","View Full Record in Web of Science")</f>
        <v>View Full Record in Web of Science</v>
      </c>
    </row>
    <row r="10" spans="1:72" x14ac:dyDescent="0.15">
      <c r="A10" t="s">
        <v>72</v>
      </c>
      <c r="B10" t="s">
        <v>273</v>
      </c>
      <c r="C10" t="s">
        <v>74</v>
      </c>
      <c r="D10" t="s">
        <v>74</v>
      </c>
      <c r="E10" t="s">
        <v>74</v>
      </c>
      <c r="F10" t="s">
        <v>274</v>
      </c>
      <c r="G10" t="s">
        <v>74</v>
      </c>
      <c r="H10" t="s">
        <v>74</v>
      </c>
      <c r="I10" t="s">
        <v>275</v>
      </c>
      <c r="J10" t="s">
        <v>276</v>
      </c>
      <c r="K10" t="s">
        <v>74</v>
      </c>
      <c r="L10" t="s">
        <v>74</v>
      </c>
      <c r="M10" t="s">
        <v>78</v>
      </c>
      <c r="N10" t="s">
        <v>79</v>
      </c>
      <c r="O10" t="s">
        <v>74</v>
      </c>
      <c r="P10" t="s">
        <v>74</v>
      </c>
      <c r="Q10" t="s">
        <v>74</v>
      </c>
      <c r="R10" t="s">
        <v>74</v>
      </c>
      <c r="S10" t="s">
        <v>74</v>
      </c>
      <c r="T10" t="s">
        <v>277</v>
      </c>
      <c r="U10" t="s">
        <v>278</v>
      </c>
      <c r="V10" t="s">
        <v>279</v>
      </c>
      <c r="W10" t="s">
        <v>280</v>
      </c>
      <c r="X10" t="s">
        <v>281</v>
      </c>
      <c r="Y10" t="s">
        <v>282</v>
      </c>
      <c r="Z10" t="s">
        <v>283</v>
      </c>
      <c r="AA10" t="s">
        <v>284</v>
      </c>
      <c r="AB10" t="s">
        <v>285</v>
      </c>
      <c r="AC10" t="s">
        <v>74</v>
      </c>
      <c r="AD10" t="s">
        <v>74</v>
      </c>
      <c r="AE10" t="s">
        <v>74</v>
      </c>
      <c r="AF10" t="s">
        <v>74</v>
      </c>
      <c r="AG10">
        <v>42</v>
      </c>
      <c r="AH10">
        <v>31</v>
      </c>
      <c r="AI10">
        <v>32</v>
      </c>
      <c r="AJ10">
        <v>2</v>
      </c>
      <c r="AK10">
        <v>46</v>
      </c>
      <c r="AL10" t="s">
        <v>124</v>
      </c>
      <c r="AM10" t="s">
        <v>125</v>
      </c>
      <c r="AN10" t="s">
        <v>126</v>
      </c>
      <c r="AO10" t="s">
        <v>286</v>
      </c>
      <c r="AP10" t="s">
        <v>287</v>
      </c>
      <c r="AQ10" t="s">
        <v>74</v>
      </c>
      <c r="AR10" t="s">
        <v>288</v>
      </c>
      <c r="AS10" t="s">
        <v>289</v>
      </c>
      <c r="AT10" t="s">
        <v>99</v>
      </c>
      <c r="AU10">
        <v>2016</v>
      </c>
      <c r="AV10">
        <v>53</v>
      </c>
      <c r="AW10">
        <v>3</v>
      </c>
      <c r="AX10" t="s">
        <v>74</v>
      </c>
      <c r="AY10" t="s">
        <v>74</v>
      </c>
      <c r="AZ10" t="s">
        <v>74</v>
      </c>
      <c r="BA10" t="s">
        <v>74</v>
      </c>
      <c r="BB10">
        <v>733</v>
      </c>
      <c r="BC10">
        <v>741</v>
      </c>
      <c r="BD10" t="s">
        <v>74</v>
      </c>
      <c r="BE10" t="s">
        <v>290</v>
      </c>
      <c r="BF10" t="str">
        <f>HYPERLINK("http://dx.doi.org/10.1111/1365-2664.12599","http://dx.doi.org/10.1111/1365-2664.12599")</f>
        <v>http://dx.doi.org/10.1111/1365-2664.12599</v>
      </c>
      <c r="BG10" t="s">
        <v>74</v>
      </c>
      <c r="BH10" t="s">
        <v>74</v>
      </c>
      <c r="BI10">
        <v>9</v>
      </c>
      <c r="BJ10" t="s">
        <v>291</v>
      </c>
      <c r="BK10" t="s">
        <v>102</v>
      </c>
      <c r="BL10" t="s">
        <v>133</v>
      </c>
      <c r="BM10" t="s">
        <v>292</v>
      </c>
      <c r="BN10" t="s">
        <v>74</v>
      </c>
      <c r="BO10" t="s">
        <v>293</v>
      </c>
      <c r="BP10" t="s">
        <v>74</v>
      </c>
      <c r="BQ10" t="s">
        <v>74</v>
      </c>
      <c r="BR10" t="s">
        <v>106</v>
      </c>
      <c r="BS10" t="s">
        <v>294</v>
      </c>
      <c r="BT10" t="str">
        <f>HYPERLINK("https%3A%2F%2Fwww.webofscience.com%2Fwos%2Fwoscc%2Ffull-record%2FWOS:000380065400013","View Full Record in Web of Science")</f>
        <v>View Full Record in Web of Science</v>
      </c>
    </row>
    <row r="11" spans="1:72" x14ac:dyDescent="0.15">
      <c r="A11" t="s">
        <v>72</v>
      </c>
      <c r="B11" t="s">
        <v>295</v>
      </c>
      <c r="C11" t="s">
        <v>74</v>
      </c>
      <c r="D11" t="s">
        <v>74</v>
      </c>
      <c r="E11" t="s">
        <v>74</v>
      </c>
      <c r="F11" t="s">
        <v>296</v>
      </c>
      <c r="G11" t="s">
        <v>74</v>
      </c>
      <c r="H11" t="s">
        <v>74</v>
      </c>
      <c r="I11" t="s">
        <v>297</v>
      </c>
      <c r="J11" t="s">
        <v>298</v>
      </c>
      <c r="K11" t="s">
        <v>74</v>
      </c>
      <c r="L11" t="s">
        <v>74</v>
      </c>
      <c r="M11" t="s">
        <v>78</v>
      </c>
      <c r="N11" t="s">
        <v>79</v>
      </c>
      <c r="O11" t="s">
        <v>74</v>
      </c>
      <c r="P11" t="s">
        <v>74</v>
      </c>
      <c r="Q11" t="s">
        <v>74</v>
      </c>
      <c r="R11" t="s">
        <v>74</v>
      </c>
      <c r="S11" t="s">
        <v>74</v>
      </c>
      <c r="T11" t="s">
        <v>299</v>
      </c>
      <c r="U11" t="s">
        <v>300</v>
      </c>
      <c r="V11" t="s">
        <v>301</v>
      </c>
      <c r="W11" t="s">
        <v>302</v>
      </c>
      <c r="X11" t="s">
        <v>303</v>
      </c>
      <c r="Y11" t="s">
        <v>304</v>
      </c>
      <c r="Z11" t="s">
        <v>305</v>
      </c>
      <c r="AA11" t="s">
        <v>306</v>
      </c>
      <c r="AB11" t="s">
        <v>307</v>
      </c>
      <c r="AC11" t="s">
        <v>308</v>
      </c>
      <c r="AD11" t="s">
        <v>309</v>
      </c>
      <c r="AE11" t="s">
        <v>310</v>
      </c>
      <c r="AF11" t="s">
        <v>74</v>
      </c>
      <c r="AG11">
        <v>56</v>
      </c>
      <c r="AH11">
        <v>9</v>
      </c>
      <c r="AI11">
        <v>11</v>
      </c>
      <c r="AJ11">
        <v>3</v>
      </c>
      <c r="AK11">
        <v>70</v>
      </c>
      <c r="AL11" t="s">
        <v>194</v>
      </c>
      <c r="AM11" t="s">
        <v>195</v>
      </c>
      <c r="AN11" t="s">
        <v>196</v>
      </c>
      <c r="AO11" t="s">
        <v>311</v>
      </c>
      <c r="AP11" t="s">
        <v>312</v>
      </c>
      <c r="AQ11" t="s">
        <v>74</v>
      </c>
      <c r="AR11" t="s">
        <v>313</v>
      </c>
      <c r="AS11" t="s">
        <v>314</v>
      </c>
      <c r="AT11" t="s">
        <v>99</v>
      </c>
      <c r="AU11">
        <v>2016</v>
      </c>
      <c r="AV11">
        <v>28</v>
      </c>
      <c r="AW11">
        <v>3</v>
      </c>
      <c r="AX11" t="s">
        <v>74</v>
      </c>
      <c r="AY11" t="s">
        <v>74</v>
      </c>
      <c r="AZ11" t="s">
        <v>74</v>
      </c>
      <c r="BA11" t="s">
        <v>74</v>
      </c>
      <c r="BB11">
        <v>1875</v>
      </c>
      <c r="BC11">
        <v>1889</v>
      </c>
      <c r="BD11" t="s">
        <v>74</v>
      </c>
      <c r="BE11" t="s">
        <v>315</v>
      </c>
      <c r="BF11" t="str">
        <f>HYPERLINK("http://dx.doi.org/10.1007/s10811-015-0714-2","http://dx.doi.org/10.1007/s10811-015-0714-2")</f>
        <v>http://dx.doi.org/10.1007/s10811-015-0714-2</v>
      </c>
      <c r="BG11" t="s">
        <v>74</v>
      </c>
      <c r="BH11" t="s">
        <v>74</v>
      </c>
      <c r="BI11">
        <v>15</v>
      </c>
      <c r="BJ11" t="s">
        <v>316</v>
      </c>
      <c r="BK11" t="s">
        <v>102</v>
      </c>
      <c r="BL11" t="s">
        <v>316</v>
      </c>
      <c r="BM11" t="s">
        <v>317</v>
      </c>
      <c r="BN11" t="s">
        <v>74</v>
      </c>
      <c r="BO11" t="s">
        <v>74</v>
      </c>
      <c r="BP11" t="s">
        <v>74</v>
      </c>
      <c r="BQ11" t="s">
        <v>74</v>
      </c>
      <c r="BR11" t="s">
        <v>106</v>
      </c>
      <c r="BS11" t="s">
        <v>318</v>
      </c>
      <c r="BT11" t="str">
        <f>HYPERLINK("https%3A%2F%2Fwww.webofscience.com%2Fwos%2Fwoscc%2Ffull-record%2FWOS:000375315100041","View Full Record in Web of Science")</f>
        <v>View Full Record in Web of Science</v>
      </c>
    </row>
    <row r="12" spans="1:72" x14ac:dyDescent="0.15">
      <c r="A12" t="s">
        <v>72</v>
      </c>
      <c r="B12" t="s">
        <v>319</v>
      </c>
      <c r="C12" t="s">
        <v>74</v>
      </c>
      <c r="D12" t="s">
        <v>74</v>
      </c>
      <c r="E12" t="s">
        <v>74</v>
      </c>
      <c r="F12" t="s">
        <v>320</v>
      </c>
      <c r="G12" t="s">
        <v>74</v>
      </c>
      <c r="H12" t="s">
        <v>74</v>
      </c>
      <c r="I12" t="s">
        <v>321</v>
      </c>
      <c r="J12" t="s">
        <v>322</v>
      </c>
      <c r="K12" t="s">
        <v>74</v>
      </c>
      <c r="L12" t="s">
        <v>74</v>
      </c>
      <c r="M12" t="s">
        <v>78</v>
      </c>
      <c r="N12" t="s">
        <v>79</v>
      </c>
      <c r="O12" t="s">
        <v>74</v>
      </c>
      <c r="P12" t="s">
        <v>74</v>
      </c>
      <c r="Q12" t="s">
        <v>74</v>
      </c>
      <c r="R12" t="s">
        <v>74</v>
      </c>
      <c r="S12" t="s">
        <v>74</v>
      </c>
      <c r="T12" t="s">
        <v>323</v>
      </c>
      <c r="U12" t="s">
        <v>324</v>
      </c>
      <c r="V12" t="s">
        <v>325</v>
      </c>
      <c r="W12" t="s">
        <v>326</v>
      </c>
      <c r="X12" t="s">
        <v>327</v>
      </c>
      <c r="Y12" t="s">
        <v>328</v>
      </c>
      <c r="Z12" t="s">
        <v>329</v>
      </c>
      <c r="AA12" t="s">
        <v>330</v>
      </c>
      <c r="AB12" t="s">
        <v>331</v>
      </c>
      <c r="AC12" t="s">
        <v>332</v>
      </c>
      <c r="AD12" t="s">
        <v>333</v>
      </c>
      <c r="AE12" t="s">
        <v>74</v>
      </c>
      <c r="AF12" t="s">
        <v>74</v>
      </c>
      <c r="AG12">
        <v>57</v>
      </c>
      <c r="AH12">
        <v>43</v>
      </c>
      <c r="AI12">
        <v>44</v>
      </c>
      <c r="AJ12">
        <v>1</v>
      </c>
      <c r="AK12">
        <v>34</v>
      </c>
      <c r="AL12" t="s">
        <v>124</v>
      </c>
      <c r="AM12" t="s">
        <v>125</v>
      </c>
      <c r="AN12" t="s">
        <v>126</v>
      </c>
      <c r="AO12" t="s">
        <v>334</v>
      </c>
      <c r="AP12" t="s">
        <v>335</v>
      </c>
      <c r="AQ12" t="s">
        <v>74</v>
      </c>
      <c r="AR12" t="s">
        <v>336</v>
      </c>
      <c r="AS12" t="s">
        <v>337</v>
      </c>
      <c r="AT12" t="s">
        <v>99</v>
      </c>
      <c r="AU12">
        <v>2016</v>
      </c>
      <c r="AV12">
        <v>43</v>
      </c>
      <c r="AW12">
        <v>6</v>
      </c>
      <c r="AX12" t="s">
        <v>74</v>
      </c>
      <c r="AY12" t="s">
        <v>74</v>
      </c>
      <c r="AZ12" t="s">
        <v>74</v>
      </c>
      <c r="BA12" t="s">
        <v>74</v>
      </c>
      <c r="BB12">
        <v>1143</v>
      </c>
      <c r="BC12">
        <v>1155</v>
      </c>
      <c r="BD12" t="s">
        <v>74</v>
      </c>
      <c r="BE12" t="s">
        <v>338</v>
      </c>
      <c r="BF12" t="str">
        <f>HYPERLINK("http://dx.doi.org/10.1111/jbi.12708","http://dx.doi.org/10.1111/jbi.12708")</f>
        <v>http://dx.doi.org/10.1111/jbi.12708</v>
      </c>
      <c r="BG12" t="s">
        <v>74</v>
      </c>
      <c r="BH12" t="s">
        <v>74</v>
      </c>
      <c r="BI12">
        <v>13</v>
      </c>
      <c r="BJ12" t="s">
        <v>157</v>
      </c>
      <c r="BK12" t="s">
        <v>102</v>
      </c>
      <c r="BL12" t="s">
        <v>158</v>
      </c>
      <c r="BM12" t="s">
        <v>339</v>
      </c>
      <c r="BN12" t="s">
        <v>74</v>
      </c>
      <c r="BO12" t="s">
        <v>135</v>
      </c>
      <c r="BP12" t="s">
        <v>74</v>
      </c>
      <c r="BQ12" t="s">
        <v>74</v>
      </c>
      <c r="BR12" t="s">
        <v>106</v>
      </c>
      <c r="BS12" t="s">
        <v>340</v>
      </c>
      <c r="BT12" t="str">
        <f>HYPERLINK("https%3A%2F%2Fwww.webofscience.com%2Fwos%2Fwoscc%2Ffull-record%2FWOS:000378711000007","View Full Record in Web of Science")</f>
        <v>View Full Record in Web of Science</v>
      </c>
    </row>
    <row r="13" spans="1:72" x14ac:dyDescent="0.15">
      <c r="A13" t="s">
        <v>72</v>
      </c>
      <c r="B13" t="s">
        <v>341</v>
      </c>
      <c r="C13" t="s">
        <v>74</v>
      </c>
      <c r="D13" t="s">
        <v>74</v>
      </c>
      <c r="E13" t="s">
        <v>74</v>
      </c>
      <c r="F13" t="s">
        <v>342</v>
      </c>
      <c r="G13" t="s">
        <v>74</v>
      </c>
      <c r="H13" t="s">
        <v>74</v>
      </c>
      <c r="I13" t="s">
        <v>343</v>
      </c>
      <c r="J13" t="s">
        <v>344</v>
      </c>
      <c r="K13" t="s">
        <v>74</v>
      </c>
      <c r="L13" t="s">
        <v>74</v>
      </c>
      <c r="M13" t="s">
        <v>78</v>
      </c>
      <c r="N13" t="s">
        <v>79</v>
      </c>
      <c r="O13" t="s">
        <v>74</v>
      </c>
      <c r="P13" t="s">
        <v>74</v>
      </c>
      <c r="Q13" t="s">
        <v>74</v>
      </c>
      <c r="R13" t="s">
        <v>74</v>
      </c>
      <c r="S13" t="s">
        <v>74</v>
      </c>
      <c r="T13" t="s">
        <v>74</v>
      </c>
      <c r="U13" t="s">
        <v>345</v>
      </c>
      <c r="V13" t="s">
        <v>346</v>
      </c>
      <c r="W13" t="s">
        <v>347</v>
      </c>
      <c r="X13" t="s">
        <v>348</v>
      </c>
      <c r="Y13" t="s">
        <v>349</v>
      </c>
      <c r="Z13" t="s">
        <v>350</v>
      </c>
      <c r="AA13" t="s">
        <v>351</v>
      </c>
      <c r="AB13" t="s">
        <v>352</v>
      </c>
      <c r="AC13" t="s">
        <v>353</v>
      </c>
      <c r="AD13" t="s">
        <v>354</v>
      </c>
      <c r="AE13" t="s">
        <v>355</v>
      </c>
      <c r="AF13" t="s">
        <v>74</v>
      </c>
      <c r="AG13">
        <v>59</v>
      </c>
      <c r="AH13">
        <v>45</v>
      </c>
      <c r="AI13">
        <v>45</v>
      </c>
      <c r="AJ13">
        <v>1</v>
      </c>
      <c r="AK13">
        <v>10</v>
      </c>
      <c r="AL13" t="s">
        <v>92</v>
      </c>
      <c r="AM13" t="s">
        <v>93</v>
      </c>
      <c r="AN13" t="s">
        <v>94</v>
      </c>
      <c r="AO13" t="s">
        <v>356</v>
      </c>
      <c r="AP13" t="s">
        <v>357</v>
      </c>
      <c r="AQ13" t="s">
        <v>74</v>
      </c>
      <c r="AR13" t="s">
        <v>358</v>
      </c>
      <c r="AS13" t="s">
        <v>359</v>
      </c>
      <c r="AT13" t="s">
        <v>99</v>
      </c>
      <c r="AU13">
        <v>2016</v>
      </c>
      <c r="AV13">
        <v>121</v>
      </c>
      <c r="AW13">
        <v>6</v>
      </c>
      <c r="AX13" t="s">
        <v>74</v>
      </c>
      <c r="AY13" t="s">
        <v>74</v>
      </c>
      <c r="AZ13" t="s">
        <v>74</v>
      </c>
      <c r="BA13" t="s">
        <v>74</v>
      </c>
      <c r="BB13">
        <v>3741</v>
      </c>
      <c r="BC13">
        <v>3756</v>
      </c>
      <c r="BD13" t="s">
        <v>74</v>
      </c>
      <c r="BE13" t="s">
        <v>360</v>
      </c>
      <c r="BF13" t="str">
        <f>HYPERLINK("http://dx.doi.org/10.1002/2015JC011228","http://dx.doi.org/10.1002/2015JC011228")</f>
        <v>http://dx.doi.org/10.1002/2015JC011228</v>
      </c>
      <c r="BG13" t="s">
        <v>74</v>
      </c>
      <c r="BH13" t="s">
        <v>74</v>
      </c>
      <c r="BI13">
        <v>16</v>
      </c>
      <c r="BJ13" t="s">
        <v>361</v>
      </c>
      <c r="BK13" t="s">
        <v>102</v>
      </c>
      <c r="BL13" t="s">
        <v>361</v>
      </c>
      <c r="BM13" t="s">
        <v>362</v>
      </c>
      <c r="BN13" t="s">
        <v>74</v>
      </c>
      <c r="BO13" t="s">
        <v>363</v>
      </c>
      <c r="BP13" t="s">
        <v>74</v>
      </c>
      <c r="BQ13" t="s">
        <v>74</v>
      </c>
      <c r="BR13" t="s">
        <v>106</v>
      </c>
      <c r="BS13" t="s">
        <v>364</v>
      </c>
      <c r="BT13" t="str">
        <f>HYPERLINK("https%3A%2F%2Fwww.webofscience.com%2Fwos%2Fwoscc%2Ffull-record%2FWOS:000383467800005","View Full Record in Web of Science")</f>
        <v>View Full Record in Web of Science</v>
      </c>
    </row>
    <row r="14" spans="1:72" x14ac:dyDescent="0.15">
      <c r="A14" t="s">
        <v>72</v>
      </c>
      <c r="B14" t="s">
        <v>365</v>
      </c>
      <c r="C14" t="s">
        <v>74</v>
      </c>
      <c r="D14" t="s">
        <v>74</v>
      </c>
      <c r="E14" t="s">
        <v>74</v>
      </c>
      <c r="F14" t="s">
        <v>366</v>
      </c>
      <c r="G14" t="s">
        <v>74</v>
      </c>
      <c r="H14" t="s">
        <v>74</v>
      </c>
      <c r="I14" t="s">
        <v>367</v>
      </c>
      <c r="J14" t="s">
        <v>344</v>
      </c>
      <c r="K14" t="s">
        <v>74</v>
      </c>
      <c r="L14" t="s">
        <v>74</v>
      </c>
      <c r="M14" t="s">
        <v>78</v>
      </c>
      <c r="N14" t="s">
        <v>79</v>
      </c>
      <c r="O14" t="s">
        <v>74</v>
      </c>
      <c r="P14" t="s">
        <v>74</v>
      </c>
      <c r="Q14" t="s">
        <v>74</v>
      </c>
      <c r="R14" t="s">
        <v>74</v>
      </c>
      <c r="S14" t="s">
        <v>74</v>
      </c>
      <c r="T14" t="s">
        <v>74</v>
      </c>
      <c r="U14" t="s">
        <v>368</v>
      </c>
      <c r="V14" t="s">
        <v>369</v>
      </c>
      <c r="W14" t="s">
        <v>370</v>
      </c>
      <c r="X14" t="s">
        <v>371</v>
      </c>
      <c r="Y14" t="s">
        <v>372</v>
      </c>
      <c r="Z14" t="s">
        <v>373</v>
      </c>
      <c r="AA14" t="s">
        <v>374</v>
      </c>
      <c r="AB14" t="s">
        <v>375</v>
      </c>
      <c r="AC14" t="s">
        <v>376</v>
      </c>
      <c r="AD14" t="s">
        <v>377</v>
      </c>
      <c r="AE14" t="s">
        <v>378</v>
      </c>
      <c r="AF14" t="s">
        <v>74</v>
      </c>
      <c r="AG14">
        <v>53</v>
      </c>
      <c r="AH14">
        <v>30</v>
      </c>
      <c r="AI14">
        <v>32</v>
      </c>
      <c r="AJ14">
        <v>1</v>
      </c>
      <c r="AK14">
        <v>22</v>
      </c>
      <c r="AL14" t="s">
        <v>92</v>
      </c>
      <c r="AM14" t="s">
        <v>93</v>
      </c>
      <c r="AN14" t="s">
        <v>94</v>
      </c>
      <c r="AO14" t="s">
        <v>356</v>
      </c>
      <c r="AP14" t="s">
        <v>357</v>
      </c>
      <c r="AQ14" t="s">
        <v>74</v>
      </c>
      <c r="AR14" t="s">
        <v>358</v>
      </c>
      <c r="AS14" t="s">
        <v>359</v>
      </c>
      <c r="AT14" t="s">
        <v>99</v>
      </c>
      <c r="AU14">
        <v>2016</v>
      </c>
      <c r="AV14">
        <v>121</v>
      </c>
      <c r="AW14">
        <v>6</v>
      </c>
      <c r="AX14" t="s">
        <v>74</v>
      </c>
      <c r="AY14" t="s">
        <v>74</v>
      </c>
      <c r="AZ14" t="s">
        <v>74</v>
      </c>
      <c r="BA14" t="s">
        <v>74</v>
      </c>
      <c r="BB14">
        <v>3905</v>
      </c>
      <c r="BC14">
        <v>3925</v>
      </c>
      <c r="BD14" t="s">
        <v>74</v>
      </c>
      <c r="BE14" t="s">
        <v>379</v>
      </c>
      <c r="BF14" t="str">
        <f>HYPERLINK("http://dx.doi.org/10.1002/2015JC011286","http://dx.doi.org/10.1002/2015JC011286")</f>
        <v>http://dx.doi.org/10.1002/2015JC011286</v>
      </c>
      <c r="BG14" t="s">
        <v>74</v>
      </c>
      <c r="BH14" t="s">
        <v>74</v>
      </c>
      <c r="BI14">
        <v>21</v>
      </c>
      <c r="BJ14" t="s">
        <v>361</v>
      </c>
      <c r="BK14" t="s">
        <v>102</v>
      </c>
      <c r="BL14" t="s">
        <v>361</v>
      </c>
      <c r="BM14" t="s">
        <v>362</v>
      </c>
      <c r="BN14" t="s">
        <v>74</v>
      </c>
      <c r="BO14" t="s">
        <v>380</v>
      </c>
      <c r="BP14" t="s">
        <v>74</v>
      </c>
      <c r="BQ14" t="s">
        <v>74</v>
      </c>
      <c r="BR14" t="s">
        <v>106</v>
      </c>
      <c r="BS14" t="s">
        <v>381</v>
      </c>
      <c r="BT14" t="str">
        <f>HYPERLINK("https%3A%2F%2Fwww.webofscience.com%2Fwos%2Fwoscc%2Ffull-record%2FWOS:000383467800014","View Full Record in Web of Science")</f>
        <v>View Full Record in Web of Science</v>
      </c>
    </row>
    <row r="15" spans="1:72" x14ac:dyDescent="0.15">
      <c r="A15" t="s">
        <v>72</v>
      </c>
      <c r="B15" t="s">
        <v>382</v>
      </c>
      <c r="C15" t="s">
        <v>74</v>
      </c>
      <c r="D15" t="s">
        <v>74</v>
      </c>
      <c r="E15" t="s">
        <v>74</v>
      </c>
      <c r="F15" t="s">
        <v>383</v>
      </c>
      <c r="G15" t="s">
        <v>74</v>
      </c>
      <c r="H15" t="s">
        <v>74</v>
      </c>
      <c r="I15" t="s">
        <v>384</v>
      </c>
      <c r="J15" t="s">
        <v>385</v>
      </c>
      <c r="K15" t="s">
        <v>74</v>
      </c>
      <c r="L15" t="s">
        <v>74</v>
      </c>
      <c r="M15" t="s">
        <v>78</v>
      </c>
      <c r="N15" t="s">
        <v>79</v>
      </c>
      <c r="O15" t="s">
        <v>74</v>
      </c>
      <c r="P15" t="s">
        <v>74</v>
      </c>
      <c r="Q15" t="s">
        <v>74</v>
      </c>
      <c r="R15" t="s">
        <v>74</v>
      </c>
      <c r="S15" t="s">
        <v>74</v>
      </c>
      <c r="T15" t="s">
        <v>74</v>
      </c>
      <c r="U15" t="s">
        <v>386</v>
      </c>
      <c r="V15" t="s">
        <v>387</v>
      </c>
      <c r="W15" t="s">
        <v>388</v>
      </c>
      <c r="X15" t="s">
        <v>389</v>
      </c>
      <c r="Y15" t="s">
        <v>390</v>
      </c>
      <c r="Z15" t="s">
        <v>391</v>
      </c>
      <c r="AA15" t="s">
        <v>392</v>
      </c>
      <c r="AB15" t="s">
        <v>393</v>
      </c>
      <c r="AC15" t="s">
        <v>394</v>
      </c>
      <c r="AD15" t="s">
        <v>395</v>
      </c>
      <c r="AE15" t="s">
        <v>396</v>
      </c>
      <c r="AF15" t="s">
        <v>74</v>
      </c>
      <c r="AG15">
        <v>32</v>
      </c>
      <c r="AH15">
        <v>15</v>
      </c>
      <c r="AI15">
        <v>16</v>
      </c>
      <c r="AJ15">
        <v>0</v>
      </c>
      <c r="AK15">
        <v>6</v>
      </c>
      <c r="AL15" t="s">
        <v>92</v>
      </c>
      <c r="AM15" t="s">
        <v>93</v>
      </c>
      <c r="AN15" t="s">
        <v>94</v>
      </c>
      <c r="AO15" t="s">
        <v>397</v>
      </c>
      <c r="AP15" t="s">
        <v>398</v>
      </c>
      <c r="AQ15" t="s">
        <v>74</v>
      </c>
      <c r="AR15" t="s">
        <v>399</v>
      </c>
      <c r="AS15" t="s">
        <v>400</v>
      </c>
      <c r="AT15" t="s">
        <v>99</v>
      </c>
      <c r="AU15">
        <v>2016</v>
      </c>
      <c r="AV15">
        <v>121</v>
      </c>
      <c r="AW15">
        <v>6</v>
      </c>
      <c r="AX15" t="s">
        <v>74</v>
      </c>
      <c r="AY15" t="s">
        <v>74</v>
      </c>
      <c r="AZ15" t="s">
        <v>74</v>
      </c>
      <c r="BA15" t="s">
        <v>74</v>
      </c>
      <c r="BB15">
        <v>5172</v>
      </c>
      <c r="BC15">
        <v>5184</v>
      </c>
      <c r="BD15" t="s">
        <v>74</v>
      </c>
      <c r="BE15" t="s">
        <v>401</v>
      </c>
      <c r="BF15" t="str">
        <f>HYPERLINK("http://dx.doi.org/10.1002/2015JA022066","http://dx.doi.org/10.1002/2015JA022066")</f>
        <v>http://dx.doi.org/10.1002/2015JA022066</v>
      </c>
      <c r="BG15" t="s">
        <v>74</v>
      </c>
      <c r="BH15" t="s">
        <v>74</v>
      </c>
      <c r="BI15">
        <v>13</v>
      </c>
      <c r="BJ15" t="s">
        <v>248</v>
      </c>
      <c r="BK15" t="s">
        <v>102</v>
      </c>
      <c r="BL15" t="s">
        <v>248</v>
      </c>
      <c r="BM15" t="s">
        <v>402</v>
      </c>
      <c r="BN15" t="s">
        <v>74</v>
      </c>
      <c r="BO15" t="s">
        <v>403</v>
      </c>
      <c r="BP15" t="s">
        <v>74</v>
      </c>
      <c r="BQ15" t="s">
        <v>74</v>
      </c>
      <c r="BR15" t="s">
        <v>106</v>
      </c>
      <c r="BS15" t="s">
        <v>404</v>
      </c>
      <c r="BT15" t="str">
        <f>HYPERLINK("https%3A%2F%2Fwww.webofscience.com%2Fwos%2Fwoscc%2Ffull-record%2FWOS:000383421100015","View Full Record in Web of Science")</f>
        <v>View Full Record in Web of Science</v>
      </c>
    </row>
    <row r="16" spans="1:72" x14ac:dyDescent="0.15">
      <c r="A16" t="s">
        <v>72</v>
      </c>
      <c r="B16" t="s">
        <v>405</v>
      </c>
      <c r="C16" t="s">
        <v>74</v>
      </c>
      <c r="D16" t="s">
        <v>74</v>
      </c>
      <c r="E16" t="s">
        <v>74</v>
      </c>
      <c r="F16" t="s">
        <v>406</v>
      </c>
      <c r="G16" t="s">
        <v>74</v>
      </c>
      <c r="H16" t="s">
        <v>74</v>
      </c>
      <c r="I16" t="s">
        <v>407</v>
      </c>
      <c r="J16" t="s">
        <v>385</v>
      </c>
      <c r="K16" t="s">
        <v>74</v>
      </c>
      <c r="L16" t="s">
        <v>74</v>
      </c>
      <c r="M16" t="s">
        <v>78</v>
      </c>
      <c r="N16" t="s">
        <v>79</v>
      </c>
      <c r="O16" t="s">
        <v>74</v>
      </c>
      <c r="P16" t="s">
        <v>74</v>
      </c>
      <c r="Q16" t="s">
        <v>74</v>
      </c>
      <c r="R16" t="s">
        <v>74</v>
      </c>
      <c r="S16" t="s">
        <v>74</v>
      </c>
      <c r="T16" t="s">
        <v>74</v>
      </c>
      <c r="U16" t="s">
        <v>408</v>
      </c>
      <c r="V16" t="s">
        <v>409</v>
      </c>
      <c r="W16" t="s">
        <v>410</v>
      </c>
      <c r="X16" t="s">
        <v>411</v>
      </c>
      <c r="Y16" t="s">
        <v>412</v>
      </c>
      <c r="Z16" t="s">
        <v>413</v>
      </c>
      <c r="AA16" t="s">
        <v>414</v>
      </c>
      <c r="AB16" t="s">
        <v>415</v>
      </c>
      <c r="AC16" t="s">
        <v>416</v>
      </c>
      <c r="AD16" t="s">
        <v>417</v>
      </c>
      <c r="AE16" t="s">
        <v>418</v>
      </c>
      <c r="AF16" t="s">
        <v>74</v>
      </c>
      <c r="AG16">
        <v>48</v>
      </c>
      <c r="AH16">
        <v>45</v>
      </c>
      <c r="AI16">
        <v>48</v>
      </c>
      <c r="AJ16">
        <v>0</v>
      </c>
      <c r="AK16">
        <v>4</v>
      </c>
      <c r="AL16" t="s">
        <v>92</v>
      </c>
      <c r="AM16" t="s">
        <v>93</v>
      </c>
      <c r="AN16" t="s">
        <v>94</v>
      </c>
      <c r="AO16" t="s">
        <v>397</v>
      </c>
      <c r="AP16" t="s">
        <v>398</v>
      </c>
      <c r="AQ16" t="s">
        <v>74</v>
      </c>
      <c r="AR16" t="s">
        <v>399</v>
      </c>
      <c r="AS16" t="s">
        <v>400</v>
      </c>
      <c r="AT16" t="s">
        <v>99</v>
      </c>
      <c r="AU16">
        <v>2016</v>
      </c>
      <c r="AV16">
        <v>121</v>
      </c>
      <c r="AW16">
        <v>6</v>
      </c>
      <c r="AX16" t="s">
        <v>74</v>
      </c>
      <c r="AY16" t="s">
        <v>74</v>
      </c>
      <c r="AZ16" t="s">
        <v>74</v>
      </c>
      <c r="BA16" t="s">
        <v>74</v>
      </c>
      <c r="BB16">
        <v>5366</v>
      </c>
      <c r="BC16">
        <v>5383</v>
      </c>
      <c r="BD16" t="s">
        <v>74</v>
      </c>
      <c r="BE16" t="s">
        <v>419</v>
      </c>
      <c r="BF16" t="str">
        <f>HYPERLINK("http://dx.doi.org/10.1002/2015JA022224","http://dx.doi.org/10.1002/2015JA022224")</f>
        <v>http://dx.doi.org/10.1002/2015JA022224</v>
      </c>
      <c r="BG16" t="s">
        <v>74</v>
      </c>
      <c r="BH16" t="s">
        <v>74</v>
      </c>
      <c r="BI16">
        <v>18</v>
      </c>
      <c r="BJ16" t="s">
        <v>248</v>
      </c>
      <c r="BK16" t="s">
        <v>102</v>
      </c>
      <c r="BL16" t="s">
        <v>248</v>
      </c>
      <c r="BM16" t="s">
        <v>402</v>
      </c>
      <c r="BN16" t="s">
        <v>74</v>
      </c>
      <c r="BO16" t="s">
        <v>420</v>
      </c>
      <c r="BP16" t="s">
        <v>74</v>
      </c>
      <c r="BQ16" t="s">
        <v>74</v>
      </c>
      <c r="BR16" t="s">
        <v>106</v>
      </c>
      <c r="BS16" t="s">
        <v>421</v>
      </c>
      <c r="BT16" t="str">
        <f>HYPERLINK("https%3A%2F%2Fwww.webofscience.com%2Fwos%2Fwoscc%2Ffull-record%2FWOS:000383421100029","View Full Record in Web of Science")</f>
        <v>View Full Record in Web of Science</v>
      </c>
    </row>
    <row r="17" spans="1:72" x14ac:dyDescent="0.15">
      <c r="A17" t="s">
        <v>72</v>
      </c>
      <c r="B17" t="s">
        <v>422</v>
      </c>
      <c r="C17" t="s">
        <v>74</v>
      </c>
      <c r="D17" t="s">
        <v>74</v>
      </c>
      <c r="E17" t="s">
        <v>74</v>
      </c>
      <c r="F17" t="s">
        <v>423</v>
      </c>
      <c r="G17" t="s">
        <v>74</v>
      </c>
      <c r="H17" t="s">
        <v>74</v>
      </c>
      <c r="I17" t="s">
        <v>424</v>
      </c>
      <c r="J17" t="s">
        <v>385</v>
      </c>
      <c r="K17" t="s">
        <v>74</v>
      </c>
      <c r="L17" t="s">
        <v>74</v>
      </c>
      <c r="M17" t="s">
        <v>78</v>
      </c>
      <c r="N17" t="s">
        <v>79</v>
      </c>
      <c r="O17" t="s">
        <v>74</v>
      </c>
      <c r="P17" t="s">
        <v>74</v>
      </c>
      <c r="Q17" t="s">
        <v>74</v>
      </c>
      <c r="R17" t="s">
        <v>74</v>
      </c>
      <c r="S17" t="s">
        <v>74</v>
      </c>
      <c r="T17" t="s">
        <v>74</v>
      </c>
      <c r="U17" t="s">
        <v>425</v>
      </c>
      <c r="V17" t="s">
        <v>426</v>
      </c>
      <c r="W17" t="s">
        <v>427</v>
      </c>
      <c r="X17" t="s">
        <v>428</v>
      </c>
      <c r="Y17" t="s">
        <v>429</v>
      </c>
      <c r="Z17" t="s">
        <v>430</v>
      </c>
      <c r="AA17" t="s">
        <v>431</v>
      </c>
      <c r="AB17" t="s">
        <v>432</v>
      </c>
      <c r="AC17" t="s">
        <v>433</v>
      </c>
      <c r="AD17" t="s">
        <v>434</v>
      </c>
      <c r="AE17" t="s">
        <v>435</v>
      </c>
      <c r="AF17" t="s">
        <v>74</v>
      </c>
      <c r="AG17">
        <v>35</v>
      </c>
      <c r="AH17">
        <v>9</v>
      </c>
      <c r="AI17">
        <v>10</v>
      </c>
      <c r="AJ17">
        <v>0</v>
      </c>
      <c r="AK17">
        <v>9</v>
      </c>
      <c r="AL17" t="s">
        <v>92</v>
      </c>
      <c r="AM17" t="s">
        <v>93</v>
      </c>
      <c r="AN17" t="s">
        <v>94</v>
      </c>
      <c r="AO17" t="s">
        <v>397</v>
      </c>
      <c r="AP17" t="s">
        <v>398</v>
      </c>
      <c r="AQ17" t="s">
        <v>74</v>
      </c>
      <c r="AR17" t="s">
        <v>399</v>
      </c>
      <c r="AS17" t="s">
        <v>400</v>
      </c>
      <c r="AT17" t="s">
        <v>99</v>
      </c>
      <c r="AU17">
        <v>2016</v>
      </c>
      <c r="AV17">
        <v>121</v>
      </c>
      <c r="AW17">
        <v>6</v>
      </c>
      <c r="AX17" t="s">
        <v>74</v>
      </c>
      <c r="AY17" t="s">
        <v>74</v>
      </c>
      <c r="AZ17" t="s">
        <v>74</v>
      </c>
      <c r="BA17" t="s">
        <v>74</v>
      </c>
      <c r="BB17">
        <v>5737</v>
      </c>
      <c r="BC17">
        <v>5751</v>
      </c>
      <c r="BD17" t="s">
        <v>74</v>
      </c>
      <c r="BE17" t="s">
        <v>436</v>
      </c>
      <c r="BF17" t="str">
        <f>HYPERLINK("http://dx.doi.org/10.1002/2016JA022833","http://dx.doi.org/10.1002/2016JA022833")</f>
        <v>http://dx.doi.org/10.1002/2016JA022833</v>
      </c>
      <c r="BG17" t="s">
        <v>74</v>
      </c>
      <c r="BH17" t="s">
        <v>74</v>
      </c>
      <c r="BI17">
        <v>15</v>
      </c>
      <c r="BJ17" t="s">
        <v>248</v>
      </c>
      <c r="BK17" t="s">
        <v>102</v>
      </c>
      <c r="BL17" t="s">
        <v>248</v>
      </c>
      <c r="BM17" t="s">
        <v>402</v>
      </c>
      <c r="BN17" t="s">
        <v>74</v>
      </c>
      <c r="BO17" t="s">
        <v>420</v>
      </c>
      <c r="BP17" t="s">
        <v>74</v>
      </c>
      <c r="BQ17" t="s">
        <v>74</v>
      </c>
      <c r="BR17" t="s">
        <v>106</v>
      </c>
      <c r="BS17" t="s">
        <v>437</v>
      </c>
      <c r="BT17" t="str">
        <f>HYPERLINK("https%3A%2F%2Fwww.webofscience.com%2Fwos%2Fwoscc%2Ffull-record%2FWOS:000383421100056","View Full Record in Web of Science")</f>
        <v>View Full Record in Web of Science</v>
      </c>
    </row>
    <row r="18" spans="1:72" x14ac:dyDescent="0.15">
      <c r="A18" t="s">
        <v>72</v>
      </c>
      <c r="B18" t="s">
        <v>438</v>
      </c>
      <c r="C18" t="s">
        <v>74</v>
      </c>
      <c r="D18" t="s">
        <v>74</v>
      </c>
      <c r="E18" t="s">
        <v>74</v>
      </c>
      <c r="F18" t="s">
        <v>439</v>
      </c>
      <c r="G18" t="s">
        <v>74</v>
      </c>
      <c r="H18" t="s">
        <v>74</v>
      </c>
      <c r="I18" t="s">
        <v>440</v>
      </c>
      <c r="J18" t="s">
        <v>441</v>
      </c>
      <c r="K18" t="s">
        <v>74</v>
      </c>
      <c r="L18" t="s">
        <v>74</v>
      </c>
      <c r="M18" t="s">
        <v>78</v>
      </c>
      <c r="N18" t="s">
        <v>79</v>
      </c>
      <c r="O18" t="s">
        <v>74</v>
      </c>
      <c r="P18" t="s">
        <v>74</v>
      </c>
      <c r="Q18" t="s">
        <v>74</v>
      </c>
      <c r="R18" t="s">
        <v>74</v>
      </c>
      <c r="S18" t="s">
        <v>74</v>
      </c>
      <c r="T18" t="s">
        <v>442</v>
      </c>
      <c r="U18" t="s">
        <v>443</v>
      </c>
      <c r="V18" t="s">
        <v>444</v>
      </c>
      <c r="W18" t="s">
        <v>445</v>
      </c>
      <c r="X18" t="s">
        <v>446</v>
      </c>
      <c r="Y18" t="s">
        <v>447</v>
      </c>
      <c r="Z18" t="s">
        <v>448</v>
      </c>
      <c r="AA18" t="s">
        <v>449</v>
      </c>
      <c r="AB18" t="s">
        <v>450</v>
      </c>
      <c r="AC18" t="s">
        <v>451</v>
      </c>
      <c r="AD18" t="s">
        <v>452</v>
      </c>
      <c r="AE18" t="s">
        <v>453</v>
      </c>
      <c r="AF18" t="s">
        <v>74</v>
      </c>
      <c r="AG18">
        <v>107</v>
      </c>
      <c r="AH18">
        <v>24</v>
      </c>
      <c r="AI18">
        <v>26</v>
      </c>
      <c r="AJ18">
        <v>3</v>
      </c>
      <c r="AK18">
        <v>71</v>
      </c>
      <c r="AL18" t="s">
        <v>454</v>
      </c>
      <c r="AM18" t="s">
        <v>455</v>
      </c>
      <c r="AN18" t="s">
        <v>456</v>
      </c>
      <c r="AO18" t="s">
        <v>457</v>
      </c>
      <c r="AP18" t="s">
        <v>458</v>
      </c>
      <c r="AQ18" t="s">
        <v>74</v>
      </c>
      <c r="AR18" t="s">
        <v>459</v>
      </c>
      <c r="AS18" t="s">
        <v>460</v>
      </c>
      <c r="AT18" t="s">
        <v>461</v>
      </c>
      <c r="AU18">
        <v>2016</v>
      </c>
      <c r="AV18">
        <v>13</v>
      </c>
      <c r="AW18" t="s">
        <v>462</v>
      </c>
      <c r="AX18" t="s">
        <v>74</v>
      </c>
      <c r="AY18" t="s">
        <v>74</v>
      </c>
      <c r="AZ18" t="s">
        <v>74</v>
      </c>
      <c r="BA18" t="s">
        <v>74</v>
      </c>
      <c r="BB18">
        <v>103</v>
      </c>
      <c r="BC18">
        <v>128</v>
      </c>
      <c r="BD18" t="s">
        <v>74</v>
      </c>
      <c r="BE18" t="s">
        <v>463</v>
      </c>
      <c r="BF18" t="str">
        <f>HYPERLINK("http://dx.doi.org/10.1080/1943815X.2016.1159578","http://dx.doi.org/10.1080/1943815X.2016.1159578")</f>
        <v>http://dx.doi.org/10.1080/1943815X.2016.1159578</v>
      </c>
      <c r="BG18" t="s">
        <v>74</v>
      </c>
      <c r="BH18" t="s">
        <v>74</v>
      </c>
      <c r="BI18">
        <v>26</v>
      </c>
      <c r="BJ18" t="s">
        <v>464</v>
      </c>
      <c r="BK18" t="s">
        <v>102</v>
      </c>
      <c r="BL18" t="s">
        <v>465</v>
      </c>
      <c r="BM18" t="s">
        <v>466</v>
      </c>
      <c r="BN18" t="s">
        <v>74</v>
      </c>
      <c r="BO18" t="s">
        <v>467</v>
      </c>
      <c r="BP18" t="s">
        <v>74</v>
      </c>
      <c r="BQ18" t="s">
        <v>74</v>
      </c>
      <c r="BR18" t="s">
        <v>106</v>
      </c>
      <c r="BS18" t="s">
        <v>468</v>
      </c>
      <c r="BT18" t="str">
        <f>HYPERLINK("https%3A%2F%2Fwww.webofscience.com%2Fwos%2Fwoscc%2Ffull-record%2FWOS:000386605700002","View Full Record in Web of Science")</f>
        <v>View Full Record in Web of Science</v>
      </c>
    </row>
    <row r="19" spans="1:72" x14ac:dyDescent="0.15">
      <c r="A19" t="s">
        <v>72</v>
      </c>
      <c r="B19" t="s">
        <v>469</v>
      </c>
      <c r="C19" t="s">
        <v>74</v>
      </c>
      <c r="D19" t="s">
        <v>74</v>
      </c>
      <c r="E19" t="s">
        <v>74</v>
      </c>
      <c r="F19" t="s">
        <v>470</v>
      </c>
      <c r="G19" t="s">
        <v>74</v>
      </c>
      <c r="H19" t="s">
        <v>74</v>
      </c>
      <c r="I19" t="s">
        <v>471</v>
      </c>
      <c r="J19" t="s">
        <v>472</v>
      </c>
      <c r="K19" t="s">
        <v>74</v>
      </c>
      <c r="L19" t="s">
        <v>74</v>
      </c>
      <c r="M19" t="s">
        <v>78</v>
      </c>
      <c r="N19" t="s">
        <v>79</v>
      </c>
      <c r="O19" t="s">
        <v>74</v>
      </c>
      <c r="P19" t="s">
        <v>74</v>
      </c>
      <c r="Q19" t="s">
        <v>74</v>
      </c>
      <c r="R19" t="s">
        <v>74</v>
      </c>
      <c r="S19" t="s">
        <v>74</v>
      </c>
      <c r="T19" t="s">
        <v>473</v>
      </c>
      <c r="U19" t="s">
        <v>474</v>
      </c>
      <c r="V19" t="s">
        <v>475</v>
      </c>
      <c r="W19" t="s">
        <v>476</v>
      </c>
      <c r="X19" t="s">
        <v>477</v>
      </c>
      <c r="Y19" t="s">
        <v>478</v>
      </c>
      <c r="Z19" t="s">
        <v>479</v>
      </c>
      <c r="AA19" t="s">
        <v>480</v>
      </c>
      <c r="AB19" t="s">
        <v>481</v>
      </c>
      <c r="AC19" t="s">
        <v>482</v>
      </c>
      <c r="AD19" t="s">
        <v>483</v>
      </c>
      <c r="AE19" t="s">
        <v>484</v>
      </c>
      <c r="AF19" t="s">
        <v>74</v>
      </c>
      <c r="AG19">
        <v>30</v>
      </c>
      <c r="AH19">
        <v>5</v>
      </c>
      <c r="AI19">
        <v>5</v>
      </c>
      <c r="AJ19">
        <v>0</v>
      </c>
      <c r="AK19">
        <v>2</v>
      </c>
      <c r="AL19" t="s">
        <v>485</v>
      </c>
      <c r="AM19" t="s">
        <v>486</v>
      </c>
      <c r="AN19" t="s">
        <v>487</v>
      </c>
      <c r="AO19" t="s">
        <v>488</v>
      </c>
      <c r="AP19" t="s">
        <v>489</v>
      </c>
      <c r="AQ19" t="s">
        <v>74</v>
      </c>
      <c r="AR19" t="s">
        <v>490</v>
      </c>
      <c r="AS19" t="s">
        <v>491</v>
      </c>
      <c r="AT19" t="s">
        <v>99</v>
      </c>
      <c r="AU19">
        <v>2016</v>
      </c>
      <c r="AV19">
        <v>111</v>
      </c>
      <c r="AW19">
        <v>3</v>
      </c>
      <c r="AX19" t="s">
        <v>74</v>
      </c>
      <c r="AY19" t="s">
        <v>74</v>
      </c>
      <c r="AZ19" t="s">
        <v>74</v>
      </c>
      <c r="BA19" t="s">
        <v>74</v>
      </c>
      <c r="BB19">
        <v>170</v>
      </c>
      <c r="BC19">
        <v>180</v>
      </c>
      <c r="BD19" t="s">
        <v>74</v>
      </c>
      <c r="BE19" t="s">
        <v>492</v>
      </c>
      <c r="BF19" t="str">
        <f>HYPERLINK("http://dx.doi.org/10.2465/jmps.151029a","http://dx.doi.org/10.2465/jmps.151029a")</f>
        <v>http://dx.doi.org/10.2465/jmps.151029a</v>
      </c>
      <c r="BG19" t="s">
        <v>74</v>
      </c>
      <c r="BH19" t="s">
        <v>74</v>
      </c>
      <c r="BI19">
        <v>11</v>
      </c>
      <c r="BJ19" t="s">
        <v>493</v>
      </c>
      <c r="BK19" t="s">
        <v>102</v>
      </c>
      <c r="BL19" t="s">
        <v>493</v>
      </c>
      <c r="BM19" t="s">
        <v>494</v>
      </c>
      <c r="BN19" t="s">
        <v>74</v>
      </c>
      <c r="BO19" t="s">
        <v>495</v>
      </c>
      <c r="BP19" t="s">
        <v>74</v>
      </c>
      <c r="BQ19" t="s">
        <v>74</v>
      </c>
      <c r="BR19" t="s">
        <v>106</v>
      </c>
      <c r="BS19" t="s">
        <v>496</v>
      </c>
      <c r="BT19" t="str">
        <f>HYPERLINK("https%3A%2F%2Fwww.webofscience.com%2Fwos%2Fwoscc%2Ffull-record%2FWOS:000385267300003","View Full Record in Web of Science")</f>
        <v>View Full Record in Web of Science</v>
      </c>
    </row>
    <row r="20" spans="1:72" x14ac:dyDescent="0.15">
      <c r="A20" t="s">
        <v>72</v>
      </c>
      <c r="B20" t="s">
        <v>497</v>
      </c>
      <c r="C20" t="s">
        <v>74</v>
      </c>
      <c r="D20" t="s">
        <v>74</v>
      </c>
      <c r="E20" t="s">
        <v>74</v>
      </c>
      <c r="F20" t="s">
        <v>498</v>
      </c>
      <c r="G20" t="s">
        <v>74</v>
      </c>
      <c r="H20" t="s">
        <v>74</v>
      </c>
      <c r="I20" t="s">
        <v>499</v>
      </c>
      <c r="J20" t="s">
        <v>500</v>
      </c>
      <c r="K20" t="s">
        <v>74</v>
      </c>
      <c r="L20" t="s">
        <v>74</v>
      </c>
      <c r="M20" t="s">
        <v>78</v>
      </c>
      <c r="N20" t="s">
        <v>79</v>
      </c>
      <c r="O20" t="s">
        <v>74</v>
      </c>
      <c r="P20" t="s">
        <v>74</v>
      </c>
      <c r="Q20" t="s">
        <v>74</v>
      </c>
      <c r="R20" t="s">
        <v>74</v>
      </c>
      <c r="S20" t="s">
        <v>74</v>
      </c>
      <c r="T20" t="s">
        <v>501</v>
      </c>
      <c r="U20" t="s">
        <v>502</v>
      </c>
      <c r="V20" t="s">
        <v>503</v>
      </c>
      <c r="W20" t="s">
        <v>504</v>
      </c>
      <c r="X20" t="s">
        <v>145</v>
      </c>
      <c r="Y20" t="s">
        <v>505</v>
      </c>
      <c r="Z20" t="s">
        <v>506</v>
      </c>
      <c r="AA20" t="s">
        <v>507</v>
      </c>
      <c r="AB20" t="s">
        <v>508</v>
      </c>
      <c r="AC20" t="s">
        <v>509</v>
      </c>
      <c r="AD20" t="s">
        <v>510</v>
      </c>
      <c r="AE20" t="s">
        <v>74</v>
      </c>
      <c r="AF20" t="s">
        <v>74</v>
      </c>
      <c r="AG20">
        <v>27</v>
      </c>
      <c r="AH20">
        <v>42</v>
      </c>
      <c r="AI20">
        <v>42</v>
      </c>
      <c r="AJ20">
        <v>0</v>
      </c>
      <c r="AK20">
        <v>12</v>
      </c>
      <c r="AL20" t="s">
        <v>511</v>
      </c>
      <c r="AM20" t="s">
        <v>512</v>
      </c>
      <c r="AN20" t="s">
        <v>513</v>
      </c>
      <c r="AO20" t="s">
        <v>514</v>
      </c>
      <c r="AP20" t="s">
        <v>515</v>
      </c>
      <c r="AQ20" t="s">
        <v>74</v>
      </c>
      <c r="AR20" t="s">
        <v>516</v>
      </c>
      <c r="AS20" t="s">
        <v>517</v>
      </c>
      <c r="AT20" t="s">
        <v>99</v>
      </c>
      <c r="AU20">
        <v>2016</v>
      </c>
      <c r="AV20">
        <v>46</v>
      </c>
      <c r="AW20">
        <v>6</v>
      </c>
      <c r="AX20" t="s">
        <v>74</v>
      </c>
      <c r="AY20" t="s">
        <v>74</v>
      </c>
      <c r="AZ20" t="s">
        <v>74</v>
      </c>
      <c r="BA20" t="s">
        <v>74</v>
      </c>
      <c r="BB20">
        <v>1785</v>
      </c>
      <c r="BC20">
        <v>1803</v>
      </c>
      <c r="BD20" t="s">
        <v>74</v>
      </c>
      <c r="BE20" t="s">
        <v>518</v>
      </c>
      <c r="BF20" t="str">
        <f>HYPERLINK("http://dx.doi.org/10.1175/JPO-D-15-0194.1","http://dx.doi.org/10.1175/JPO-D-15-0194.1")</f>
        <v>http://dx.doi.org/10.1175/JPO-D-15-0194.1</v>
      </c>
      <c r="BG20" t="s">
        <v>74</v>
      </c>
      <c r="BH20" t="s">
        <v>74</v>
      </c>
      <c r="BI20">
        <v>19</v>
      </c>
      <c r="BJ20" t="s">
        <v>361</v>
      </c>
      <c r="BK20" t="s">
        <v>102</v>
      </c>
      <c r="BL20" t="s">
        <v>361</v>
      </c>
      <c r="BM20" t="s">
        <v>519</v>
      </c>
      <c r="BN20" t="s">
        <v>74</v>
      </c>
      <c r="BO20" t="s">
        <v>203</v>
      </c>
      <c r="BP20" t="s">
        <v>74</v>
      </c>
      <c r="BQ20" t="s">
        <v>74</v>
      </c>
      <c r="BR20" t="s">
        <v>106</v>
      </c>
      <c r="BS20" t="s">
        <v>520</v>
      </c>
      <c r="BT20" t="str">
        <f>HYPERLINK("https%3A%2F%2Fwww.webofscience.com%2Fwos%2Fwoscc%2Ffull-record%2FWOS:000377103200002","View Full Record in Web of Science")</f>
        <v>View Full Record in Web of Science</v>
      </c>
    </row>
    <row r="21" spans="1:72" x14ac:dyDescent="0.15">
      <c r="A21" t="s">
        <v>72</v>
      </c>
      <c r="B21" t="s">
        <v>521</v>
      </c>
      <c r="C21" t="s">
        <v>74</v>
      </c>
      <c r="D21" t="s">
        <v>74</v>
      </c>
      <c r="E21" t="s">
        <v>74</v>
      </c>
      <c r="F21" t="s">
        <v>522</v>
      </c>
      <c r="G21" t="s">
        <v>74</v>
      </c>
      <c r="H21" t="s">
        <v>74</v>
      </c>
      <c r="I21" t="s">
        <v>523</v>
      </c>
      <c r="J21" t="s">
        <v>524</v>
      </c>
      <c r="K21" t="s">
        <v>74</v>
      </c>
      <c r="L21" t="s">
        <v>74</v>
      </c>
      <c r="M21" t="s">
        <v>78</v>
      </c>
      <c r="N21" t="s">
        <v>79</v>
      </c>
      <c r="O21" t="s">
        <v>74</v>
      </c>
      <c r="P21" t="s">
        <v>74</v>
      </c>
      <c r="Q21" t="s">
        <v>74</v>
      </c>
      <c r="R21" t="s">
        <v>74</v>
      </c>
      <c r="S21" t="s">
        <v>74</v>
      </c>
      <c r="T21" t="s">
        <v>525</v>
      </c>
      <c r="U21" t="s">
        <v>526</v>
      </c>
      <c r="V21" t="s">
        <v>527</v>
      </c>
      <c r="W21" t="s">
        <v>528</v>
      </c>
      <c r="X21" t="s">
        <v>529</v>
      </c>
      <c r="Y21" t="s">
        <v>530</v>
      </c>
      <c r="Z21" t="s">
        <v>531</v>
      </c>
      <c r="AA21" t="s">
        <v>532</v>
      </c>
      <c r="AB21" t="s">
        <v>533</v>
      </c>
      <c r="AC21" t="s">
        <v>534</v>
      </c>
      <c r="AD21" t="s">
        <v>534</v>
      </c>
      <c r="AE21" t="s">
        <v>535</v>
      </c>
      <c r="AF21" t="s">
        <v>74</v>
      </c>
      <c r="AG21">
        <v>55</v>
      </c>
      <c r="AH21">
        <v>10</v>
      </c>
      <c r="AI21">
        <v>11</v>
      </c>
      <c r="AJ21">
        <v>0</v>
      </c>
      <c r="AK21">
        <v>25</v>
      </c>
      <c r="AL21" t="s">
        <v>124</v>
      </c>
      <c r="AM21" t="s">
        <v>125</v>
      </c>
      <c r="AN21" t="s">
        <v>126</v>
      </c>
      <c r="AO21" t="s">
        <v>536</v>
      </c>
      <c r="AP21" t="s">
        <v>537</v>
      </c>
      <c r="AQ21" t="s">
        <v>74</v>
      </c>
      <c r="AR21" t="s">
        <v>538</v>
      </c>
      <c r="AS21" t="s">
        <v>539</v>
      </c>
      <c r="AT21" t="s">
        <v>99</v>
      </c>
      <c r="AU21">
        <v>2016</v>
      </c>
      <c r="AV21">
        <v>299</v>
      </c>
      <c r="AW21">
        <v>2</v>
      </c>
      <c r="AX21" t="s">
        <v>74</v>
      </c>
      <c r="AY21" t="s">
        <v>74</v>
      </c>
      <c r="AZ21" t="s">
        <v>74</v>
      </c>
      <c r="BA21" t="s">
        <v>74</v>
      </c>
      <c r="BB21">
        <v>89</v>
      </c>
      <c r="BC21">
        <v>97</v>
      </c>
      <c r="BD21" t="s">
        <v>74</v>
      </c>
      <c r="BE21" t="s">
        <v>540</v>
      </c>
      <c r="BF21" t="str">
        <f>HYPERLINK("http://dx.doi.org/10.1111/jzo.12330","http://dx.doi.org/10.1111/jzo.12330")</f>
        <v>http://dx.doi.org/10.1111/jzo.12330</v>
      </c>
      <c r="BG21" t="s">
        <v>74</v>
      </c>
      <c r="BH21" t="s">
        <v>74</v>
      </c>
      <c r="BI21">
        <v>9</v>
      </c>
      <c r="BJ21" t="s">
        <v>541</v>
      </c>
      <c r="BK21" t="s">
        <v>102</v>
      </c>
      <c r="BL21" t="s">
        <v>541</v>
      </c>
      <c r="BM21" t="s">
        <v>542</v>
      </c>
      <c r="BN21" t="s">
        <v>74</v>
      </c>
      <c r="BO21" t="s">
        <v>74</v>
      </c>
      <c r="BP21" t="s">
        <v>74</v>
      </c>
      <c r="BQ21" t="s">
        <v>74</v>
      </c>
      <c r="BR21" t="s">
        <v>106</v>
      </c>
      <c r="BS21" t="s">
        <v>543</v>
      </c>
      <c r="BT21" t="str">
        <f>HYPERLINK("https%3A%2F%2Fwww.webofscience.com%2Fwos%2Fwoscc%2Ffull-record%2FWOS:000378546600003","View Full Record in Web of Science")</f>
        <v>View Full Record in Web of Science</v>
      </c>
    </row>
    <row r="22" spans="1:72" x14ac:dyDescent="0.15">
      <c r="A22" t="s">
        <v>72</v>
      </c>
      <c r="B22" t="s">
        <v>544</v>
      </c>
      <c r="C22" t="s">
        <v>74</v>
      </c>
      <c r="D22" t="s">
        <v>74</v>
      </c>
      <c r="E22" t="s">
        <v>74</v>
      </c>
      <c r="F22" t="s">
        <v>545</v>
      </c>
      <c r="G22" t="s">
        <v>74</v>
      </c>
      <c r="H22" t="s">
        <v>74</v>
      </c>
      <c r="I22" t="s">
        <v>546</v>
      </c>
      <c r="J22" t="s">
        <v>547</v>
      </c>
      <c r="K22" t="s">
        <v>74</v>
      </c>
      <c r="L22" t="s">
        <v>74</v>
      </c>
      <c r="M22" t="s">
        <v>78</v>
      </c>
      <c r="N22" t="s">
        <v>79</v>
      </c>
      <c r="O22" t="s">
        <v>74</v>
      </c>
      <c r="P22" t="s">
        <v>74</v>
      </c>
      <c r="Q22" t="s">
        <v>74</v>
      </c>
      <c r="R22" t="s">
        <v>74</v>
      </c>
      <c r="S22" t="s">
        <v>74</v>
      </c>
      <c r="T22" t="s">
        <v>74</v>
      </c>
      <c r="U22" t="s">
        <v>548</v>
      </c>
      <c r="V22" t="s">
        <v>549</v>
      </c>
      <c r="W22" t="s">
        <v>550</v>
      </c>
      <c r="X22" t="s">
        <v>551</v>
      </c>
      <c r="Y22" t="s">
        <v>552</v>
      </c>
      <c r="Z22" t="s">
        <v>553</v>
      </c>
      <c r="AA22" t="s">
        <v>554</v>
      </c>
      <c r="AB22" t="s">
        <v>555</v>
      </c>
      <c r="AC22" t="s">
        <v>556</v>
      </c>
      <c r="AD22" t="s">
        <v>557</v>
      </c>
      <c r="AE22" t="s">
        <v>558</v>
      </c>
      <c r="AF22" t="s">
        <v>74</v>
      </c>
      <c r="AG22">
        <v>93</v>
      </c>
      <c r="AH22">
        <v>20</v>
      </c>
      <c r="AI22">
        <v>20</v>
      </c>
      <c r="AJ22">
        <v>2</v>
      </c>
      <c r="AK22">
        <v>42</v>
      </c>
      <c r="AL22" t="s">
        <v>559</v>
      </c>
      <c r="AM22" t="s">
        <v>560</v>
      </c>
      <c r="AN22" t="s">
        <v>561</v>
      </c>
      <c r="AO22" t="s">
        <v>562</v>
      </c>
      <c r="AP22" t="s">
        <v>563</v>
      </c>
      <c r="AQ22" t="s">
        <v>74</v>
      </c>
      <c r="AR22" t="s">
        <v>564</v>
      </c>
      <c r="AS22" t="s">
        <v>565</v>
      </c>
      <c r="AT22" t="s">
        <v>99</v>
      </c>
      <c r="AU22">
        <v>2016</v>
      </c>
      <c r="AV22">
        <v>163</v>
      </c>
      <c r="AW22">
        <v>6</v>
      </c>
      <c r="AX22" t="s">
        <v>74</v>
      </c>
      <c r="AY22" t="s">
        <v>74</v>
      </c>
      <c r="AZ22" t="s">
        <v>74</v>
      </c>
      <c r="BA22" t="s">
        <v>74</v>
      </c>
      <c r="BB22" t="s">
        <v>74</v>
      </c>
      <c r="BC22" t="s">
        <v>74</v>
      </c>
      <c r="BD22">
        <v>132</v>
      </c>
      <c r="BE22" t="s">
        <v>566</v>
      </c>
      <c r="BF22" t="str">
        <f>HYPERLINK("http://dx.doi.org/10.1007/s00227-016-2904-0","http://dx.doi.org/10.1007/s00227-016-2904-0")</f>
        <v>http://dx.doi.org/10.1007/s00227-016-2904-0</v>
      </c>
      <c r="BG22" t="s">
        <v>74</v>
      </c>
      <c r="BH22" t="s">
        <v>74</v>
      </c>
      <c r="BI22">
        <v>13</v>
      </c>
      <c r="BJ22" t="s">
        <v>201</v>
      </c>
      <c r="BK22" t="s">
        <v>102</v>
      </c>
      <c r="BL22" t="s">
        <v>201</v>
      </c>
      <c r="BM22" t="s">
        <v>567</v>
      </c>
      <c r="BN22" t="s">
        <v>74</v>
      </c>
      <c r="BO22" t="s">
        <v>74</v>
      </c>
      <c r="BP22" t="s">
        <v>74</v>
      </c>
      <c r="BQ22" t="s">
        <v>74</v>
      </c>
      <c r="BR22" t="s">
        <v>106</v>
      </c>
      <c r="BS22" t="s">
        <v>568</v>
      </c>
      <c r="BT22" t="str">
        <f>HYPERLINK("https%3A%2F%2Fwww.webofscience.com%2Fwos%2Fwoscc%2Ffull-record%2FWOS:000378936200004","View Full Record in Web of Science")</f>
        <v>View Full Record in Web of Science</v>
      </c>
    </row>
    <row r="23" spans="1:72" x14ac:dyDescent="0.15">
      <c r="A23" t="s">
        <v>72</v>
      </c>
      <c r="B23" t="s">
        <v>569</v>
      </c>
      <c r="C23" t="s">
        <v>74</v>
      </c>
      <c r="D23" t="s">
        <v>74</v>
      </c>
      <c r="E23" t="s">
        <v>74</v>
      </c>
      <c r="F23" t="s">
        <v>570</v>
      </c>
      <c r="G23" t="s">
        <v>74</v>
      </c>
      <c r="H23" t="s">
        <v>74</v>
      </c>
      <c r="I23" t="s">
        <v>571</v>
      </c>
      <c r="J23" t="s">
        <v>572</v>
      </c>
      <c r="K23" t="s">
        <v>74</v>
      </c>
      <c r="L23" t="s">
        <v>74</v>
      </c>
      <c r="M23" t="s">
        <v>78</v>
      </c>
      <c r="N23" t="s">
        <v>573</v>
      </c>
      <c r="O23" t="s">
        <v>74</v>
      </c>
      <c r="P23" t="s">
        <v>74</v>
      </c>
      <c r="Q23" t="s">
        <v>74</v>
      </c>
      <c r="R23" t="s">
        <v>74</v>
      </c>
      <c r="S23" t="s">
        <v>74</v>
      </c>
      <c r="T23" t="s">
        <v>74</v>
      </c>
      <c r="U23" t="s">
        <v>574</v>
      </c>
      <c r="V23" t="s">
        <v>74</v>
      </c>
      <c r="W23" t="s">
        <v>575</v>
      </c>
      <c r="X23" t="s">
        <v>576</v>
      </c>
      <c r="Y23" t="s">
        <v>577</v>
      </c>
      <c r="Z23" t="s">
        <v>578</v>
      </c>
      <c r="AA23" t="s">
        <v>579</v>
      </c>
      <c r="AB23" t="s">
        <v>580</v>
      </c>
      <c r="AC23" t="s">
        <v>581</v>
      </c>
      <c r="AD23" t="s">
        <v>510</v>
      </c>
      <c r="AE23" t="s">
        <v>74</v>
      </c>
      <c r="AF23" t="s">
        <v>74</v>
      </c>
      <c r="AG23">
        <v>19</v>
      </c>
      <c r="AH23">
        <v>1</v>
      </c>
      <c r="AI23">
        <v>1</v>
      </c>
      <c r="AJ23">
        <v>0</v>
      </c>
      <c r="AK23">
        <v>18</v>
      </c>
      <c r="AL23" t="s">
        <v>582</v>
      </c>
      <c r="AM23" t="s">
        <v>583</v>
      </c>
      <c r="AN23" t="s">
        <v>584</v>
      </c>
      <c r="AO23" t="s">
        <v>585</v>
      </c>
      <c r="AP23" t="s">
        <v>586</v>
      </c>
      <c r="AQ23" t="s">
        <v>74</v>
      </c>
      <c r="AR23" t="s">
        <v>587</v>
      </c>
      <c r="AS23" t="s">
        <v>588</v>
      </c>
      <c r="AT23" t="s">
        <v>99</v>
      </c>
      <c r="AU23">
        <v>2016</v>
      </c>
      <c r="AV23">
        <v>27</v>
      </c>
      <c r="AW23" t="s">
        <v>74</v>
      </c>
      <c r="AX23" t="s">
        <v>74</v>
      </c>
      <c r="AY23" t="s">
        <v>74</v>
      </c>
      <c r="AZ23" t="s">
        <v>589</v>
      </c>
      <c r="BA23" t="s">
        <v>74</v>
      </c>
      <c r="BB23">
        <v>1</v>
      </c>
      <c r="BC23">
        <v>2</v>
      </c>
      <c r="BD23" t="s">
        <v>74</v>
      </c>
      <c r="BE23" t="s">
        <v>590</v>
      </c>
      <c r="BF23" t="str">
        <f>HYPERLINK("http://dx.doi.org/10.1016/j.margen.2016.04.011","http://dx.doi.org/10.1016/j.margen.2016.04.011")</f>
        <v>http://dx.doi.org/10.1016/j.margen.2016.04.011</v>
      </c>
      <c r="BG23" t="s">
        <v>74</v>
      </c>
      <c r="BH23" t="s">
        <v>74</v>
      </c>
      <c r="BI23">
        <v>2</v>
      </c>
      <c r="BJ23" t="s">
        <v>591</v>
      </c>
      <c r="BK23" t="s">
        <v>102</v>
      </c>
      <c r="BL23" t="s">
        <v>591</v>
      </c>
      <c r="BM23" t="s">
        <v>592</v>
      </c>
      <c r="BN23">
        <v>27129636</v>
      </c>
      <c r="BO23" t="s">
        <v>380</v>
      </c>
      <c r="BP23" t="s">
        <v>74</v>
      </c>
      <c r="BQ23" t="s">
        <v>74</v>
      </c>
      <c r="BR23" t="s">
        <v>106</v>
      </c>
      <c r="BS23" t="s">
        <v>593</v>
      </c>
      <c r="BT23" t="str">
        <f>HYPERLINK("https%3A%2F%2Fwww.webofscience.com%2Fwos%2Fwoscc%2Ffull-record%2FWOS:000379376100001","View Full Record in Web of Science")</f>
        <v>View Full Record in Web of Science</v>
      </c>
    </row>
    <row r="24" spans="1:72" x14ac:dyDescent="0.15">
      <c r="A24" t="s">
        <v>72</v>
      </c>
      <c r="B24" t="s">
        <v>594</v>
      </c>
      <c r="C24" t="s">
        <v>74</v>
      </c>
      <c r="D24" t="s">
        <v>74</v>
      </c>
      <c r="E24" t="s">
        <v>74</v>
      </c>
      <c r="F24" t="s">
        <v>595</v>
      </c>
      <c r="G24" t="s">
        <v>74</v>
      </c>
      <c r="H24" t="s">
        <v>74</v>
      </c>
      <c r="I24" t="s">
        <v>596</v>
      </c>
      <c r="J24" t="s">
        <v>572</v>
      </c>
      <c r="K24" t="s">
        <v>74</v>
      </c>
      <c r="L24" t="s">
        <v>74</v>
      </c>
      <c r="M24" t="s">
        <v>78</v>
      </c>
      <c r="N24" t="s">
        <v>79</v>
      </c>
      <c r="O24" t="s">
        <v>74</v>
      </c>
      <c r="P24" t="s">
        <v>74</v>
      </c>
      <c r="Q24" t="s">
        <v>74</v>
      </c>
      <c r="R24" t="s">
        <v>74</v>
      </c>
      <c r="S24" t="s">
        <v>74</v>
      </c>
      <c r="T24" t="s">
        <v>597</v>
      </c>
      <c r="U24" t="s">
        <v>598</v>
      </c>
      <c r="V24" t="s">
        <v>599</v>
      </c>
      <c r="W24" t="s">
        <v>600</v>
      </c>
      <c r="X24" t="s">
        <v>601</v>
      </c>
      <c r="Y24" t="s">
        <v>602</v>
      </c>
      <c r="Z24" t="s">
        <v>603</v>
      </c>
      <c r="AA24" t="s">
        <v>604</v>
      </c>
      <c r="AB24" t="s">
        <v>605</v>
      </c>
      <c r="AC24" t="s">
        <v>606</v>
      </c>
      <c r="AD24" t="s">
        <v>607</v>
      </c>
      <c r="AE24" t="s">
        <v>608</v>
      </c>
      <c r="AF24" t="s">
        <v>74</v>
      </c>
      <c r="AG24">
        <v>44</v>
      </c>
      <c r="AH24">
        <v>38</v>
      </c>
      <c r="AI24">
        <v>39</v>
      </c>
      <c r="AJ24">
        <v>3</v>
      </c>
      <c r="AK24">
        <v>46</v>
      </c>
      <c r="AL24" t="s">
        <v>582</v>
      </c>
      <c r="AM24" t="s">
        <v>583</v>
      </c>
      <c r="AN24" t="s">
        <v>584</v>
      </c>
      <c r="AO24" t="s">
        <v>585</v>
      </c>
      <c r="AP24" t="s">
        <v>586</v>
      </c>
      <c r="AQ24" t="s">
        <v>74</v>
      </c>
      <c r="AR24" t="s">
        <v>587</v>
      </c>
      <c r="AS24" t="s">
        <v>588</v>
      </c>
      <c r="AT24" t="s">
        <v>99</v>
      </c>
      <c r="AU24">
        <v>2016</v>
      </c>
      <c r="AV24">
        <v>27</v>
      </c>
      <c r="AW24" t="s">
        <v>74</v>
      </c>
      <c r="AX24" t="s">
        <v>74</v>
      </c>
      <c r="AY24" t="s">
        <v>74</v>
      </c>
      <c r="AZ24" t="s">
        <v>589</v>
      </c>
      <c r="BA24" t="s">
        <v>74</v>
      </c>
      <c r="BB24">
        <v>9</v>
      </c>
      <c r="BC24">
        <v>15</v>
      </c>
      <c r="BD24" t="s">
        <v>74</v>
      </c>
      <c r="BE24" t="s">
        <v>609</v>
      </c>
      <c r="BF24" t="str">
        <f>HYPERLINK("http://dx.doi.org/10.1016/j.margen.2016.04.003","http://dx.doi.org/10.1016/j.margen.2016.04.003")</f>
        <v>http://dx.doi.org/10.1016/j.margen.2016.04.003</v>
      </c>
      <c r="BG24" t="s">
        <v>74</v>
      </c>
      <c r="BH24" t="s">
        <v>74</v>
      </c>
      <c r="BI24">
        <v>7</v>
      </c>
      <c r="BJ24" t="s">
        <v>591</v>
      </c>
      <c r="BK24" t="s">
        <v>102</v>
      </c>
      <c r="BL24" t="s">
        <v>591</v>
      </c>
      <c r="BM24" t="s">
        <v>592</v>
      </c>
      <c r="BN24">
        <v>27160853</v>
      </c>
      <c r="BO24" t="s">
        <v>380</v>
      </c>
      <c r="BP24" t="s">
        <v>74</v>
      </c>
      <c r="BQ24" t="s">
        <v>74</v>
      </c>
      <c r="BR24" t="s">
        <v>106</v>
      </c>
      <c r="BS24" t="s">
        <v>610</v>
      </c>
      <c r="BT24" t="str">
        <f>HYPERLINK("https%3A%2F%2Fwww.webofscience.com%2Fwos%2Fwoscc%2Ffull-record%2FWOS:000379376100003","View Full Record in Web of Science")</f>
        <v>View Full Record in Web of Science</v>
      </c>
    </row>
    <row r="25" spans="1:72" x14ac:dyDescent="0.15">
      <c r="A25" t="s">
        <v>72</v>
      </c>
      <c r="B25" t="s">
        <v>611</v>
      </c>
      <c r="C25" t="s">
        <v>74</v>
      </c>
      <c r="D25" t="s">
        <v>74</v>
      </c>
      <c r="E25" t="s">
        <v>74</v>
      </c>
      <c r="F25" t="s">
        <v>612</v>
      </c>
      <c r="G25" t="s">
        <v>74</v>
      </c>
      <c r="H25" t="s">
        <v>74</v>
      </c>
      <c r="I25" t="s">
        <v>613</v>
      </c>
      <c r="J25" t="s">
        <v>572</v>
      </c>
      <c r="K25" t="s">
        <v>74</v>
      </c>
      <c r="L25" t="s">
        <v>74</v>
      </c>
      <c r="M25" t="s">
        <v>78</v>
      </c>
      <c r="N25" t="s">
        <v>79</v>
      </c>
      <c r="O25" t="s">
        <v>74</v>
      </c>
      <c r="P25" t="s">
        <v>74</v>
      </c>
      <c r="Q25" t="s">
        <v>74</v>
      </c>
      <c r="R25" t="s">
        <v>74</v>
      </c>
      <c r="S25" t="s">
        <v>74</v>
      </c>
      <c r="T25" t="s">
        <v>614</v>
      </c>
      <c r="U25" t="s">
        <v>615</v>
      </c>
      <c r="V25" t="s">
        <v>616</v>
      </c>
      <c r="W25" t="s">
        <v>617</v>
      </c>
      <c r="X25" t="s">
        <v>618</v>
      </c>
      <c r="Y25" t="s">
        <v>619</v>
      </c>
      <c r="Z25" t="s">
        <v>620</v>
      </c>
      <c r="AA25" t="s">
        <v>621</v>
      </c>
      <c r="AB25" t="s">
        <v>622</v>
      </c>
      <c r="AC25" t="s">
        <v>623</v>
      </c>
      <c r="AD25" t="s">
        <v>624</v>
      </c>
      <c r="AE25" t="s">
        <v>625</v>
      </c>
      <c r="AF25" t="s">
        <v>74</v>
      </c>
      <c r="AG25">
        <v>37</v>
      </c>
      <c r="AH25">
        <v>27</v>
      </c>
      <c r="AI25">
        <v>27</v>
      </c>
      <c r="AJ25">
        <v>2</v>
      </c>
      <c r="AK25">
        <v>27</v>
      </c>
      <c r="AL25" t="s">
        <v>626</v>
      </c>
      <c r="AM25" t="s">
        <v>583</v>
      </c>
      <c r="AN25" t="s">
        <v>627</v>
      </c>
      <c r="AO25" t="s">
        <v>585</v>
      </c>
      <c r="AP25" t="s">
        <v>586</v>
      </c>
      <c r="AQ25" t="s">
        <v>74</v>
      </c>
      <c r="AR25" t="s">
        <v>587</v>
      </c>
      <c r="AS25" t="s">
        <v>588</v>
      </c>
      <c r="AT25" t="s">
        <v>99</v>
      </c>
      <c r="AU25">
        <v>2016</v>
      </c>
      <c r="AV25">
        <v>27</v>
      </c>
      <c r="AW25" t="s">
        <v>74</v>
      </c>
      <c r="AX25" t="s">
        <v>74</v>
      </c>
      <c r="AY25" t="s">
        <v>74</v>
      </c>
      <c r="AZ25" t="s">
        <v>589</v>
      </c>
      <c r="BA25" t="s">
        <v>74</v>
      </c>
      <c r="BB25">
        <v>37</v>
      </c>
      <c r="BC25">
        <v>45</v>
      </c>
      <c r="BD25" t="s">
        <v>74</v>
      </c>
      <c r="BE25" t="s">
        <v>628</v>
      </c>
      <c r="BF25" t="str">
        <f>HYPERLINK("http://dx.doi.org/10.1016/j.margen.2016.03.004","http://dx.doi.org/10.1016/j.margen.2016.03.004")</f>
        <v>http://dx.doi.org/10.1016/j.margen.2016.03.004</v>
      </c>
      <c r="BG25" t="s">
        <v>74</v>
      </c>
      <c r="BH25" t="s">
        <v>74</v>
      </c>
      <c r="BI25">
        <v>9</v>
      </c>
      <c r="BJ25" t="s">
        <v>591</v>
      </c>
      <c r="BK25" t="s">
        <v>102</v>
      </c>
      <c r="BL25" t="s">
        <v>591</v>
      </c>
      <c r="BM25" t="s">
        <v>592</v>
      </c>
      <c r="BN25">
        <v>27037218</v>
      </c>
      <c r="BO25" t="s">
        <v>74</v>
      </c>
      <c r="BP25" t="s">
        <v>74</v>
      </c>
      <c r="BQ25" t="s">
        <v>74</v>
      </c>
      <c r="BR25" t="s">
        <v>106</v>
      </c>
      <c r="BS25" t="s">
        <v>629</v>
      </c>
      <c r="BT25" t="str">
        <f>HYPERLINK("https%3A%2F%2Fwww.webofscience.com%2Fwos%2Fwoscc%2Ffull-record%2FWOS:000379376100006","View Full Record in Web of Science")</f>
        <v>View Full Record in Web of Science</v>
      </c>
    </row>
    <row r="26" spans="1:72" x14ac:dyDescent="0.15">
      <c r="A26" t="s">
        <v>72</v>
      </c>
      <c r="B26" t="s">
        <v>630</v>
      </c>
      <c r="C26" t="s">
        <v>74</v>
      </c>
      <c r="D26" t="s">
        <v>74</v>
      </c>
      <c r="E26" t="s">
        <v>74</v>
      </c>
      <c r="F26" t="s">
        <v>631</v>
      </c>
      <c r="G26" t="s">
        <v>74</v>
      </c>
      <c r="H26" t="s">
        <v>74</v>
      </c>
      <c r="I26" t="s">
        <v>632</v>
      </c>
      <c r="J26" t="s">
        <v>572</v>
      </c>
      <c r="K26" t="s">
        <v>74</v>
      </c>
      <c r="L26" t="s">
        <v>74</v>
      </c>
      <c r="M26" t="s">
        <v>78</v>
      </c>
      <c r="N26" t="s">
        <v>79</v>
      </c>
      <c r="O26" t="s">
        <v>74</v>
      </c>
      <c r="P26" t="s">
        <v>74</v>
      </c>
      <c r="Q26" t="s">
        <v>74</v>
      </c>
      <c r="R26" t="s">
        <v>74</v>
      </c>
      <c r="S26" t="s">
        <v>74</v>
      </c>
      <c r="T26" t="s">
        <v>633</v>
      </c>
      <c r="U26" t="s">
        <v>634</v>
      </c>
      <c r="V26" t="s">
        <v>635</v>
      </c>
      <c r="W26" t="s">
        <v>636</v>
      </c>
      <c r="X26" t="s">
        <v>637</v>
      </c>
      <c r="Y26" t="s">
        <v>638</v>
      </c>
      <c r="Z26" t="s">
        <v>639</v>
      </c>
      <c r="AA26" t="s">
        <v>640</v>
      </c>
      <c r="AB26" t="s">
        <v>641</v>
      </c>
      <c r="AC26" t="s">
        <v>642</v>
      </c>
      <c r="AD26" t="s">
        <v>643</v>
      </c>
      <c r="AE26" t="s">
        <v>644</v>
      </c>
      <c r="AF26" t="s">
        <v>74</v>
      </c>
      <c r="AG26">
        <v>69</v>
      </c>
      <c r="AH26">
        <v>25</v>
      </c>
      <c r="AI26">
        <v>28</v>
      </c>
      <c r="AJ26">
        <v>0</v>
      </c>
      <c r="AK26">
        <v>10</v>
      </c>
      <c r="AL26" t="s">
        <v>626</v>
      </c>
      <c r="AM26" t="s">
        <v>583</v>
      </c>
      <c r="AN26" t="s">
        <v>627</v>
      </c>
      <c r="AO26" t="s">
        <v>585</v>
      </c>
      <c r="AP26" t="s">
        <v>586</v>
      </c>
      <c r="AQ26" t="s">
        <v>74</v>
      </c>
      <c r="AR26" t="s">
        <v>587</v>
      </c>
      <c r="AS26" t="s">
        <v>588</v>
      </c>
      <c r="AT26" t="s">
        <v>99</v>
      </c>
      <c r="AU26">
        <v>2016</v>
      </c>
      <c r="AV26">
        <v>27</v>
      </c>
      <c r="AW26" t="s">
        <v>74</v>
      </c>
      <c r="AX26" t="s">
        <v>74</v>
      </c>
      <c r="AY26" t="s">
        <v>74</v>
      </c>
      <c r="AZ26" t="s">
        <v>589</v>
      </c>
      <c r="BA26" t="s">
        <v>74</v>
      </c>
      <c r="BB26">
        <v>47</v>
      </c>
      <c r="BC26">
        <v>55</v>
      </c>
      <c r="BD26" t="s">
        <v>74</v>
      </c>
      <c r="BE26" t="s">
        <v>645</v>
      </c>
      <c r="BF26" t="str">
        <f>HYPERLINK("http://dx.doi.org/10.1016/j.margen.2016.01.003","http://dx.doi.org/10.1016/j.margen.2016.01.003")</f>
        <v>http://dx.doi.org/10.1016/j.margen.2016.01.003</v>
      </c>
      <c r="BG26" t="s">
        <v>74</v>
      </c>
      <c r="BH26" t="s">
        <v>74</v>
      </c>
      <c r="BI26">
        <v>9</v>
      </c>
      <c r="BJ26" t="s">
        <v>591</v>
      </c>
      <c r="BK26" t="s">
        <v>102</v>
      </c>
      <c r="BL26" t="s">
        <v>591</v>
      </c>
      <c r="BM26" t="s">
        <v>592</v>
      </c>
      <c r="BN26">
        <v>26777791</v>
      </c>
      <c r="BO26" t="s">
        <v>646</v>
      </c>
      <c r="BP26" t="s">
        <v>74</v>
      </c>
      <c r="BQ26" t="s">
        <v>74</v>
      </c>
      <c r="BR26" t="s">
        <v>106</v>
      </c>
      <c r="BS26" t="s">
        <v>647</v>
      </c>
      <c r="BT26" t="str">
        <f>HYPERLINK("https%3A%2F%2Fwww.webofscience.com%2Fwos%2Fwoscc%2Ffull-record%2FWOS:000379376100007","View Full Record in Web of Science")</f>
        <v>View Full Record in Web of Science</v>
      </c>
    </row>
    <row r="27" spans="1:72" x14ac:dyDescent="0.15">
      <c r="A27" t="s">
        <v>72</v>
      </c>
      <c r="B27" t="s">
        <v>648</v>
      </c>
      <c r="C27" t="s">
        <v>74</v>
      </c>
      <c r="D27" t="s">
        <v>74</v>
      </c>
      <c r="E27" t="s">
        <v>74</v>
      </c>
      <c r="F27" t="s">
        <v>649</v>
      </c>
      <c r="G27" t="s">
        <v>74</v>
      </c>
      <c r="H27" t="s">
        <v>74</v>
      </c>
      <c r="I27" t="s">
        <v>650</v>
      </c>
      <c r="J27" t="s">
        <v>572</v>
      </c>
      <c r="K27" t="s">
        <v>74</v>
      </c>
      <c r="L27" t="s">
        <v>74</v>
      </c>
      <c r="M27" t="s">
        <v>78</v>
      </c>
      <c r="N27" t="s">
        <v>79</v>
      </c>
      <c r="O27" t="s">
        <v>74</v>
      </c>
      <c r="P27" t="s">
        <v>74</v>
      </c>
      <c r="Q27" t="s">
        <v>74</v>
      </c>
      <c r="R27" t="s">
        <v>74</v>
      </c>
      <c r="S27" t="s">
        <v>74</v>
      </c>
      <c r="T27" t="s">
        <v>651</v>
      </c>
      <c r="U27" t="s">
        <v>652</v>
      </c>
      <c r="V27" t="s">
        <v>653</v>
      </c>
      <c r="W27" t="s">
        <v>654</v>
      </c>
      <c r="X27" t="s">
        <v>655</v>
      </c>
      <c r="Y27" t="s">
        <v>656</v>
      </c>
      <c r="Z27" t="s">
        <v>74</v>
      </c>
      <c r="AA27" t="s">
        <v>657</v>
      </c>
      <c r="AB27" t="s">
        <v>658</v>
      </c>
      <c r="AC27" t="s">
        <v>659</v>
      </c>
      <c r="AD27" t="s">
        <v>660</v>
      </c>
      <c r="AE27" t="s">
        <v>661</v>
      </c>
      <c r="AF27" t="s">
        <v>74</v>
      </c>
      <c r="AG27">
        <v>48</v>
      </c>
      <c r="AH27">
        <v>42</v>
      </c>
      <c r="AI27">
        <v>47</v>
      </c>
      <c r="AJ27">
        <v>1</v>
      </c>
      <c r="AK27">
        <v>48</v>
      </c>
      <c r="AL27" t="s">
        <v>626</v>
      </c>
      <c r="AM27" t="s">
        <v>583</v>
      </c>
      <c r="AN27" t="s">
        <v>627</v>
      </c>
      <c r="AO27" t="s">
        <v>585</v>
      </c>
      <c r="AP27" t="s">
        <v>586</v>
      </c>
      <c r="AQ27" t="s">
        <v>74</v>
      </c>
      <c r="AR27" t="s">
        <v>587</v>
      </c>
      <c r="AS27" t="s">
        <v>588</v>
      </c>
      <c r="AT27" t="s">
        <v>99</v>
      </c>
      <c r="AU27">
        <v>2016</v>
      </c>
      <c r="AV27">
        <v>27</v>
      </c>
      <c r="AW27" t="s">
        <v>74</v>
      </c>
      <c r="AX27" t="s">
        <v>74</v>
      </c>
      <c r="AY27" t="s">
        <v>74</v>
      </c>
      <c r="AZ27" t="s">
        <v>589</v>
      </c>
      <c r="BA27" t="s">
        <v>74</v>
      </c>
      <c r="BB27">
        <v>69</v>
      </c>
      <c r="BC27">
        <v>74</v>
      </c>
      <c r="BD27" t="s">
        <v>74</v>
      </c>
      <c r="BE27" t="s">
        <v>662</v>
      </c>
      <c r="BF27" t="str">
        <f>HYPERLINK("http://dx.doi.org/10.1016/j.margen.2016.03.005","http://dx.doi.org/10.1016/j.margen.2016.03.005")</f>
        <v>http://dx.doi.org/10.1016/j.margen.2016.03.005</v>
      </c>
      <c r="BG27" t="s">
        <v>74</v>
      </c>
      <c r="BH27" t="s">
        <v>74</v>
      </c>
      <c r="BI27">
        <v>6</v>
      </c>
      <c r="BJ27" t="s">
        <v>591</v>
      </c>
      <c r="BK27" t="s">
        <v>102</v>
      </c>
      <c r="BL27" t="s">
        <v>591</v>
      </c>
      <c r="BM27" t="s">
        <v>592</v>
      </c>
      <c r="BN27">
        <v>27068305</v>
      </c>
      <c r="BO27" t="s">
        <v>380</v>
      </c>
      <c r="BP27" t="s">
        <v>74</v>
      </c>
      <c r="BQ27" t="s">
        <v>74</v>
      </c>
      <c r="BR27" t="s">
        <v>106</v>
      </c>
      <c r="BS27" t="s">
        <v>663</v>
      </c>
      <c r="BT27" t="str">
        <f>HYPERLINK("https%3A%2F%2Fwww.webofscience.com%2Fwos%2Fwoscc%2Ffull-record%2FWOS:000379376100009","View Full Record in Web of Science")</f>
        <v>View Full Record in Web of Science</v>
      </c>
    </row>
    <row r="28" spans="1:72" x14ac:dyDescent="0.15">
      <c r="A28" t="s">
        <v>72</v>
      </c>
      <c r="B28" t="s">
        <v>664</v>
      </c>
      <c r="C28" t="s">
        <v>74</v>
      </c>
      <c r="D28" t="s">
        <v>74</v>
      </c>
      <c r="E28" t="s">
        <v>74</v>
      </c>
      <c r="F28" t="s">
        <v>665</v>
      </c>
      <c r="G28" t="s">
        <v>74</v>
      </c>
      <c r="H28" t="s">
        <v>74</v>
      </c>
      <c r="I28" t="s">
        <v>666</v>
      </c>
      <c r="J28" t="s">
        <v>667</v>
      </c>
      <c r="K28" t="s">
        <v>74</v>
      </c>
      <c r="L28" t="s">
        <v>74</v>
      </c>
      <c r="M28" t="s">
        <v>78</v>
      </c>
      <c r="N28" t="s">
        <v>79</v>
      </c>
      <c r="O28" t="s">
        <v>74</v>
      </c>
      <c r="P28" t="s">
        <v>74</v>
      </c>
      <c r="Q28" t="s">
        <v>74</v>
      </c>
      <c r="R28" t="s">
        <v>74</v>
      </c>
      <c r="S28" t="s">
        <v>74</v>
      </c>
      <c r="T28" t="s">
        <v>668</v>
      </c>
      <c r="U28" t="s">
        <v>669</v>
      </c>
      <c r="V28" t="s">
        <v>670</v>
      </c>
      <c r="W28" t="s">
        <v>671</v>
      </c>
      <c r="X28" t="s">
        <v>145</v>
      </c>
      <c r="Y28" t="s">
        <v>672</v>
      </c>
      <c r="Z28" t="s">
        <v>673</v>
      </c>
      <c r="AA28" t="s">
        <v>674</v>
      </c>
      <c r="AB28" t="s">
        <v>74</v>
      </c>
      <c r="AC28" t="s">
        <v>675</v>
      </c>
      <c r="AD28" t="s">
        <v>676</v>
      </c>
      <c r="AE28" t="s">
        <v>677</v>
      </c>
      <c r="AF28" t="s">
        <v>74</v>
      </c>
      <c r="AG28">
        <v>60</v>
      </c>
      <c r="AH28">
        <v>24</v>
      </c>
      <c r="AI28">
        <v>25</v>
      </c>
      <c r="AJ28">
        <v>0</v>
      </c>
      <c r="AK28">
        <v>29</v>
      </c>
      <c r="AL28" t="s">
        <v>678</v>
      </c>
      <c r="AM28" t="s">
        <v>679</v>
      </c>
      <c r="AN28" t="s">
        <v>680</v>
      </c>
      <c r="AO28" t="s">
        <v>681</v>
      </c>
      <c r="AP28" t="s">
        <v>682</v>
      </c>
      <c r="AQ28" t="s">
        <v>74</v>
      </c>
      <c r="AR28" t="s">
        <v>683</v>
      </c>
      <c r="AS28" t="s">
        <v>684</v>
      </c>
      <c r="AT28" t="s">
        <v>99</v>
      </c>
      <c r="AU28">
        <v>2016</v>
      </c>
      <c r="AV28">
        <v>68</v>
      </c>
      <c r="AW28" t="s">
        <v>74</v>
      </c>
      <c r="AX28" t="s">
        <v>74</v>
      </c>
      <c r="AY28" t="s">
        <v>74</v>
      </c>
      <c r="AZ28" t="s">
        <v>74</v>
      </c>
      <c r="BA28" t="s">
        <v>74</v>
      </c>
      <c r="BB28">
        <v>205</v>
      </c>
      <c r="BC28">
        <v>211</v>
      </c>
      <c r="BD28" t="s">
        <v>74</v>
      </c>
      <c r="BE28" t="s">
        <v>685</v>
      </c>
      <c r="BF28" t="str">
        <f>HYPERLINK("http://dx.doi.org/10.1016/j.marpol.2016.03.006","http://dx.doi.org/10.1016/j.marpol.2016.03.006")</f>
        <v>http://dx.doi.org/10.1016/j.marpol.2016.03.006</v>
      </c>
      <c r="BG28" t="s">
        <v>74</v>
      </c>
      <c r="BH28" t="s">
        <v>74</v>
      </c>
      <c r="BI28">
        <v>7</v>
      </c>
      <c r="BJ28" t="s">
        <v>686</v>
      </c>
      <c r="BK28" t="s">
        <v>687</v>
      </c>
      <c r="BL28" t="s">
        <v>688</v>
      </c>
      <c r="BM28" t="s">
        <v>689</v>
      </c>
      <c r="BN28" t="s">
        <v>74</v>
      </c>
      <c r="BO28" t="s">
        <v>646</v>
      </c>
      <c r="BP28" t="s">
        <v>74</v>
      </c>
      <c r="BQ28" t="s">
        <v>74</v>
      </c>
      <c r="BR28" t="s">
        <v>106</v>
      </c>
      <c r="BS28" t="s">
        <v>690</v>
      </c>
      <c r="BT28" t="str">
        <f>HYPERLINK("https%3A%2F%2Fwww.webofscience.com%2Fwos%2Fwoscc%2Ffull-record%2FWOS:000375519300023","View Full Record in Web of Science")</f>
        <v>View Full Record in Web of Science</v>
      </c>
    </row>
    <row r="29" spans="1:72" x14ac:dyDescent="0.15">
      <c r="A29" t="s">
        <v>72</v>
      </c>
      <c r="B29" t="s">
        <v>691</v>
      </c>
      <c r="C29" t="s">
        <v>74</v>
      </c>
      <c r="D29" t="s">
        <v>74</v>
      </c>
      <c r="E29" t="s">
        <v>74</v>
      </c>
      <c r="F29" t="s">
        <v>692</v>
      </c>
      <c r="G29" t="s">
        <v>74</v>
      </c>
      <c r="H29" t="s">
        <v>74</v>
      </c>
      <c r="I29" t="s">
        <v>693</v>
      </c>
      <c r="J29" t="s">
        <v>667</v>
      </c>
      <c r="K29" t="s">
        <v>74</v>
      </c>
      <c r="L29" t="s">
        <v>74</v>
      </c>
      <c r="M29" t="s">
        <v>78</v>
      </c>
      <c r="N29" t="s">
        <v>79</v>
      </c>
      <c r="O29" t="s">
        <v>74</v>
      </c>
      <c r="P29" t="s">
        <v>74</v>
      </c>
      <c r="Q29" t="s">
        <v>74</v>
      </c>
      <c r="R29" t="s">
        <v>74</v>
      </c>
      <c r="S29" t="s">
        <v>74</v>
      </c>
      <c r="T29" t="s">
        <v>694</v>
      </c>
      <c r="U29" t="s">
        <v>695</v>
      </c>
      <c r="V29" t="s">
        <v>696</v>
      </c>
      <c r="W29" t="s">
        <v>697</v>
      </c>
      <c r="X29" t="s">
        <v>698</v>
      </c>
      <c r="Y29" t="s">
        <v>699</v>
      </c>
      <c r="Z29" t="s">
        <v>700</v>
      </c>
      <c r="AA29" t="s">
        <v>701</v>
      </c>
      <c r="AB29" t="s">
        <v>702</v>
      </c>
      <c r="AC29" t="s">
        <v>703</v>
      </c>
      <c r="AD29" t="s">
        <v>704</v>
      </c>
      <c r="AE29" t="s">
        <v>705</v>
      </c>
      <c r="AF29" t="s">
        <v>74</v>
      </c>
      <c r="AG29">
        <v>81</v>
      </c>
      <c r="AH29">
        <v>30</v>
      </c>
      <c r="AI29">
        <v>32</v>
      </c>
      <c r="AJ29">
        <v>0</v>
      </c>
      <c r="AK29">
        <v>47</v>
      </c>
      <c r="AL29" t="s">
        <v>678</v>
      </c>
      <c r="AM29" t="s">
        <v>679</v>
      </c>
      <c r="AN29" t="s">
        <v>680</v>
      </c>
      <c r="AO29" t="s">
        <v>681</v>
      </c>
      <c r="AP29" t="s">
        <v>682</v>
      </c>
      <c r="AQ29" t="s">
        <v>74</v>
      </c>
      <c r="AR29" t="s">
        <v>683</v>
      </c>
      <c r="AS29" t="s">
        <v>684</v>
      </c>
      <c r="AT29" t="s">
        <v>99</v>
      </c>
      <c r="AU29">
        <v>2016</v>
      </c>
      <c r="AV29">
        <v>68</v>
      </c>
      <c r="AW29" t="s">
        <v>74</v>
      </c>
      <c r="AX29" t="s">
        <v>74</v>
      </c>
      <c r="AY29" t="s">
        <v>74</v>
      </c>
      <c r="AZ29" t="s">
        <v>74</v>
      </c>
      <c r="BA29" t="s">
        <v>74</v>
      </c>
      <c r="BB29">
        <v>212</v>
      </c>
      <c r="BC29">
        <v>220</v>
      </c>
      <c r="BD29" t="s">
        <v>74</v>
      </c>
      <c r="BE29" t="s">
        <v>706</v>
      </c>
      <c r="BF29" t="str">
        <f>HYPERLINK("http://dx.doi.org/10.1016/j.marpol.2016.02.015","http://dx.doi.org/10.1016/j.marpol.2016.02.015")</f>
        <v>http://dx.doi.org/10.1016/j.marpol.2016.02.015</v>
      </c>
      <c r="BG29" t="s">
        <v>74</v>
      </c>
      <c r="BH29" t="s">
        <v>74</v>
      </c>
      <c r="BI29">
        <v>9</v>
      </c>
      <c r="BJ29" t="s">
        <v>686</v>
      </c>
      <c r="BK29" t="s">
        <v>687</v>
      </c>
      <c r="BL29" t="s">
        <v>688</v>
      </c>
      <c r="BM29" t="s">
        <v>689</v>
      </c>
      <c r="BN29" t="s">
        <v>74</v>
      </c>
      <c r="BO29" t="s">
        <v>74</v>
      </c>
      <c r="BP29" t="s">
        <v>74</v>
      </c>
      <c r="BQ29" t="s">
        <v>74</v>
      </c>
      <c r="BR29" t="s">
        <v>106</v>
      </c>
      <c r="BS29" t="s">
        <v>707</v>
      </c>
      <c r="BT29" t="str">
        <f>HYPERLINK("https%3A%2F%2Fwww.webofscience.com%2Fwos%2Fwoscc%2Ffull-record%2FWOS:000375519300024","View Full Record in Web of Science")</f>
        <v>View Full Record in Web of Science</v>
      </c>
    </row>
    <row r="30" spans="1:72" x14ac:dyDescent="0.15">
      <c r="A30" t="s">
        <v>72</v>
      </c>
      <c r="B30" t="s">
        <v>708</v>
      </c>
      <c r="C30" t="s">
        <v>74</v>
      </c>
      <c r="D30" t="s">
        <v>74</v>
      </c>
      <c r="E30" t="s">
        <v>74</v>
      </c>
      <c r="F30" t="s">
        <v>709</v>
      </c>
      <c r="G30" t="s">
        <v>74</v>
      </c>
      <c r="H30" t="s">
        <v>74</v>
      </c>
      <c r="I30" t="s">
        <v>710</v>
      </c>
      <c r="J30" t="s">
        <v>711</v>
      </c>
      <c r="K30" t="s">
        <v>74</v>
      </c>
      <c r="L30" t="s">
        <v>74</v>
      </c>
      <c r="M30" t="s">
        <v>78</v>
      </c>
      <c r="N30" t="s">
        <v>79</v>
      </c>
      <c r="O30" t="s">
        <v>74</v>
      </c>
      <c r="P30" t="s">
        <v>74</v>
      </c>
      <c r="Q30" t="s">
        <v>74</v>
      </c>
      <c r="R30" t="s">
        <v>74</v>
      </c>
      <c r="S30" t="s">
        <v>74</v>
      </c>
      <c r="T30" t="s">
        <v>74</v>
      </c>
      <c r="U30" t="s">
        <v>712</v>
      </c>
      <c r="V30" t="s">
        <v>713</v>
      </c>
      <c r="W30" t="s">
        <v>714</v>
      </c>
      <c r="X30" t="s">
        <v>715</v>
      </c>
      <c r="Y30" t="s">
        <v>716</v>
      </c>
      <c r="Z30" t="s">
        <v>717</v>
      </c>
      <c r="AA30" t="s">
        <v>74</v>
      </c>
      <c r="AB30" t="s">
        <v>74</v>
      </c>
      <c r="AC30" t="s">
        <v>718</v>
      </c>
      <c r="AD30" t="s">
        <v>719</v>
      </c>
      <c r="AE30" t="s">
        <v>720</v>
      </c>
      <c r="AF30" t="s">
        <v>74</v>
      </c>
      <c r="AG30">
        <v>54</v>
      </c>
      <c r="AH30">
        <v>25</v>
      </c>
      <c r="AI30">
        <v>27</v>
      </c>
      <c r="AJ30">
        <v>0</v>
      </c>
      <c r="AK30">
        <v>7</v>
      </c>
      <c r="AL30" t="s">
        <v>721</v>
      </c>
      <c r="AM30" t="s">
        <v>125</v>
      </c>
      <c r="AN30" t="s">
        <v>126</v>
      </c>
      <c r="AO30" t="s">
        <v>722</v>
      </c>
      <c r="AP30" t="s">
        <v>723</v>
      </c>
      <c r="AQ30" t="s">
        <v>74</v>
      </c>
      <c r="AR30" t="s">
        <v>724</v>
      </c>
      <c r="AS30" t="s">
        <v>725</v>
      </c>
      <c r="AT30" t="s">
        <v>99</v>
      </c>
      <c r="AU30">
        <v>2016</v>
      </c>
      <c r="AV30">
        <v>51</v>
      </c>
      <c r="AW30">
        <v>6</v>
      </c>
      <c r="AX30" t="s">
        <v>74</v>
      </c>
      <c r="AY30" t="s">
        <v>74</v>
      </c>
      <c r="AZ30" t="s">
        <v>74</v>
      </c>
      <c r="BA30" t="s">
        <v>74</v>
      </c>
      <c r="BB30">
        <v>1063</v>
      </c>
      <c r="BC30">
        <v>1081</v>
      </c>
      <c r="BD30" t="s">
        <v>74</v>
      </c>
      <c r="BE30" t="s">
        <v>726</v>
      </c>
      <c r="BF30" t="str">
        <f>HYPERLINK("http://dx.doi.org/10.1111/maps.12645","http://dx.doi.org/10.1111/maps.12645")</f>
        <v>http://dx.doi.org/10.1111/maps.12645</v>
      </c>
      <c r="BG30" t="s">
        <v>74</v>
      </c>
      <c r="BH30" t="s">
        <v>74</v>
      </c>
      <c r="BI30">
        <v>19</v>
      </c>
      <c r="BJ30" t="s">
        <v>727</v>
      </c>
      <c r="BK30" t="s">
        <v>102</v>
      </c>
      <c r="BL30" t="s">
        <v>727</v>
      </c>
      <c r="BM30" t="s">
        <v>728</v>
      </c>
      <c r="BN30" t="s">
        <v>74</v>
      </c>
      <c r="BO30" t="s">
        <v>729</v>
      </c>
      <c r="BP30" t="s">
        <v>74</v>
      </c>
      <c r="BQ30" t="s">
        <v>74</v>
      </c>
      <c r="BR30" t="s">
        <v>106</v>
      </c>
      <c r="BS30" t="s">
        <v>730</v>
      </c>
      <c r="BT30" t="str">
        <f>HYPERLINK("https%3A%2F%2Fwww.webofscience.com%2Fwos%2Fwoscc%2Ffull-record%2FWOS:000380273400004","View Full Record in Web of Science")</f>
        <v>View Full Record in Web of Science</v>
      </c>
    </row>
    <row r="31" spans="1:72" x14ac:dyDescent="0.15">
      <c r="A31" t="s">
        <v>72</v>
      </c>
      <c r="B31" t="s">
        <v>731</v>
      </c>
      <c r="C31" t="s">
        <v>74</v>
      </c>
      <c r="D31" t="s">
        <v>74</v>
      </c>
      <c r="E31" t="s">
        <v>74</v>
      </c>
      <c r="F31" t="s">
        <v>732</v>
      </c>
      <c r="G31" t="s">
        <v>74</v>
      </c>
      <c r="H31" t="s">
        <v>74</v>
      </c>
      <c r="I31" t="s">
        <v>733</v>
      </c>
      <c r="J31" t="s">
        <v>734</v>
      </c>
      <c r="K31" t="s">
        <v>74</v>
      </c>
      <c r="L31" t="s">
        <v>74</v>
      </c>
      <c r="M31" t="s">
        <v>78</v>
      </c>
      <c r="N31" t="s">
        <v>79</v>
      </c>
      <c r="O31" t="s">
        <v>74</v>
      </c>
      <c r="P31" t="s">
        <v>74</v>
      </c>
      <c r="Q31" t="s">
        <v>74</v>
      </c>
      <c r="R31" t="s">
        <v>74</v>
      </c>
      <c r="S31" t="s">
        <v>74</v>
      </c>
      <c r="T31" t="s">
        <v>74</v>
      </c>
      <c r="U31" t="s">
        <v>735</v>
      </c>
      <c r="V31" t="s">
        <v>736</v>
      </c>
      <c r="W31" t="s">
        <v>737</v>
      </c>
      <c r="X31" t="s">
        <v>738</v>
      </c>
      <c r="Y31" t="s">
        <v>739</v>
      </c>
      <c r="Z31" t="s">
        <v>740</v>
      </c>
      <c r="AA31" t="s">
        <v>741</v>
      </c>
      <c r="AB31" t="s">
        <v>742</v>
      </c>
      <c r="AC31" t="s">
        <v>743</v>
      </c>
      <c r="AD31" t="s">
        <v>744</v>
      </c>
      <c r="AE31" t="s">
        <v>745</v>
      </c>
      <c r="AF31" t="s">
        <v>74</v>
      </c>
      <c r="AG31">
        <v>70</v>
      </c>
      <c r="AH31">
        <v>35</v>
      </c>
      <c r="AI31">
        <v>37</v>
      </c>
      <c r="AJ31">
        <v>2</v>
      </c>
      <c r="AK31">
        <v>100</v>
      </c>
      <c r="AL31" t="s">
        <v>746</v>
      </c>
      <c r="AM31" t="s">
        <v>747</v>
      </c>
      <c r="AN31" t="s">
        <v>748</v>
      </c>
      <c r="AO31" t="s">
        <v>74</v>
      </c>
      <c r="AP31" t="s">
        <v>749</v>
      </c>
      <c r="AQ31" t="s">
        <v>74</v>
      </c>
      <c r="AR31" t="s">
        <v>750</v>
      </c>
      <c r="AS31" t="s">
        <v>751</v>
      </c>
      <c r="AT31" t="s">
        <v>99</v>
      </c>
      <c r="AU31">
        <v>2016</v>
      </c>
      <c r="AV31">
        <v>7</v>
      </c>
      <c r="AW31" t="s">
        <v>74</v>
      </c>
      <c r="AX31" t="s">
        <v>74</v>
      </c>
      <c r="AY31" t="s">
        <v>74</v>
      </c>
      <c r="AZ31" t="s">
        <v>74</v>
      </c>
      <c r="BA31" t="s">
        <v>74</v>
      </c>
      <c r="BB31" t="s">
        <v>74</v>
      </c>
      <c r="BC31" t="s">
        <v>74</v>
      </c>
      <c r="BD31">
        <v>11842</v>
      </c>
      <c r="BE31" t="s">
        <v>752</v>
      </c>
      <c r="BF31" t="str">
        <f>HYPERLINK("http://dx.doi.org/10.1038/ncomms11842","http://dx.doi.org/10.1038/ncomms11842")</f>
        <v>http://dx.doi.org/10.1038/ncomms11842</v>
      </c>
      <c r="BG31" t="s">
        <v>74</v>
      </c>
      <c r="BH31" t="s">
        <v>74</v>
      </c>
      <c r="BI31">
        <v>9</v>
      </c>
      <c r="BJ31" t="s">
        <v>753</v>
      </c>
      <c r="BK31" t="s">
        <v>102</v>
      </c>
      <c r="BL31" t="s">
        <v>754</v>
      </c>
      <c r="BM31" t="s">
        <v>755</v>
      </c>
      <c r="BN31">
        <v>27296726</v>
      </c>
      <c r="BO31" t="s">
        <v>756</v>
      </c>
      <c r="BP31" t="s">
        <v>74</v>
      </c>
      <c r="BQ31" t="s">
        <v>74</v>
      </c>
      <c r="BR31" t="s">
        <v>106</v>
      </c>
      <c r="BS31" t="s">
        <v>757</v>
      </c>
      <c r="BT31" t="str">
        <f>HYPERLINK("https%3A%2F%2Fwww.webofscience.com%2Fwos%2Fwoscc%2Ffull-record%2FWOS:000378678500001","View Full Record in Web of Science")</f>
        <v>View Full Record in Web of Science</v>
      </c>
    </row>
    <row r="32" spans="1:72" x14ac:dyDescent="0.15">
      <c r="A32" t="s">
        <v>72</v>
      </c>
      <c r="B32" t="s">
        <v>758</v>
      </c>
      <c r="C32" t="s">
        <v>74</v>
      </c>
      <c r="D32" t="s">
        <v>74</v>
      </c>
      <c r="E32" t="s">
        <v>74</v>
      </c>
      <c r="F32" t="s">
        <v>759</v>
      </c>
      <c r="G32" t="s">
        <v>74</v>
      </c>
      <c r="H32" t="s">
        <v>74</v>
      </c>
      <c r="I32" t="s">
        <v>760</v>
      </c>
      <c r="J32" t="s">
        <v>734</v>
      </c>
      <c r="K32" t="s">
        <v>74</v>
      </c>
      <c r="L32" t="s">
        <v>74</v>
      </c>
      <c r="M32" t="s">
        <v>78</v>
      </c>
      <c r="N32" t="s">
        <v>79</v>
      </c>
      <c r="O32" t="s">
        <v>74</v>
      </c>
      <c r="P32" t="s">
        <v>74</v>
      </c>
      <c r="Q32" t="s">
        <v>74</v>
      </c>
      <c r="R32" t="s">
        <v>74</v>
      </c>
      <c r="S32" t="s">
        <v>74</v>
      </c>
      <c r="T32" t="s">
        <v>74</v>
      </c>
      <c r="U32" t="s">
        <v>761</v>
      </c>
      <c r="V32" t="s">
        <v>762</v>
      </c>
      <c r="W32" t="s">
        <v>763</v>
      </c>
      <c r="X32" t="s">
        <v>764</v>
      </c>
      <c r="Y32" t="s">
        <v>765</v>
      </c>
      <c r="Z32" t="s">
        <v>766</v>
      </c>
      <c r="AA32" t="s">
        <v>767</v>
      </c>
      <c r="AB32" t="s">
        <v>768</v>
      </c>
      <c r="AC32" t="s">
        <v>769</v>
      </c>
      <c r="AD32" t="s">
        <v>770</v>
      </c>
      <c r="AE32" t="s">
        <v>771</v>
      </c>
      <c r="AF32" t="s">
        <v>74</v>
      </c>
      <c r="AG32">
        <v>36</v>
      </c>
      <c r="AH32">
        <v>61</v>
      </c>
      <c r="AI32">
        <v>68</v>
      </c>
      <c r="AJ32">
        <v>1</v>
      </c>
      <c r="AK32">
        <v>28</v>
      </c>
      <c r="AL32" t="s">
        <v>772</v>
      </c>
      <c r="AM32" t="s">
        <v>773</v>
      </c>
      <c r="AN32" t="s">
        <v>774</v>
      </c>
      <c r="AO32" t="s">
        <v>749</v>
      </c>
      <c r="AP32" t="s">
        <v>74</v>
      </c>
      <c r="AQ32" t="s">
        <v>74</v>
      </c>
      <c r="AR32" t="s">
        <v>750</v>
      </c>
      <c r="AS32" t="s">
        <v>751</v>
      </c>
      <c r="AT32" t="s">
        <v>99</v>
      </c>
      <c r="AU32">
        <v>2016</v>
      </c>
      <c r="AV32">
        <v>7</v>
      </c>
      <c r="AW32" t="s">
        <v>74</v>
      </c>
      <c r="AX32" t="s">
        <v>74</v>
      </c>
      <c r="AY32" t="s">
        <v>74</v>
      </c>
      <c r="AZ32" t="s">
        <v>74</v>
      </c>
      <c r="BA32" t="s">
        <v>74</v>
      </c>
      <c r="BB32" t="s">
        <v>74</v>
      </c>
      <c r="BC32" t="s">
        <v>74</v>
      </c>
      <c r="BD32">
        <v>11897</v>
      </c>
      <c r="BE32" t="s">
        <v>775</v>
      </c>
      <c r="BF32" t="str">
        <f>HYPERLINK("http://dx.doi.org/10.1038/ncomms11897","http://dx.doi.org/10.1038/ncomms11897")</f>
        <v>http://dx.doi.org/10.1038/ncomms11897</v>
      </c>
      <c r="BG32" t="s">
        <v>74</v>
      </c>
      <c r="BH32" t="s">
        <v>74</v>
      </c>
      <c r="BI32">
        <v>6</v>
      </c>
      <c r="BJ32" t="s">
        <v>753</v>
      </c>
      <c r="BK32" t="s">
        <v>102</v>
      </c>
      <c r="BL32" t="s">
        <v>754</v>
      </c>
      <c r="BM32" t="s">
        <v>776</v>
      </c>
      <c r="BN32">
        <v>27283778</v>
      </c>
      <c r="BO32" t="s">
        <v>777</v>
      </c>
      <c r="BP32" t="s">
        <v>74</v>
      </c>
      <c r="BQ32" t="s">
        <v>74</v>
      </c>
      <c r="BR32" t="s">
        <v>106</v>
      </c>
      <c r="BS32" t="s">
        <v>778</v>
      </c>
      <c r="BT32" t="str">
        <f>HYPERLINK("https%3A%2F%2Fwww.webofscience.com%2Fwos%2Fwoscc%2Ffull-record%2FWOS:000378008500001","View Full Record in Web of Science")</f>
        <v>View Full Record in Web of Science</v>
      </c>
    </row>
    <row r="33" spans="1:72" x14ac:dyDescent="0.15">
      <c r="A33" t="s">
        <v>72</v>
      </c>
      <c r="B33" t="s">
        <v>779</v>
      </c>
      <c r="C33" t="s">
        <v>74</v>
      </c>
      <c r="D33" t="s">
        <v>74</v>
      </c>
      <c r="E33" t="s">
        <v>74</v>
      </c>
      <c r="F33" t="s">
        <v>780</v>
      </c>
      <c r="G33" t="s">
        <v>74</v>
      </c>
      <c r="H33" t="s">
        <v>74</v>
      </c>
      <c r="I33" t="s">
        <v>781</v>
      </c>
      <c r="J33" t="s">
        <v>734</v>
      </c>
      <c r="K33" t="s">
        <v>74</v>
      </c>
      <c r="L33" t="s">
        <v>74</v>
      </c>
      <c r="M33" t="s">
        <v>78</v>
      </c>
      <c r="N33" t="s">
        <v>79</v>
      </c>
      <c r="O33" t="s">
        <v>74</v>
      </c>
      <c r="P33" t="s">
        <v>74</v>
      </c>
      <c r="Q33" t="s">
        <v>74</v>
      </c>
      <c r="R33" t="s">
        <v>74</v>
      </c>
      <c r="S33" t="s">
        <v>74</v>
      </c>
      <c r="T33" t="s">
        <v>74</v>
      </c>
      <c r="U33" t="s">
        <v>782</v>
      </c>
      <c r="V33" t="s">
        <v>783</v>
      </c>
      <c r="W33" t="s">
        <v>784</v>
      </c>
      <c r="X33" t="s">
        <v>785</v>
      </c>
      <c r="Y33" t="s">
        <v>786</v>
      </c>
      <c r="Z33" t="s">
        <v>787</v>
      </c>
      <c r="AA33" t="s">
        <v>788</v>
      </c>
      <c r="AB33" t="s">
        <v>789</v>
      </c>
      <c r="AC33" t="s">
        <v>790</v>
      </c>
      <c r="AD33" t="s">
        <v>791</v>
      </c>
      <c r="AE33" t="s">
        <v>792</v>
      </c>
      <c r="AF33" t="s">
        <v>74</v>
      </c>
      <c r="AG33">
        <v>53</v>
      </c>
      <c r="AH33">
        <v>14</v>
      </c>
      <c r="AI33">
        <v>14</v>
      </c>
      <c r="AJ33">
        <v>2</v>
      </c>
      <c r="AK33">
        <v>18</v>
      </c>
      <c r="AL33" t="s">
        <v>772</v>
      </c>
      <c r="AM33" t="s">
        <v>773</v>
      </c>
      <c r="AN33" t="s">
        <v>774</v>
      </c>
      <c r="AO33" t="s">
        <v>749</v>
      </c>
      <c r="AP33" t="s">
        <v>74</v>
      </c>
      <c r="AQ33" t="s">
        <v>74</v>
      </c>
      <c r="AR33" t="s">
        <v>750</v>
      </c>
      <c r="AS33" t="s">
        <v>751</v>
      </c>
      <c r="AT33" t="s">
        <v>99</v>
      </c>
      <c r="AU33">
        <v>2016</v>
      </c>
      <c r="AV33">
        <v>7</v>
      </c>
      <c r="AW33" t="s">
        <v>74</v>
      </c>
      <c r="AX33" t="s">
        <v>74</v>
      </c>
      <c r="AY33" t="s">
        <v>74</v>
      </c>
      <c r="AZ33" t="s">
        <v>74</v>
      </c>
      <c r="BA33" t="s">
        <v>74</v>
      </c>
      <c r="BB33" t="s">
        <v>74</v>
      </c>
      <c r="BC33" t="s">
        <v>74</v>
      </c>
      <c r="BD33">
        <v>11970</v>
      </c>
      <c r="BE33" t="s">
        <v>793</v>
      </c>
      <c r="BF33" t="str">
        <f>HYPERLINK("http://dx.doi.org/10.1038/ncomms11970","http://dx.doi.org/10.1038/ncomms11970")</f>
        <v>http://dx.doi.org/10.1038/ncomms11970</v>
      </c>
      <c r="BG33" t="s">
        <v>74</v>
      </c>
      <c r="BH33" t="s">
        <v>74</v>
      </c>
      <c r="BI33">
        <v>8</v>
      </c>
      <c r="BJ33" t="s">
        <v>753</v>
      </c>
      <c r="BK33" t="s">
        <v>102</v>
      </c>
      <c r="BL33" t="s">
        <v>754</v>
      </c>
      <c r="BM33" t="s">
        <v>794</v>
      </c>
      <c r="BN33">
        <v>27311937</v>
      </c>
      <c r="BO33" t="s">
        <v>795</v>
      </c>
      <c r="BP33" t="s">
        <v>74</v>
      </c>
      <c r="BQ33" t="s">
        <v>74</v>
      </c>
      <c r="BR33" t="s">
        <v>106</v>
      </c>
      <c r="BS33" t="s">
        <v>796</v>
      </c>
      <c r="BT33" t="str">
        <f>HYPERLINK("https%3A%2F%2Fwww.webofscience.com%2Fwos%2Fwoscc%2Ffull-record%2FWOS:000379087400001","View Full Record in Web of Science")</f>
        <v>View Full Record in Web of Science</v>
      </c>
    </row>
    <row r="34" spans="1:72" x14ac:dyDescent="0.15">
      <c r="A34" t="s">
        <v>72</v>
      </c>
      <c r="B34" t="s">
        <v>797</v>
      </c>
      <c r="C34" t="s">
        <v>74</v>
      </c>
      <c r="D34" t="s">
        <v>74</v>
      </c>
      <c r="E34" t="s">
        <v>74</v>
      </c>
      <c r="F34" t="s">
        <v>798</v>
      </c>
      <c r="G34" t="s">
        <v>74</v>
      </c>
      <c r="H34" t="s">
        <v>74</v>
      </c>
      <c r="I34" t="s">
        <v>799</v>
      </c>
      <c r="J34" t="s">
        <v>800</v>
      </c>
      <c r="K34" t="s">
        <v>74</v>
      </c>
      <c r="L34" t="s">
        <v>74</v>
      </c>
      <c r="M34" t="s">
        <v>78</v>
      </c>
      <c r="N34" t="s">
        <v>79</v>
      </c>
      <c r="O34" t="s">
        <v>74</v>
      </c>
      <c r="P34" t="s">
        <v>74</v>
      </c>
      <c r="Q34" t="s">
        <v>74</v>
      </c>
      <c r="R34" t="s">
        <v>74</v>
      </c>
      <c r="S34" t="s">
        <v>74</v>
      </c>
      <c r="T34" t="s">
        <v>74</v>
      </c>
      <c r="U34" t="s">
        <v>801</v>
      </c>
      <c r="V34" t="s">
        <v>802</v>
      </c>
      <c r="W34" t="s">
        <v>803</v>
      </c>
      <c r="X34" t="s">
        <v>804</v>
      </c>
      <c r="Y34" t="s">
        <v>805</v>
      </c>
      <c r="Z34" t="s">
        <v>806</v>
      </c>
      <c r="AA34" t="s">
        <v>807</v>
      </c>
      <c r="AB34" t="s">
        <v>808</v>
      </c>
      <c r="AC34" t="s">
        <v>809</v>
      </c>
      <c r="AD34" t="s">
        <v>810</v>
      </c>
      <c r="AE34" t="s">
        <v>811</v>
      </c>
      <c r="AF34" t="s">
        <v>74</v>
      </c>
      <c r="AG34">
        <v>54</v>
      </c>
      <c r="AH34">
        <v>7</v>
      </c>
      <c r="AI34">
        <v>8</v>
      </c>
      <c r="AJ34">
        <v>0</v>
      </c>
      <c r="AK34">
        <v>11</v>
      </c>
      <c r="AL34" t="s">
        <v>812</v>
      </c>
      <c r="AM34" t="s">
        <v>813</v>
      </c>
      <c r="AN34" t="s">
        <v>814</v>
      </c>
      <c r="AO34" t="s">
        <v>815</v>
      </c>
      <c r="AP34" t="s">
        <v>74</v>
      </c>
      <c r="AQ34" t="s">
        <v>74</v>
      </c>
      <c r="AR34" t="s">
        <v>800</v>
      </c>
      <c r="AS34" t="s">
        <v>361</v>
      </c>
      <c r="AT34" t="s">
        <v>99</v>
      </c>
      <c r="AU34">
        <v>2016</v>
      </c>
      <c r="AV34">
        <v>29</v>
      </c>
      <c r="AW34">
        <v>2</v>
      </c>
      <c r="AX34" t="s">
        <v>74</v>
      </c>
      <c r="AY34" t="s">
        <v>74</v>
      </c>
      <c r="AZ34" t="s">
        <v>589</v>
      </c>
      <c r="BA34" t="s">
        <v>74</v>
      </c>
      <c r="BB34">
        <v>254</v>
      </c>
      <c r="BC34">
        <v>263</v>
      </c>
      <c r="BD34" t="s">
        <v>74</v>
      </c>
      <c r="BE34" t="s">
        <v>816</v>
      </c>
      <c r="BF34" t="str">
        <f>HYPERLINK("http://dx.doi.org/10.5670/oceanog.2016.30","http://dx.doi.org/10.5670/oceanog.2016.30")</f>
        <v>http://dx.doi.org/10.5670/oceanog.2016.30</v>
      </c>
      <c r="BG34" t="s">
        <v>74</v>
      </c>
      <c r="BH34" t="s">
        <v>74</v>
      </c>
      <c r="BI34">
        <v>10</v>
      </c>
      <c r="BJ34" t="s">
        <v>361</v>
      </c>
      <c r="BK34" t="s">
        <v>102</v>
      </c>
      <c r="BL34" t="s">
        <v>361</v>
      </c>
      <c r="BM34" t="s">
        <v>817</v>
      </c>
      <c r="BN34" t="s">
        <v>74</v>
      </c>
      <c r="BO34" t="s">
        <v>818</v>
      </c>
      <c r="BP34" t="s">
        <v>74</v>
      </c>
      <c r="BQ34" t="s">
        <v>74</v>
      </c>
      <c r="BR34" t="s">
        <v>106</v>
      </c>
      <c r="BS34" t="s">
        <v>819</v>
      </c>
      <c r="BT34" t="str">
        <f>HYPERLINK("https%3A%2F%2Fwww.webofscience.com%2Fwos%2Fwoscc%2Ffull-record%2FWOS:000380572500028","View Full Record in Web of Science")</f>
        <v>View Full Record in Web of Science</v>
      </c>
    </row>
    <row r="35" spans="1:72" x14ac:dyDescent="0.15">
      <c r="A35" t="s">
        <v>72</v>
      </c>
      <c r="B35" t="s">
        <v>820</v>
      </c>
      <c r="C35" t="s">
        <v>74</v>
      </c>
      <c r="D35" t="s">
        <v>74</v>
      </c>
      <c r="E35" t="s">
        <v>74</v>
      </c>
      <c r="F35" t="s">
        <v>821</v>
      </c>
      <c r="G35" t="s">
        <v>74</v>
      </c>
      <c r="H35" t="s">
        <v>74</v>
      </c>
      <c r="I35" t="s">
        <v>822</v>
      </c>
      <c r="J35" t="s">
        <v>823</v>
      </c>
      <c r="K35" t="s">
        <v>74</v>
      </c>
      <c r="L35" t="s">
        <v>74</v>
      </c>
      <c r="M35" t="s">
        <v>78</v>
      </c>
      <c r="N35" t="s">
        <v>79</v>
      </c>
      <c r="O35" t="s">
        <v>74</v>
      </c>
      <c r="P35" t="s">
        <v>74</v>
      </c>
      <c r="Q35" t="s">
        <v>74</v>
      </c>
      <c r="R35" t="s">
        <v>74</v>
      </c>
      <c r="S35" t="s">
        <v>74</v>
      </c>
      <c r="T35" t="s">
        <v>824</v>
      </c>
      <c r="U35" t="s">
        <v>825</v>
      </c>
      <c r="V35" t="s">
        <v>826</v>
      </c>
      <c r="W35" t="s">
        <v>827</v>
      </c>
      <c r="X35" t="s">
        <v>828</v>
      </c>
      <c r="Y35" t="s">
        <v>829</v>
      </c>
      <c r="Z35" t="s">
        <v>830</v>
      </c>
      <c r="AA35" t="s">
        <v>831</v>
      </c>
      <c r="AB35" t="s">
        <v>832</v>
      </c>
      <c r="AC35" t="s">
        <v>833</v>
      </c>
      <c r="AD35" t="s">
        <v>833</v>
      </c>
      <c r="AE35" t="s">
        <v>834</v>
      </c>
      <c r="AF35" t="s">
        <v>74</v>
      </c>
      <c r="AG35">
        <v>55</v>
      </c>
      <c r="AH35">
        <v>23</v>
      </c>
      <c r="AI35">
        <v>26</v>
      </c>
      <c r="AJ35">
        <v>4</v>
      </c>
      <c r="AK35">
        <v>30</v>
      </c>
      <c r="AL35" t="s">
        <v>92</v>
      </c>
      <c r="AM35" t="s">
        <v>93</v>
      </c>
      <c r="AN35" t="s">
        <v>94</v>
      </c>
      <c r="AO35" t="s">
        <v>835</v>
      </c>
      <c r="AP35" t="s">
        <v>836</v>
      </c>
      <c r="AQ35" t="s">
        <v>74</v>
      </c>
      <c r="AR35" t="s">
        <v>823</v>
      </c>
      <c r="AS35" t="s">
        <v>837</v>
      </c>
      <c r="AT35" t="s">
        <v>99</v>
      </c>
      <c r="AU35">
        <v>2016</v>
      </c>
      <c r="AV35">
        <v>31</v>
      </c>
      <c r="AW35">
        <v>6</v>
      </c>
      <c r="AX35" t="s">
        <v>74</v>
      </c>
      <c r="AY35" t="s">
        <v>74</v>
      </c>
      <c r="AZ35" t="s">
        <v>74</v>
      </c>
      <c r="BA35" t="s">
        <v>74</v>
      </c>
      <c r="BB35">
        <v>639</v>
      </c>
      <c r="BC35">
        <v>650</v>
      </c>
      <c r="BD35" t="s">
        <v>74</v>
      </c>
      <c r="BE35" t="s">
        <v>838</v>
      </c>
      <c r="BF35" t="str">
        <f>HYPERLINK("http://dx.doi.org/10.1002/2016PA002932","http://dx.doi.org/10.1002/2016PA002932")</f>
        <v>http://dx.doi.org/10.1002/2016PA002932</v>
      </c>
      <c r="BG35" t="s">
        <v>74</v>
      </c>
      <c r="BH35" t="s">
        <v>74</v>
      </c>
      <c r="BI35">
        <v>12</v>
      </c>
      <c r="BJ35" t="s">
        <v>839</v>
      </c>
      <c r="BK35" t="s">
        <v>102</v>
      </c>
      <c r="BL35" t="s">
        <v>840</v>
      </c>
      <c r="BM35" t="s">
        <v>841</v>
      </c>
      <c r="BN35" t="s">
        <v>74</v>
      </c>
      <c r="BO35" t="s">
        <v>842</v>
      </c>
      <c r="BP35" t="s">
        <v>74</v>
      </c>
      <c r="BQ35" t="s">
        <v>74</v>
      </c>
      <c r="BR35" t="s">
        <v>106</v>
      </c>
      <c r="BS35" t="s">
        <v>843</v>
      </c>
      <c r="BT35" t="str">
        <f>HYPERLINK("https%3A%2F%2Fwww.webofscience.com%2Fwos%2Fwoscc%2Ffull-record%2FWOS:000379920500002","View Full Record in Web of Science")</f>
        <v>View Full Record in Web of Science</v>
      </c>
    </row>
    <row r="36" spans="1:72" x14ac:dyDescent="0.15">
      <c r="A36" t="s">
        <v>72</v>
      </c>
      <c r="B36" t="s">
        <v>844</v>
      </c>
      <c r="C36" t="s">
        <v>74</v>
      </c>
      <c r="D36" t="s">
        <v>74</v>
      </c>
      <c r="E36" t="s">
        <v>74</v>
      </c>
      <c r="F36" t="s">
        <v>845</v>
      </c>
      <c r="G36" t="s">
        <v>74</v>
      </c>
      <c r="H36" t="s">
        <v>74</v>
      </c>
      <c r="I36" t="s">
        <v>846</v>
      </c>
      <c r="J36" t="s">
        <v>823</v>
      </c>
      <c r="K36" t="s">
        <v>74</v>
      </c>
      <c r="L36" t="s">
        <v>74</v>
      </c>
      <c r="M36" t="s">
        <v>78</v>
      </c>
      <c r="N36" t="s">
        <v>79</v>
      </c>
      <c r="O36" t="s">
        <v>74</v>
      </c>
      <c r="P36" t="s">
        <v>74</v>
      </c>
      <c r="Q36" t="s">
        <v>74</v>
      </c>
      <c r="R36" t="s">
        <v>74</v>
      </c>
      <c r="S36" t="s">
        <v>74</v>
      </c>
      <c r="T36" t="s">
        <v>847</v>
      </c>
      <c r="U36" t="s">
        <v>848</v>
      </c>
      <c r="V36" t="s">
        <v>849</v>
      </c>
      <c r="W36" t="s">
        <v>850</v>
      </c>
      <c r="X36" t="s">
        <v>851</v>
      </c>
      <c r="Y36" t="s">
        <v>852</v>
      </c>
      <c r="Z36" t="s">
        <v>853</v>
      </c>
      <c r="AA36" t="s">
        <v>854</v>
      </c>
      <c r="AB36" t="s">
        <v>855</v>
      </c>
      <c r="AC36" t="s">
        <v>856</v>
      </c>
      <c r="AD36" t="s">
        <v>857</v>
      </c>
      <c r="AE36" t="s">
        <v>858</v>
      </c>
      <c r="AF36" t="s">
        <v>74</v>
      </c>
      <c r="AG36">
        <v>97</v>
      </c>
      <c r="AH36">
        <v>61</v>
      </c>
      <c r="AI36">
        <v>64</v>
      </c>
      <c r="AJ36">
        <v>3</v>
      </c>
      <c r="AK36">
        <v>55</v>
      </c>
      <c r="AL36" t="s">
        <v>92</v>
      </c>
      <c r="AM36" t="s">
        <v>93</v>
      </c>
      <c r="AN36" t="s">
        <v>94</v>
      </c>
      <c r="AO36" t="s">
        <v>835</v>
      </c>
      <c r="AP36" t="s">
        <v>836</v>
      </c>
      <c r="AQ36" t="s">
        <v>74</v>
      </c>
      <c r="AR36" t="s">
        <v>823</v>
      </c>
      <c r="AS36" t="s">
        <v>837</v>
      </c>
      <c r="AT36" t="s">
        <v>99</v>
      </c>
      <c r="AU36">
        <v>2016</v>
      </c>
      <c r="AV36">
        <v>31</v>
      </c>
      <c r="AW36">
        <v>6</v>
      </c>
      <c r="AX36" t="s">
        <v>74</v>
      </c>
      <c r="AY36" t="s">
        <v>74</v>
      </c>
      <c r="AZ36" t="s">
        <v>74</v>
      </c>
      <c r="BA36" t="s">
        <v>74</v>
      </c>
      <c r="BB36">
        <v>669</v>
      </c>
      <c r="BC36">
        <v>693</v>
      </c>
      <c r="BD36" t="s">
        <v>74</v>
      </c>
      <c r="BE36" t="s">
        <v>859</v>
      </c>
      <c r="BF36" t="str">
        <f>HYPERLINK("http://dx.doi.org/10.1002/2015PA002905","http://dx.doi.org/10.1002/2015PA002905")</f>
        <v>http://dx.doi.org/10.1002/2015PA002905</v>
      </c>
      <c r="BG36" t="s">
        <v>74</v>
      </c>
      <c r="BH36" t="s">
        <v>74</v>
      </c>
      <c r="BI36">
        <v>25</v>
      </c>
      <c r="BJ36" t="s">
        <v>839</v>
      </c>
      <c r="BK36" t="s">
        <v>102</v>
      </c>
      <c r="BL36" t="s">
        <v>840</v>
      </c>
      <c r="BM36" t="s">
        <v>841</v>
      </c>
      <c r="BN36" t="s">
        <v>74</v>
      </c>
      <c r="BO36" t="s">
        <v>420</v>
      </c>
      <c r="BP36" t="s">
        <v>74</v>
      </c>
      <c r="BQ36" t="s">
        <v>74</v>
      </c>
      <c r="BR36" t="s">
        <v>106</v>
      </c>
      <c r="BS36" t="s">
        <v>860</v>
      </c>
      <c r="BT36" t="str">
        <f>HYPERLINK("https%3A%2F%2Fwww.webofscience.com%2Fwos%2Fwoscc%2Ffull-record%2FWOS:000379920500004","View Full Record in Web of Science")</f>
        <v>View Full Record in Web of Science</v>
      </c>
    </row>
    <row r="37" spans="1:72" x14ac:dyDescent="0.15">
      <c r="A37" t="s">
        <v>72</v>
      </c>
      <c r="B37" t="s">
        <v>861</v>
      </c>
      <c r="C37" t="s">
        <v>74</v>
      </c>
      <c r="D37" t="s">
        <v>74</v>
      </c>
      <c r="E37" t="s">
        <v>74</v>
      </c>
      <c r="F37" t="s">
        <v>862</v>
      </c>
      <c r="G37" t="s">
        <v>74</v>
      </c>
      <c r="H37" t="s">
        <v>74</v>
      </c>
      <c r="I37" t="s">
        <v>863</v>
      </c>
      <c r="J37" t="s">
        <v>823</v>
      </c>
      <c r="K37" t="s">
        <v>74</v>
      </c>
      <c r="L37" t="s">
        <v>74</v>
      </c>
      <c r="M37" t="s">
        <v>78</v>
      </c>
      <c r="N37" t="s">
        <v>79</v>
      </c>
      <c r="O37" t="s">
        <v>74</v>
      </c>
      <c r="P37" t="s">
        <v>74</v>
      </c>
      <c r="Q37" t="s">
        <v>74</v>
      </c>
      <c r="R37" t="s">
        <v>74</v>
      </c>
      <c r="S37" t="s">
        <v>74</v>
      </c>
      <c r="T37" t="s">
        <v>864</v>
      </c>
      <c r="U37" t="s">
        <v>865</v>
      </c>
      <c r="V37" t="s">
        <v>866</v>
      </c>
      <c r="W37" t="s">
        <v>867</v>
      </c>
      <c r="X37" t="s">
        <v>868</v>
      </c>
      <c r="Y37" t="s">
        <v>869</v>
      </c>
      <c r="Z37" t="s">
        <v>870</v>
      </c>
      <c r="AA37" t="s">
        <v>871</v>
      </c>
      <c r="AB37" t="s">
        <v>872</v>
      </c>
      <c r="AC37" t="s">
        <v>873</v>
      </c>
      <c r="AD37" t="s">
        <v>874</v>
      </c>
      <c r="AE37" t="s">
        <v>875</v>
      </c>
      <c r="AF37" t="s">
        <v>74</v>
      </c>
      <c r="AG37">
        <v>98</v>
      </c>
      <c r="AH37">
        <v>65</v>
      </c>
      <c r="AI37">
        <v>70</v>
      </c>
      <c r="AJ37">
        <v>0</v>
      </c>
      <c r="AK37">
        <v>63</v>
      </c>
      <c r="AL37" t="s">
        <v>92</v>
      </c>
      <c r="AM37" t="s">
        <v>93</v>
      </c>
      <c r="AN37" t="s">
        <v>94</v>
      </c>
      <c r="AO37" t="s">
        <v>835</v>
      </c>
      <c r="AP37" t="s">
        <v>836</v>
      </c>
      <c r="AQ37" t="s">
        <v>74</v>
      </c>
      <c r="AR37" t="s">
        <v>823</v>
      </c>
      <c r="AS37" t="s">
        <v>837</v>
      </c>
      <c r="AT37" t="s">
        <v>99</v>
      </c>
      <c r="AU37">
        <v>2016</v>
      </c>
      <c r="AV37">
        <v>31</v>
      </c>
      <c r="AW37">
        <v>6</v>
      </c>
      <c r="AX37" t="s">
        <v>74</v>
      </c>
      <c r="AY37" t="s">
        <v>74</v>
      </c>
      <c r="AZ37" t="s">
        <v>74</v>
      </c>
      <c r="BA37" t="s">
        <v>74</v>
      </c>
      <c r="BB37">
        <v>800</v>
      </c>
      <c r="BC37">
        <v>821</v>
      </c>
      <c r="BD37" t="s">
        <v>74</v>
      </c>
      <c r="BE37" t="s">
        <v>876</v>
      </c>
      <c r="BF37" t="str">
        <f>HYPERLINK("http://dx.doi.org/10.1002/2016PA002928","http://dx.doi.org/10.1002/2016PA002928")</f>
        <v>http://dx.doi.org/10.1002/2016PA002928</v>
      </c>
      <c r="BG37" t="s">
        <v>74</v>
      </c>
      <c r="BH37" t="s">
        <v>74</v>
      </c>
      <c r="BI37">
        <v>22</v>
      </c>
      <c r="BJ37" t="s">
        <v>839</v>
      </c>
      <c r="BK37" t="s">
        <v>102</v>
      </c>
      <c r="BL37" t="s">
        <v>840</v>
      </c>
      <c r="BM37" t="s">
        <v>841</v>
      </c>
      <c r="BN37" t="s">
        <v>74</v>
      </c>
      <c r="BO37" t="s">
        <v>293</v>
      </c>
      <c r="BP37" t="s">
        <v>74</v>
      </c>
      <c r="BQ37" t="s">
        <v>74</v>
      </c>
      <c r="BR37" t="s">
        <v>106</v>
      </c>
      <c r="BS37" t="s">
        <v>877</v>
      </c>
      <c r="BT37" t="str">
        <f>HYPERLINK("https%3A%2F%2Fwww.webofscience.com%2Fwos%2Fwoscc%2Ffull-record%2FWOS:000379920500011","View Full Record in Web of Science")</f>
        <v>View Full Record in Web of Science</v>
      </c>
    </row>
    <row r="38" spans="1:72" x14ac:dyDescent="0.15">
      <c r="A38" t="s">
        <v>72</v>
      </c>
      <c r="B38" t="s">
        <v>878</v>
      </c>
      <c r="C38" t="s">
        <v>74</v>
      </c>
      <c r="D38" t="s">
        <v>74</v>
      </c>
      <c r="E38" t="s">
        <v>74</v>
      </c>
      <c r="F38" t="s">
        <v>879</v>
      </c>
      <c r="G38" t="s">
        <v>74</v>
      </c>
      <c r="H38" t="s">
        <v>74</v>
      </c>
      <c r="I38" t="s">
        <v>880</v>
      </c>
      <c r="J38" t="s">
        <v>823</v>
      </c>
      <c r="K38" t="s">
        <v>74</v>
      </c>
      <c r="L38" t="s">
        <v>74</v>
      </c>
      <c r="M38" t="s">
        <v>78</v>
      </c>
      <c r="N38" t="s">
        <v>79</v>
      </c>
      <c r="O38" t="s">
        <v>74</v>
      </c>
      <c r="P38" t="s">
        <v>74</v>
      </c>
      <c r="Q38" t="s">
        <v>74</v>
      </c>
      <c r="R38" t="s">
        <v>74</v>
      </c>
      <c r="S38" t="s">
        <v>74</v>
      </c>
      <c r="T38" t="s">
        <v>881</v>
      </c>
      <c r="U38" t="s">
        <v>882</v>
      </c>
      <c r="V38" t="s">
        <v>883</v>
      </c>
      <c r="W38" t="s">
        <v>884</v>
      </c>
      <c r="X38" t="s">
        <v>885</v>
      </c>
      <c r="Y38" t="s">
        <v>886</v>
      </c>
      <c r="Z38" t="s">
        <v>887</v>
      </c>
      <c r="AA38" t="s">
        <v>788</v>
      </c>
      <c r="AB38" t="s">
        <v>888</v>
      </c>
      <c r="AC38" t="s">
        <v>889</v>
      </c>
      <c r="AD38" t="s">
        <v>791</v>
      </c>
      <c r="AE38" t="s">
        <v>890</v>
      </c>
      <c r="AF38" t="s">
        <v>74</v>
      </c>
      <c r="AG38">
        <v>96</v>
      </c>
      <c r="AH38">
        <v>30</v>
      </c>
      <c r="AI38">
        <v>35</v>
      </c>
      <c r="AJ38">
        <v>2</v>
      </c>
      <c r="AK38">
        <v>38</v>
      </c>
      <c r="AL38" t="s">
        <v>92</v>
      </c>
      <c r="AM38" t="s">
        <v>93</v>
      </c>
      <c r="AN38" t="s">
        <v>94</v>
      </c>
      <c r="AO38" t="s">
        <v>835</v>
      </c>
      <c r="AP38" t="s">
        <v>836</v>
      </c>
      <c r="AQ38" t="s">
        <v>74</v>
      </c>
      <c r="AR38" t="s">
        <v>823</v>
      </c>
      <c r="AS38" t="s">
        <v>837</v>
      </c>
      <c r="AT38" t="s">
        <v>99</v>
      </c>
      <c r="AU38">
        <v>2016</v>
      </c>
      <c r="AV38">
        <v>31</v>
      </c>
      <c r="AW38">
        <v>6</v>
      </c>
      <c r="AX38" t="s">
        <v>74</v>
      </c>
      <c r="AY38" t="s">
        <v>74</v>
      </c>
      <c r="AZ38" t="s">
        <v>74</v>
      </c>
      <c r="BA38" t="s">
        <v>74</v>
      </c>
      <c r="BB38">
        <v>895</v>
      </c>
      <c r="BC38">
        <v>913</v>
      </c>
      <c r="BD38" t="s">
        <v>74</v>
      </c>
      <c r="BE38" t="s">
        <v>891</v>
      </c>
      <c r="BF38" t="str">
        <f>HYPERLINK("http://dx.doi.org/10.1002/2016PA002954","http://dx.doi.org/10.1002/2016PA002954")</f>
        <v>http://dx.doi.org/10.1002/2016PA002954</v>
      </c>
      <c r="BG38" t="s">
        <v>74</v>
      </c>
      <c r="BH38" t="s">
        <v>74</v>
      </c>
      <c r="BI38">
        <v>19</v>
      </c>
      <c r="BJ38" t="s">
        <v>839</v>
      </c>
      <c r="BK38" t="s">
        <v>102</v>
      </c>
      <c r="BL38" t="s">
        <v>840</v>
      </c>
      <c r="BM38" t="s">
        <v>841</v>
      </c>
      <c r="BN38">
        <v>27478302</v>
      </c>
      <c r="BO38" t="s">
        <v>892</v>
      </c>
      <c r="BP38" t="s">
        <v>74</v>
      </c>
      <c r="BQ38" t="s">
        <v>74</v>
      </c>
      <c r="BR38" t="s">
        <v>106</v>
      </c>
      <c r="BS38" t="s">
        <v>893</v>
      </c>
      <c r="BT38" t="str">
        <f>HYPERLINK("https%3A%2F%2Fwww.webofscience.com%2Fwos%2Fwoscc%2Ffull-record%2FWOS:000379920500016","View Full Record in Web of Science")</f>
        <v>View Full Record in Web of Science</v>
      </c>
    </row>
    <row r="39" spans="1:72" x14ac:dyDescent="0.15">
      <c r="A39" t="s">
        <v>72</v>
      </c>
      <c r="B39" t="s">
        <v>894</v>
      </c>
      <c r="C39" t="s">
        <v>74</v>
      </c>
      <c r="D39" t="s">
        <v>74</v>
      </c>
      <c r="E39" t="s">
        <v>74</v>
      </c>
      <c r="F39" t="s">
        <v>895</v>
      </c>
      <c r="G39" t="s">
        <v>74</v>
      </c>
      <c r="H39" t="s">
        <v>74</v>
      </c>
      <c r="I39" t="s">
        <v>896</v>
      </c>
      <c r="J39" t="s">
        <v>897</v>
      </c>
      <c r="K39" t="s">
        <v>74</v>
      </c>
      <c r="L39" t="s">
        <v>74</v>
      </c>
      <c r="M39" t="s">
        <v>78</v>
      </c>
      <c r="N39" t="s">
        <v>79</v>
      </c>
      <c r="O39" t="s">
        <v>74</v>
      </c>
      <c r="P39" t="s">
        <v>74</v>
      </c>
      <c r="Q39" t="s">
        <v>74</v>
      </c>
      <c r="R39" t="s">
        <v>74</v>
      </c>
      <c r="S39" t="s">
        <v>74</v>
      </c>
      <c r="T39" t="s">
        <v>898</v>
      </c>
      <c r="U39" t="s">
        <v>899</v>
      </c>
      <c r="V39" t="s">
        <v>900</v>
      </c>
      <c r="W39" t="s">
        <v>901</v>
      </c>
      <c r="X39" t="s">
        <v>902</v>
      </c>
      <c r="Y39" t="s">
        <v>903</v>
      </c>
      <c r="Z39" t="s">
        <v>904</v>
      </c>
      <c r="AA39" t="s">
        <v>905</v>
      </c>
      <c r="AB39" t="s">
        <v>906</v>
      </c>
      <c r="AC39" t="s">
        <v>907</v>
      </c>
      <c r="AD39" t="s">
        <v>908</v>
      </c>
      <c r="AE39" t="s">
        <v>909</v>
      </c>
      <c r="AF39" t="s">
        <v>74</v>
      </c>
      <c r="AG39">
        <v>35</v>
      </c>
      <c r="AH39">
        <v>17</v>
      </c>
      <c r="AI39">
        <v>20</v>
      </c>
      <c r="AJ39">
        <v>1</v>
      </c>
      <c r="AK39">
        <v>32</v>
      </c>
      <c r="AL39" t="s">
        <v>910</v>
      </c>
      <c r="AM39" t="s">
        <v>911</v>
      </c>
      <c r="AN39" t="s">
        <v>912</v>
      </c>
      <c r="AO39" t="s">
        <v>913</v>
      </c>
      <c r="AP39" t="s">
        <v>914</v>
      </c>
      <c r="AQ39" t="s">
        <v>74</v>
      </c>
      <c r="AR39" t="s">
        <v>915</v>
      </c>
      <c r="AS39" t="s">
        <v>916</v>
      </c>
      <c r="AT39" t="s">
        <v>99</v>
      </c>
      <c r="AU39">
        <v>2016</v>
      </c>
      <c r="AV39">
        <v>82</v>
      </c>
      <c r="AW39" t="s">
        <v>917</v>
      </c>
      <c r="AX39" t="s">
        <v>74</v>
      </c>
      <c r="AY39" t="s">
        <v>74</v>
      </c>
      <c r="AZ39" t="s">
        <v>589</v>
      </c>
      <c r="BA39" t="s">
        <v>74</v>
      </c>
      <c r="BB39">
        <v>910</v>
      </c>
      <c r="BC39">
        <v>918</v>
      </c>
      <c r="BD39" t="s">
        <v>74</v>
      </c>
      <c r="BE39" t="s">
        <v>918</v>
      </c>
      <c r="BF39" t="str">
        <f>HYPERLINK("http://dx.doi.org/10.1055/s-0042-108204","http://dx.doi.org/10.1055/s-0042-108204")</f>
        <v>http://dx.doi.org/10.1055/s-0042-108204</v>
      </c>
      <c r="BG39" t="s">
        <v>74</v>
      </c>
      <c r="BH39" t="s">
        <v>74</v>
      </c>
      <c r="BI39">
        <v>9</v>
      </c>
      <c r="BJ39" t="s">
        <v>919</v>
      </c>
      <c r="BK39" t="s">
        <v>102</v>
      </c>
      <c r="BL39" t="s">
        <v>920</v>
      </c>
      <c r="BM39" t="s">
        <v>921</v>
      </c>
      <c r="BN39">
        <v>27286331</v>
      </c>
      <c r="BO39" t="s">
        <v>74</v>
      </c>
      <c r="BP39" t="s">
        <v>74</v>
      </c>
      <c r="BQ39" t="s">
        <v>74</v>
      </c>
      <c r="BR39" t="s">
        <v>106</v>
      </c>
      <c r="BS39" t="s">
        <v>922</v>
      </c>
      <c r="BT39" t="str">
        <f>HYPERLINK("https%3A%2F%2Fwww.webofscience.com%2Fwos%2Fwoscc%2Ffull-record%2FWOS:000378913600018","View Full Record in Web of Science")</f>
        <v>View Full Record in Web of Science</v>
      </c>
    </row>
    <row r="40" spans="1:72" x14ac:dyDescent="0.15">
      <c r="A40" t="s">
        <v>72</v>
      </c>
      <c r="B40" t="s">
        <v>923</v>
      </c>
      <c r="C40" t="s">
        <v>74</v>
      </c>
      <c r="D40" t="s">
        <v>74</v>
      </c>
      <c r="E40" t="s">
        <v>74</v>
      </c>
      <c r="F40" t="s">
        <v>924</v>
      </c>
      <c r="G40" t="s">
        <v>74</v>
      </c>
      <c r="H40" t="s">
        <v>74</v>
      </c>
      <c r="I40" t="s">
        <v>925</v>
      </c>
      <c r="J40" t="s">
        <v>926</v>
      </c>
      <c r="K40" t="s">
        <v>74</v>
      </c>
      <c r="L40" t="s">
        <v>74</v>
      </c>
      <c r="M40" t="s">
        <v>78</v>
      </c>
      <c r="N40" t="s">
        <v>79</v>
      </c>
      <c r="O40" t="s">
        <v>74</v>
      </c>
      <c r="P40" t="s">
        <v>74</v>
      </c>
      <c r="Q40" t="s">
        <v>74</v>
      </c>
      <c r="R40" t="s">
        <v>74</v>
      </c>
      <c r="S40" t="s">
        <v>74</v>
      </c>
      <c r="T40" t="s">
        <v>927</v>
      </c>
      <c r="U40" t="s">
        <v>928</v>
      </c>
      <c r="V40" t="s">
        <v>929</v>
      </c>
      <c r="W40" t="s">
        <v>930</v>
      </c>
      <c r="X40" t="s">
        <v>931</v>
      </c>
      <c r="Y40" t="s">
        <v>932</v>
      </c>
      <c r="Z40" t="s">
        <v>933</v>
      </c>
      <c r="AA40" t="s">
        <v>934</v>
      </c>
      <c r="AB40" t="s">
        <v>935</v>
      </c>
      <c r="AC40" t="s">
        <v>74</v>
      </c>
      <c r="AD40" t="s">
        <v>74</v>
      </c>
      <c r="AE40" t="s">
        <v>74</v>
      </c>
      <c r="AF40" t="s">
        <v>74</v>
      </c>
      <c r="AG40">
        <v>50</v>
      </c>
      <c r="AH40">
        <v>8</v>
      </c>
      <c r="AI40">
        <v>8</v>
      </c>
      <c r="AJ40">
        <v>0</v>
      </c>
      <c r="AK40">
        <v>41</v>
      </c>
      <c r="AL40" t="s">
        <v>559</v>
      </c>
      <c r="AM40" t="s">
        <v>560</v>
      </c>
      <c r="AN40" t="s">
        <v>561</v>
      </c>
      <c r="AO40" t="s">
        <v>936</v>
      </c>
      <c r="AP40" t="s">
        <v>937</v>
      </c>
      <c r="AQ40" t="s">
        <v>74</v>
      </c>
      <c r="AR40" t="s">
        <v>938</v>
      </c>
      <c r="AS40" t="s">
        <v>939</v>
      </c>
      <c r="AT40" t="s">
        <v>99</v>
      </c>
      <c r="AU40">
        <v>2016</v>
      </c>
      <c r="AV40">
        <v>16</v>
      </c>
      <c r="AW40">
        <v>5</v>
      </c>
      <c r="AX40" t="s">
        <v>74</v>
      </c>
      <c r="AY40" t="s">
        <v>74</v>
      </c>
      <c r="AZ40" t="s">
        <v>74</v>
      </c>
      <c r="BA40" t="s">
        <v>74</v>
      </c>
      <c r="BB40">
        <v>1417</v>
      </c>
      <c r="BC40">
        <v>1431</v>
      </c>
      <c r="BD40" t="s">
        <v>74</v>
      </c>
      <c r="BE40" t="s">
        <v>940</v>
      </c>
      <c r="BF40" t="str">
        <f>HYPERLINK("http://dx.doi.org/10.1007/s10113-015-0867-1","http://dx.doi.org/10.1007/s10113-015-0867-1")</f>
        <v>http://dx.doi.org/10.1007/s10113-015-0867-1</v>
      </c>
      <c r="BG40" t="s">
        <v>74</v>
      </c>
      <c r="BH40" t="s">
        <v>74</v>
      </c>
      <c r="BI40">
        <v>15</v>
      </c>
      <c r="BJ40" t="s">
        <v>941</v>
      </c>
      <c r="BK40" t="s">
        <v>942</v>
      </c>
      <c r="BL40" t="s">
        <v>465</v>
      </c>
      <c r="BM40" t="s">
        <v>943</v>
      </c>
      <c r="BN40" t="s">
        <v>74</v>
      </c>
      <c r="BO40" t="s">
        <v>74</v>
      </c>
      <c r="BP40" t="s">
        <v>74</v>
      </c>
      <c r="BQ40" t="s">
        <v>74</v>
      </c>
      <c r="BR40" t="s">
        <v>106</v>
      </c>
      <c r="BS40" t="s">
        <v>944</v>
      </c>
      <c r="BT40" t="str">
        <f>HYPERLINK("https%3A%2F%2Fwww.webofscience.com%2Fwos%2Fwoscc%2Ffull-record%2FWOS:000376314400015","View Full Record in Web of Science")</f>
        <v>View Full Record in Web of Science</v>
      </c>
    </row>
    <row r="41" spans="1:72" x14ac:dyDescent="0.15">
      <c r="A41" t="s">
        <v>72</v>
      </c>
      <c r="B41" t="s">
        <v>945</v>
      </c>
      <c r="C41" t="s">
        <v>74</v>
      </c>
      <c r="D41" t="s">
        <v>74</v>
      </c>
      <c r="E41" t="s">
        <v>74</v>
      </c>
      <c r="F41" t="s">
        <v>946</v>
      </c>
      <c r="G41" t="s">
        <v>74</v>
      </c>
      <c r="H41" t="s">
        <v>74</v>
      </c>
      <c r="I41" t="s">
        <v>947</v>
      </c>
      <c r="J41" t="s">
        <v>948</v>
      </c>
      <c r="K41" t="s">
        <v>74</v>
      </c>
      <c r="L41" t="s">
        <v>74</v>
      </c>
      <c r="M41" t="s">
        <v>78</v>
      </c>
      <c r="N41" t="s">
        <v>949</v>
      </c>
      <c r="O41" t="s">
        <v>74</v>
      </c>
      <c r="P41" t="s">
        <v>74</v>
      </c>
      <c r="Q41" t="s">
        <v>74</v>
      </c>
      <c r="R41" t="s">
        <v>74</v>
      </c>
      <c r="S41" t="s">
        <v>74</v>
      </c>
      <c r="T41" t="s">
        <v>950</v>
      </c>
      <c r="U41" t="s">
        <v>74</v>
      </c>
      <c r="V41" t="s">
        <v>951</v>
      </c>
      <c r="W41" t="s">
        <v>952</v>
      </c>
      <c r="X41" t="s">
        <v>953</v>
      </c>
      <c r="Y41" t="s">
        <v>954</v>
      </c>
      <c r="Z41" t="s">
        <v>955</v>
      </c>
      <c r="AA41" t="s">
        <v>956</v>
      </c>
      <c r="AB41" t="s">
        <v>957</v>
      </c>
      <c r="AC41" t="s">
        <v>74</v>
      </c>
      <c r="AD41" t="s">
        <v>74</v>
      </c>
      <c r="AE41" t="s">
        <v>74</v>
      </c>
      <c r="AF41" t="s">
        <v>74</v>
      </c>
      <c r="AG41">
        <v>15</v>
      </c>
      <c r="AH41">
        <v>5</v>
      </c>
      <c r="AI41">
        <v>5</v>
      </c>
      <c r="AJ41">
        <v>0</v>
      </c>
      <c r="AK41">
        <v>12</v>
      </c>
      <c r="AL41" t="s">
        <v>958</v>
      </c>
      <c r="AM41" t="s">
        <v>959</v>
      </c>
      <c r="AN41" t="s">
        <v>960</v>
      </c>
      <c r="AO41" t="s">
        <v>961</v>
      </c>
      <c r="AP41" t="s">
        <v>962</v>
      </c>
      <c r="AQ41" t="s">
        <v>74</v>
      </c>
      <c r="AR41" t="s">
        <v>963</v>
      </c>
      <c r="AS41" t="s">
        <v>964</v>
      </c>
      <c r="AT41" t="s">
        <v>99</v>
      </c>
      <c r="AU41">
        <v>2016</v>
      </c>
      <c r="AV41">
        <v>100</v>
      </c>
      <c r="AW41">
        <v>1</v>
      </c>
      <c r="AX41" t="s">
        <v>74</v>
      </c>
      <c r="AY41" t="s">
        <v>74</v>
      </c>
      <c r="AZ41" t="s">
        <v>74</v>
      </c>
      <c r="BA41" t="s">
        <v>74</v>
      </c>
      <c r="BB41">
        <v>149</v>
      </c>
      <c r="BC41">
        <v>163</v>
      </c>
      <c r="BD41" t="s">
        <v>74</v>
      </c>
      <c r="BE41" t="s">
        <v>965</v>
      </c>
      <c r="BF41" t="str">
        <f>HYPERLINK("http://dx.doi.org/10.1515/rgg-2016-0012","http://dx.doi.org/10.1515/rgg-2016-0012")</f>
        <v>http://dx.doi.org/10.1515/rgg-2016-0012</v>
      </c>
      <c r="BG41" t="s">
        <v>74</v>
      </c>
      <c r="BH41" t="s">
        <v>74</v>
      </c>
      <c r="BI41">
        <v>15</v>
      </c>
      <c r="BJ41" t="s">
        <v>966</v>
      </c>
      <c r="BK41" t="s">
        <v>967</v>
      </c>
      <c r="BL41" t="s">
        <v>966</v>
      </c>
      <c r="BM41" t="s">
        <v>968</v>
      </c>
      <c r="BN41" t="s">
        <v>74</v>
      </c>
      <c r="BO41" t="s">
        <v>495</v>
      </c>
      <c r="BP41" t="s">
        <v>74</v>
      </c>
      <c r="BQ41" t="s">
        <v>74</v>
      </c>
      <c r="BR41" t="s">
        <v>106</v>
      </c>
      <c r="BS41" t="s">
        <v>969</v>
      </c>
      <c r="BT41" t="str">
        <f>HYPERLINK("https%3A%2F%2Fwww.webofscience.com%2Fwos%2Fwoscc%2Ffull-record%2FWOS:000378042900011","View Full Record in Web of Science")</f>
        <v>View Full Record in Web of Science</v>
      </c>
    </row>
    <row r="42" spans="1:72" x14ac:dyDescent="0.15">
      <c r="A42" t="s">
        <v>72</v>
      </c>
      <c r="B42" t="s">
        <v>970</v>
      </c>
      <c r="C42" t="s">
        <v>74</v>
      </c>
      <c r="D42" t="s">
        <v>74</v>
      </c>
      <c r="E42" t="s">
        <v>74</v>
      </c>
      <c r="F42" t="s">
        <v>971</v>
      </c>
      <c r="G42" t="s">
        <v>74</v>
      </c>
      <c r="H42" t="s">
        <v>74</v>
      </c>
      <c r="I42" t="s">
        <v>972</v>
      </c>
      <c r="J42" t="s">
        <v>973</v>
      </c>
      <c r="K42" t="s">
        <v>74</v>
      </c>
      <c r="L42" t="s">
        <v>74</v>
      </c>
      <c r="M42" t="s">
        <v>78</v>
      </c>
      <c r="N42" t="s">
        <v>79</v>
      </c>
      <c r="O42" t="s">
        <v>74</v>
      </c>
      <c r="P42" t="s">
        <v>74</v>
      </c>
      <c r="Q42" t="s">
        <v>74</v>
      </c>
      <c r="R42" t="s">
        <v>74</v>
      </c>
      <c r="S42" t="s">
        <v>74</v>
      </c>
      <c r="T42" t="s">
        <v>74</v>
      </c>
      <c r="U42" t="s">
        <v>974</v>
      </c>
      <c r="V42" t="s">
        <v>975</v>
      </c>
      <c r="W42" t="s">
        <v>976</v>
      </c>
      <c r="X42" t="s">
        <v>977</v>
      </c>
      <c r="Y42" t="s">
        <v>978</v>
      </c>
      <c r="Z42" t="s">
        <v>979</v>
      </c>
      <c r="AA42" t="s">
        <v>980</v>
      </c>
      <c r="AB42" t="s">
        <v>981</v>
      </c>
      <c r="AC42" t="s">
        <v>982</v>
      </c>
      <c r="AD42" t="s">
        <v>983</v>
      </c>
      <c r="AE42" t="s">
        <v>984</v>
      </c>
      <c r="AF42" t="s">
        <v>74</v>
      </c>
      <c r="AG42">
        <v>66</v>
      </c>
      <c r="AH42">
        <v>96</v>
      </c>
      <c r="AI42">
        <v>102</v>
      </c>
      <c r="AJ42">
        <v>0</v>
      </c>
      <c r="AK42">
        <v>44</v>
      </c>
      <c r="AL42" t="s">
        <v>985</v>
      </c>
      <c r="AM42" t="s">
        <v>93</v>
      </c>
      <c r="AN42" t="s">
        <v>986</v>
      </c>
      <c r="AO42" t="s">
        <v>987</v>
      </c>
      <c r="AP42" t="s">
        <v>74</v>
      </c>
      <c r="AQ42" t="s">
        <v>74</v>
      </c>
      <c r="AR42" t="s">
        <v>988</v>
      </c>
      <c r="AS42" t="s">
        <v>989</v>
      </c>
      <c r="AT42" t="s">
        <v>99</v>
      </c>
      <c r="AU42">
        <v>2016</v>
      </c>
      <c r="AV42">
        <v>2</v>
      </c>
      <c r="AW42">
        <v>6</v>
      </c>
      <c r="AX42" t="s">
        <v>74</v>
      </c>
      <c r="AY42" t="s">
        <v>74</v>
      </c>
      <c r="AZ42" t="s">
        <v>74</v>
      </c>
      <c r="BA42" t="s">
        <v>74</v>
      </c>
      <c r="BB42" t="s">
        <v>74</v>
      </c>
      <c r="BC42" t="s">
        <v>74</v>
      </c>
      <c r="BD42" t="s">
        <v>990</v>
      </c>
      <c r="BE42" t="s">
        <v>991</v>
      </c>
      <c r="BF42" t="str">
        <f>HYPERLINK("http://dx.doi.org/10.1126/sciadv.1501682","http://dx.doi.org/10.1126/sciadv.1501682")</f>
        <v>http://dx.doi.org/10.1126/sciadv.1501682</v>
      </c>
      <c r="BG42" t="s">
        <v>74</v>
      </c>
      <c r="BH42" t="s">
        <v>74</v>
      </c>
      <c r="BI42">
        <v>8</v>
      </c>
      <c r="BJ42" t="s">
        <v>753</v>
      </c>
      <c r="BK42" t="s">
        <v>102</v>
      </c>
      <c r="BL42" t="s">
        <v>754</v>
      </c>
      <c r="BM42" t="s">
        <v>992</v>
      </c>
      <c r="BN42">
        <v>27386563</v>
      </c>
      <c r="BO42" t="s">
        <v>993</v>
      </c>
      <c r="BP42" t="s">
        <v>74</v>
      </c>
      <c r="BQ42" t="s">
        <v>74</v>
      </c>
      <c r="BR42" t="s">
        <v>106</v>
      </c>
      <c r="BS42" t="s">
        <v>994</v>
      </c>
      <c r="BT42" t="str">
        <f>HYPERLINK("https%3A%2F%2Fwww.webofscience.com%2Fwos%2Fwoscc%2Ffull-record%2FWOS:000380073800010","View Full Record in Web of Science")</f>
        <v>View Full Record in Web of Science</v>
      </c>
    </row>
    <row r="43" spans="1:72" x14ac:dyDescent="0.15">
      <c r="A43" t="s">
        <v>72</v>
      </c>
      <c r="B43" t="s">
        <v>995</v>
      </c>
      <c r="C43" t="s">
        <v>74</v>
      </c>
      <c r="D43" t="s">
        <v>74</v>
      </c>
      <c r="E43" t="s">
        <v>74</v>
      </c>
      <c r="F43" t="s">
        <v>996</v>
      </c>
      <c r="G43" t="s">
        <v>74</v>
      </c>
      <c r="H43" t="s">
        <v>74</v>
      </c>
      <c r="I43" t="s">
        <v>997</v>
      </c>
      <c r="J43" t="s">
        <v>998</v>
      </c>
      <c r="K43" t="s">
        <v>74</v>
      </c>
      <c r="L43" t="s">
        <v>74</v>
      </c>
      <c r="M43" t="s">
        <v>78</v>
      </c>
      <c r="N43" t="s">
        <v>79</v>
      </c>
      <c r="O43" t="s">
        <v>74</v>
      </c>
      <c r="P43" t="s">
        <v>74</v>
      </c>
      <c r="Q43" t="s">
        <v>74</v>
      </c>
      <c r="R43" t="s">
        <v>74</v>
      </c>
      <c r="S43" t="s">
        <v>74</v>
      </c>
      <c r="T43" t="s">
        <v>999</v>
      </c>
      <c r="U43" t="s">
        <v>1000</v>
      </c>
      <c r="V43" t="s">
        <v>1001</v>
      </c>
      <c r="W43" t="s">
        <v>1002</v>
      </c>
      <c r="X43" t="s">
        <v>1003</v>
      </c>
      <c r="Y43" t="s">
        <v>1004</v>
      </c>
      <c r="Z43" t="s">
        <v>1005</v>
      </c>
      <c r="AA43" t="s">
        <v>1006</v>
      </c>
      <c r="AB43" t="s">
        <v>1007</v>
      </c>
      <c r="AC43" t="s">
        <v>1008</v>
      </c>
      <c r="AD43" t="s">
        <v>1008</v>
      </c>
      <c r="AE43" t="s">
        <v>1009</v>
      </c>
      <c r="AF43" t="s">
        <v>74</v>
      </c>
      <c r="AG43">
        <v>53</v>
      </c>
      <c r="AH43">
        <v>17</v>
      </c>
      <c r="AI43">
        <v>17</v>
      </c>
      <c r="AJ43">
        <v>0</v>
      </c>
      <c r="AK43">
        <v>8</v>
      </c>
      <c r="AL43" t="s">
        <v>1010</v>
      </c>
      <c r="AM43" t="s">
        <v>1011</v>
      </c>
      <c r="AN43" t="s">
        <v>1012</v>
      </c>
      <c r="AO43" t="s">
        <v>1013</v>
      </c>
      <c r="AP43" t="s">
        <v>1014</v>
      </c>
      <c r="AQ43" t="s">
        <v>74</v>
      </c>
      <c r="AR43" t="s">
        <v>1015</v>
      </c>
      <c r="AS43" t="s">
        <v>1016</v>
      </c>
      <c r="AT43" t="s">
        <v>99</v>
      </c>
      <c r="AU43">
        <v>2016</v>
      </c>
      <c r="AV43">
        <v>24</v>
      </c>
      <c r="AW43">
        <v>3</v>
      </c>
      <c r="AX43" t="s">
        <v>74</v>
      </c>
      <c r="AY43" t="s">
        <v>74</v>
      </c>
      <c r="AZ43" t="s">
        <v>74</v>
      </c>
      <c r="BA43" t="s">
        <v>74</v>
      </c>
      <c r="BB43">
        <v>257</v>
      </c>
      <c r="BC43">
        <v>266</v>
      </c>
      <c r="BD43" t="s">
        <v>74</v>
      </c>
      <c r="BE43" t="s">
        <v>1017</v>
      </c>
      <c r="BF43" t="str">
        <f>HYPERLINK("http://dx.doi.org/10.1007/s41324-016-0026-x","http://dx.doi.org/10.1007/s41324-016-0026-x")</f>
        <v>http://dx.doi.org/10.1007/s41324-016-0026-x</v>
      </c>
      <c r="BG43" t="s">
        <v>74</v>
      </c>
      <c r="BH43" t="s">
        <v>74</v>
      </c>
      <c r="BI43">
        <v>10</v>
      </c>
      <c r="BJ43" t="s">
        <v>966</v>
      </c>
      <c r="BK43" t="s">
        <v>967</v>
      </c>
      <c r="BL43" t="s">
        <v>966</v>
      </c>
      <c r="BM43" t="s">
        <v>1018</v>
      </c>
      <c r="BN43" t="s">
        <v>74</v>
      </c>
      <c r="BO43" t="s">
        <v>380</v>
      </c>
      <c r="BP43" t="s">
        <v>74</v>
      </c>
      <c r="BQ43" t="s">
        <v>74</v>
      </c>
      <c r="BR43" t="s">
        <v>106</v>
      </c>
      <c r="BS43" t="s">
        <v>1019</v>
      </c>
      <c r="BT43" t="str">
        <f>HYPERLINK("https%3A%2F%2Fwww.webofscience.com%2Fwos%2Fwoscc%2Ffull-record%2FWOS:000413295900009","View Full Record in Web of Science")</f>
        <v>View Full Record in Web of Science</v>
      </c>
    </row>
    <row r="44" spans="1:72" x14ac:dyDescent="0.15">
      <c r="A44" t="s">
        <v>72</v>
      </c>
      <c r="B44" t="s">
        <v>1020</v>
      </c>
      <c r="C44" t="s">
        <v>74</v>
      </c>
      <c r="D44" t="s">
        <v>74</v>
      </c>
      <c r="E44" t="s">
        <v>74</v>
      </c>
      <c r="F44" t="s">
        <v>1021</v>
      </c>
      <c r="G44" t="s">
        <v>74</v>
      </c>
      <c r="H44" t="s">
        <v>74</v>
      </c>
      <c r="I44" t="s">
        <v>1022</v>
      </c>
      <c r="J44" t="s">
        <v>1023</v>
      </c>
      <c r="K44" t="s">
        <v>74</v>
      </c>
      <c r="L44" t="s">
        <v>74</v>
      </c>
      <c r="M44" t="s">
        <v>78</v>
      </c>
      <c r="N44" t="s">
        <v>949</v>
      </c>
      <c r="O44" t="s">
        <v>74</v>
      </c>
      <c r="P44" t="s">
        <v>74</v>
      </c>
      <c r="Q44" t="s">
        <v>74</v>
      </c>
      <c r="R44" t="s">
        <v>74</v>
      </c>
      <c r="S44" t="s">
        <v>74</v>
      </c>
      <c r="T44" t="s">
        <v>74</v>
      </c>
      <c r="U44" t="s">
        <v>1024</v>
      </c>
      <c r="V44" t="s">
        <v>1025</v>
      </c>
      <c r="W44" t="s">
        <v>1026</v>
      </c>
      <c r="X44" t="s">
        <v>1027</v>
      </c>
      <c r="Y44" t="s">
        <v>1028</v>
      </c>
      <c r="Z44" t="s">
        <v>1029</v>
      </c>
      <c r="AA44" t="s">
        <v>1030</v>
      </c>
      <c r="AB44" t="s">
        <v>1031</v>
      </c>
      <c r="AC44" t="s">
        <v>1032</v>
      </c>
      <c r="AD44" t="s">
        <v>1033</v>
      </c>
      <c r="AE44" t="s">
        <v>1034</v>
      </c>
      <c r="AF44" t="s">
        <v>74</v>
      </c>
      <c r="AG44">
        <v>100</v>
      </c>
      <c r="AH44">
        <v>349</v>
      </c>
      <c r="AI44">
        <v>385</v>
      </c>
      <c r="AJ44">
        <v>16</v>
      </c>
      <c r="AK44">
        <v>317</v>
      </c>
      <c r="AL44" t="s">
        <v>1035</v>
      </c>
      <c r="AM44" t="s">
        <v>773</v>
      </c>
      <c r="AN44" t="s">
        <v>1036</v>
      </c>
      <c r="AO44" t="s">
        <v>1037</v>
      </c>
      <c r="AP44" t="s">
        <v>1038</v>
      </c>
      <c r="AQ44" t="s">
        <v>74</v>
      </c>
      <c r="AR44" t="s">
        <v>1039</v>
      </c>
      <c r="AS44" t="s">
        <v>1040</v>
      </c>
      <c r="AT44" t="s">
        <v>99</v>
      </c>
      <c r="AU44">
        <v>2016</v>
      </c>
      <c r="AV44">
        <v>31</v>
      </c>
      <c r="AW44">
        <v>6</v>
      </c>
      <c r="AX44" t="s">
        <v>74</v>
      </c>
      <c r="AY44" t="s">
        <v>74</v>
      </c>
      <c r="AZ44" t="s">
        <v>74</v>
      </c>
      <c r="BA44" t="s">
        <v>74</v>
      </c>
      <c r="BB44">
        <v>463</v>
      </c>
      <c r="BC44">
        <v>475</v>
      </c>
      <c r="BD44" t="s">
        <v>74</v>
      </c>
      <c r="BE44" t="s">
        <v>1041</v>
      </c>
      <c r="BF44" t="str">
        <f>HYPERLINK("http://dx.doi.org/10.1016/j.tree.2016.02.015","http://dx.doi.org/10.1016/j.tree.2016.02.015")</f>
        <v>http://dx.doi.org/10.1016/j.tree.2016.02.015</v>
      </c>
      <c r="BG44" t="s">
        <v>74</v>
      </c>
      <c r="BH44" t="s">
        <v>74</v>
      </c>
      <c r="BI44">
        <v>13</v>
      </c>
      <c r="BJ44" t="s">
        <v>1042</v>
      </c>
      <c r="BK44" t="s">
        <v>102</v>
      </c>
      <c r="BL44" t="s">
        <v>1043</v>
      </c>
      <c r="BM44" t="s">
        <v>1044</v>
      </c>
      <c r="BN44">
        <v>26979550</v>
      </c>
      <c r="BO44" t="s">
        <v>1045</v>
      </c>
      <c r="BP44" t="s">
        <v>1046</v>
      </c>
      <c r="BQ44" t="s">
        <v>1047</v>
      </c>
      <c r="BR44" t="s">
        <v>106</v>
      </c>
      <c r="BS44" t="s">
        <v>1048</v>
      </c>
      <c r="BT44" t="str">
        <f>HYPERLINK("https%3A%2F%2Fwww.webofscience.com%2Fwos%2Fwoscc%2Ffull-record%2FWOS:000376807700009","View Full Record in Web of Science")</f>
        <v>View Full Record in Web of Science</v>
      </c>
    </row>
    <row r="45" spans="1:72" x14ac:dyDescent="0.15">
      <c r="A45" t="s">
        <v>72</v>
      </c>
      <c r="B45" t="s">
        <v>1049</v>
      </c>
      <c r="C45" t="s">
        <v>74</v>
      </c>
      <c r="D45" t="s">
        <v>74</v>
      </c>
      <c r="E45" t="s">
        <v>74</v>
      </c>
      <c r="F45" t="s">
        <v>1050</v>
      </c>
      <c r="G45" t="s">
        <v>74</v>
      </c>
      <c r="H45" t="s">
        <v>74</v>
      </c>
      <c r="I45" t="s">
        <v>1051</v>
      </c>
      <c r="J45" t="s">
        <v>1052</v>
      </c>
      <c r="K45" t="s">
        <v>74</v>
      </c>
      <c r="L45" t="s">
        <v>74</v>
      </c>
      <c r="M45" t="s">
        <v>78</v>
      </c>
      <c r="N45" t="s">
        <v>79</v>
      </c>
      <c r="O45" t="s">
        <v>74</v>
      </c>
      <c r="P45" t="s">
        <v>74</v>
      </c>
      <c r="Q45" t="s">
        <v>74</v>
      </c>
      <c r="R45" t="s">
        <v>74</v>
      </c>
      <c r="S45" t="s">
        <v>74</v>
      </c>
      <c r="T45" t="s">
        <v>1053</v>
      </c>
      <c r="U45" t="s">
        <v>1054</v>
      </c>
      <c r="V45" t="s">
        <v>1055</v>
      </c>
      <c r="W45" t="s">
        <v>1056</v>
      </c>
      <c r="X45" t="s">
        <v>1057</v>
      </c>
      <c r="Y45" t="s">
        <v>1058</v>
      </c>
      <c r="Z45" t="s">
        <v>1059</v>
      </c>
      <c r="AA45" t="s">
        <v>1060</v>
      </c>
      <c r="AB45" t="s">
        <v>1061</v>
      </c>
      <c r="AC45" t="s">
        <v>1062</v>
      </c>
      <c r="AD45" t="s">
        <v>1063</v>
      </c>
      <c r="AE45" t="s">
        <v>1064</v>
      </c>
      <c r="AF45" t="s">
        <v>74</v>
      </c>
      <c r="AG45">
        <v>65</v>
      </c>
      <c r="AH45">
        <v>13</v>
      </c>
      <c r="AI45">
        <v>14</v>
      </c>
      <c r="AJ45">
        <v>0</v>
      </c>
      <c r="AK45">
        <v>23</v>
      </c>
      <c r="AL45" t="s">
        <v>124</v>
      </c>
      <c r="AM45" t="s">
        <v>125</v>
      </c>
      <c r="AN45" t="s">
        <v>126</v>
      </c>
      <c r="AO45" t="s">
        <v>1065</v>
      </c>
      <c r="AP45" t="s">
        <v>1066</v>
      </c>
      <c r="AQ45" t="s">
        <v>74</v>
      </c>
      <c r="AR45" t="s">
        <v>1067</v>
      </c>
      <c r="AS45" t="s">
        <v>1068</v>
      </c>
      <c r="AT45" t="s">
        <v>99</v>
      </c>
      <c r="AU45">
        <v>2016</v>
      </c>
      <c r="AV45">
        <v>22</v>
      </c>
      <c r="AW45">
        <v>3</v>
      </c>
      <c r="AX45" t="s">
        <v>74</v>
      </c>
      <c r="AY45" t="s">
        <v>74</v>
      </c>
      <c r="AZ45" t="s">
        <v>74</v>
      </c>
      <c r="BA45" t="s">
        <v>74</v>
      </c>
      <c r="BB45">
        <v>527</v>
      </c>
      <c r="BC45">
        <v>540</v>
      </c>
      <c r="BD45" t="s">
        <v>74</v>
      </c>
      <c r="BE45" t="s">
        <v>1069</v>
      </c>
      <c r="BF45" t="str">
        <f>HYPERLINK("http://dx.doi.org/10.1111/anu.12274","http://dx.doi.org/10.1111/anu.12274")</f>
        <v>http://dx.doi.org/10.1111/anu.12274</v>
      </c>
      <c r="BG45" t="s">
        <v>74</v>
      </c>
      <c r="BH45" t="s">
        <v>74</v>
      </c>
      <c r="BI45">
        <v>14</v>
      </c>
      <c r="BJ45" t="s">
        <v>1070</v>
      </c>
      <c r="BK45" t="s">
        <v>102</v>
      </c>
      <c r="BL45" t="s">
        <v>1070</v>
      </c>
      <c r="BM45" t="s">
        <v>1071</v>
      </c>
      <c r="BN45" t="s">
        <v>74</v>
      </c>
      <c r="BO45" t="s">
        <v>495</v>
      </c>
      <c r="BP45" t="s">
        <v>74</v>
      </c>
      <c r="BQ45" t="s">
        <v>74</v>
      </c>
      <c r="BR45" t="s">
        <v>106</v>
      </c>
      <c r="BS45" t="s">
        <v>1072</v>
      </c>
      <c r="BT45" t="str">
        <f>HYPERLINK("https%3A%2F%2Fwww.webofscience.com%2Fwos%2Fwoscc%2Ffull-record%2FWOS:000374778000004","View Full Record in Web of Science")</f>
        <v>View Full Record in Web of Science</v>
      </c>
    </row>
    <row r="46" spans="1:72" x14ac:dyDescent="0.15">
      <c r="A46" t="s">
        <v>72</v>
      </c>
      <c r="B46" t="s">
        <v>1073</v>
      </c>
      <c r="C46" t="s">
        <v>74</v>
      </c>
      <c r="D46" t="s">
        <v>74</v>
      </c>
      <c r="E46" t="s">
        <v>74</v>
      </c>
      <c r="F46" t="s">
        <v>1074</v>
      </c>
      <c r="G46" t="s">
        <v>74</v>
      </c>
      <c r="H46" t="s">
        <v>74</v>
      </c>
      <c r="I46" t="s">
        <v>1075</v>
      </c>
      <c r="J46" t="s">
        <v>1076</v>
      </c>
      <c r="K46" t="s">
        <v>74</v>
      </c>
      <c r="L46" t="s">
        <v>74</v>
      </c>
      <c r="M46" t="s">
        <v>78</v>
      </c>
      <c r="N46" t="s">
        <v>79</v>
      </c>
      <c r="O46" t="s">
        <v>74</v>
      </c>
      <c r="P46" t="s">
        <v>74</v>
      </c>
      <c r="Q46" t="s">
        <v>74</v>
      </c>
      <c r="R46" t="s">
        <v>74</v>
      </c>
      <c r="S46" t="s">
        <v>74</v>
      </c>
      <c r="T46" t="s">
        <v>1077</v>
      </c>
      <c r="U46" t="s">
        <v>1078</v>
      </c>
      <c r="V46" t="s">
        <v>1079</v>
      </c>
      <c r="W46" t="s">
        <v>1080</v>
      </c>
      <c r="X46" t="s">
        <v>1081</v>
      </c>
      <c r="Y46" t="s">
        <v>1082</v>
      </c>
      <c r="Z46" t="s">
        <v>1083</v>
      </c>
      <c r="AA46" t="s">
        <v>1084</v>
      </c>
      <c r="AB46" t="s">
        <v>1085</v>
      </c>
      <c r="AC46" t="s">
        <v>1086</v>
      </c>
      <c r="AD46" t="s">
        <v>1087</v>
      </c>
      <c r="AE46" t="s">
        <v>1088</v>
      </c>
      <c r="AF46" t="s">
        <v>74</v>
      </c>
      <c r="AG46">
        <v>32</v>
      </c>
      <c r="AH46">
        <v>36</v>
      </c>
      <c r="AI46">
        <v>42</v>
      </c>
      <c r="AJ46">
        <v>0</v>
      </c>
      <c r="AK46">
        <v>53</v>
      </c>
      <c r="AL46" t="s">
        <v>626</v>
      </c>
      <c r="AM46" t="s">
        <v>583</v>
      </c>
      <c r="AN46" t="s">
        <v>627</v>
      </c>
      <c r="AO46" t="s">
        <v>1089</v>
      </c>
      <c r="AP46" t="s">
        <v>1090</v>
      </c>
      <c r="AQ46" t="s">
        <v>74</v>
      </c>
      <c r="AR46" t="s">
        <v>1091</v>
      </c>
      <c r="AS46" t="s">
        <v>1092</v>
      </c>
      <c r="AT46" t="s">
        <v>99</v>
      </c>
      <c r="AU46">
        <v>2016</v>
      </c>
      <c r="AV46">
        <v>10</v>
      </c>
      <c r="AW46">
        <v>2</v>
      </c>
      <c r="AX46" t="s">
        <v>74</v>
      </c>
      <c r="AY46" t="s">
        <v>74</v>
      </c>
      <c r="AZ46" t="s">
        <v>74</v>
      </c>
      <c r="BA46" t="s">
        <v>74</v>
      </c>
      <c r="BB46">
        <v>123</v>
      </c>
      <c r="BC46">
        <v>131</v>
      </c>
      <c r="BD46" t="s">
        <v>74</v>
      </c>
      <c r="BE46" t="s">
        <v>1093</v>
      </c>
      <c r="BF46" t="str">
        <f>HYPERLINK("http://dx.doi.org/10.1016/j.polar.2016.04.002","http://dx.doi.org/10.1016/j.polar.2016.04.002")</f>
        <v>http://dx.doi.org/10.1016/j.polar.2016.04.002</v>
      </c>
      <c r="BG46" t="s">
        <v>74</v>
      </c>
      <c r="BH46" t="s">
        <v>74</v>
      </c>
      <c r="BI46">
        <v>9</v>
      </c>
      <c r="BJ46" t="s">
        <v>1094</v>
      </c>
      <c r="BK46" t="s">
        <v>102</v>
      </c>
      <c r="BL46" t="s">
        <v>1095</v>
      </c>
      <c r="BM46" t="s">
        <v>1096</v>
      </c>
      <c r="BN46" t="s">
        <v>74</v>
      </c>
      <c r="BO46" t="s">
        <v>74</v>
      </c>
      <c r="BP46" t="s">
        <v>74</v>
      </c>
      <c r="BQ46" t="s">
        <v>74</v>
      </c>
      <c r="BR46" t="s">
        <v>106</v>
      </c>
      <c r="BS46" t="s">
        <v>1097</v>
      </c>
      <c r="BT46" t="str">
        <f>HYPERLINK("https%3A%2F%2Fwww.webofscience.com%2Fwos%2Fwoscc%2Ffull-record%2FWOS:000375557500002","View Full Record in Web of Science")</f>
        <v>View Full Record in Web of Science</v>
      </c>
    </row>
    <row r="47" spans="1:72" x14ac:dyDescent="0.15">
      <c r="A47" t="s">
        <v>72</v>
      </c>
      <c r="B47" t="s">
        <v>1098</v>
      </c>
      <c r="C47" t="s">
        <v>74</v>
      </c>
      <c r="D47" t="s">
        <v>74</v>
      </c>
      <c r="E47" t="s">
        <v>74</v>
      </c>
      <c r="F47" t="s">
        <v>1099</v>
      </c>
      <c r="G47" t="s">
        <v>74</v>
      </c>
      <c r="H47" t="s">
        <v>74</v>
      </c>
      <c r="I47" t="s">
        <v>1100</v>
      </c>
      <c r="J47" t="s">
        <v>1076</v>
      </c>
      <c r="K47" t="s">
        <v>74</v>
      </c>
      <c r="L47" t="s">
        <v>74</v>
      </c>
      <c r="M47" t="s">
        <v>78</v>
      </c>
      <c r="N47" t="s">
        <v>79</v>
      </c>
      <c r="O47" t="s">
        <v>74</v>
      </c>
      <c r="P47" t="s">
        <v>74</v>
      </c>
      <c r="Q47" t="s">
        <v>74</v>
      </c>
      <c r="R47" t="s">
        <v>74</v>
      </c>
      <c r="S47" t="s">
        <v>74</v>
      </c>
      <c r="T47" t="s">
        <v>1101</v>
      </c>
      <c r="U47" t="s">
        <v>1102</v>
      </c>
      <c r="V47" t="s">
        <v>1103</v>
      </c>
      <c r="W47" t="s">
        <v>1104</v>
      </c>
      <c r="X47" t="s">
        <v>1105</v>
      </c>
      <c r="Y47" t="s">
        <v>1106</v>
      </c>
      <c r="Z47" t="s">
        <v>1107</v>
      </c>
      <c r="AA47" t="s">
        <v>74</v>
      </c>
      <c r="AB47" t="s">
        <v>74</v>
      </c>
      <c r="AC47" t="s">
        <v>1108</v>
      </c>
      <c r="AD47" t="s">
        <v>1109</v>
      </c>
      <c r="AE47" t="s">
        <v>1110</v>
      </c>
      <c r="AF47" t="s">
        <v>74</v>
      </c>
      <c r="AG47">
        <v>24</v>
      </c>
      <c r="AH47">
        <v>6</v>
      </c>
      <c r="AI47">
        <v>6</v>
      </c>
      <c r="AJ47">
        <v>0</v>
      </c>
      <c r="AK47">
        <v>10</v>
      </c>
      <c r="AL47" t="s">
        <v>626</v>
      </c>
      <c r="AM47" t="s">
        <v>583</v>
      </c>
      <c r="AN47" t="s">
        <v>627</v>
      </c>
      <c r="AO47" t="s">
        <v>1089</v>
      </c>
      <c r="AP47" t="s">
        <v>1090</v>
      </c>
      <c r="AQ47" t="s">
        <v>74</v>
      </c>
      <c r="AR47" t="s">
        <v>1091</v>
      </c>
      <c r="AS47" t="s">
        <v>1092</v>
      </c>
      <c r="AT47" t="s">
        <v>99</v>
      </c>
      <c r="AU47">
        <v>2016</v>
      </c>
      <c r="AV47">
        <v>10</v>
      </c>
      <c r="AW47">
        <v>2</v>
      </c>
      <c r="AX47" t="s">
        <v>74</v>
      </c>
      <c r="AY47" t="s">
        <v>74</v>
      </c>
      <c r="AZ47" t="s">
        <v>74</v>
      </c>
      <c r="BA47" t="s">
        <v>74</v>
      </c>
      <c r="BB47">
        <v>132</v>
      </c>
      <c r="BC47">
        <v>139</v>
      </c>
      <c r="BD47" t="s">
        <v>74</v>
      </c>
      <c r="BE47" t="s">
        <v>1111</v>
      </c>
      <c r="BF47" t="str">
        <f>HYPERLINK("http://dx.doi.org/10.1016/j.polar.2016.02.005","http://dx.doi.org/10.1016/j.polar.2016.02.005")</f>
        <v>http://dx.doi.org/10.1016/j.polar.2016.02.005</v>
      </c>
      <c r="BG47" t="s">
        <v>74</v>
      </c>
      <c r="BH47" t="s">
        <v>74</v>
      </c>
      <c r="BI47">
        <v>8</v>
      </c>
      <c r="BJ47" t="s">
        <v>1094</v>
      </c>
      <c r="BK47" t="s">
        <v>102</v>
      </c>
      <c r="BL47" t="s">
        <v>1095</v>
      </c>
      <c r="BM47" t="s">
        <v>1096</v>
      </c>
      <c r="BN47" t="s">
        <v>74</v>
      </c>
      <c r="BO47" t="s">
        <v>222</v>
      </c>
      <c r="BP47" t="s">
        <v>74</v>
      </c>
      <c r="BQ47" t="s">
        <v>74</v>
      </c>
      <c r="BR47" t="s">
        <v>106</v>
      </c>
      <c r="BS47" t="s">
        <v>1112</v>
      </c>
      <c r="BT47" t="str">
        <f>HYPERLINK("https%3A%2F%2Fwww.webofscience.com%2Fwos%2Fwoscc%2Ffull-record%2FWOS:000375557500003","View Full Record in Web of Science")</f>
        <v>View Full Record in Web of Science</v>
      </c>
    </row>
    <row r="48" spans="1:72" x14ac:dyDescent="0.15">
      <c r="A48" t="s">
        <v>72</v>
      </c>
      <c r="B48" t="s">
        <v>1113</v>
      </c>
      <c r="C48" t="s">
        <v>74</v>
      </c>
      <c r="D48" t="s">
        <v>74</v>
      </c>
      <c r="E48" t="s">
        <v>74</v>
      </c>
      <c r="F48" t="s">
        <v>1114</v>
      </c>
      <c r="G48" t="s">
        <v>74</v>
      </c>
      <c r="H48" t="s">
        <v>74</v>
      </c>
      <c r="I48" t="s">
        <v>1115</v>
      </c>
      <c r="J48" t="s">
        <v>1076</v>
      </c>
      <c r="K48" t="s">
        <v>74</v>
      </c>
      <c r="L48" t="s">
        <v>74</v>
      </c>
      <c r="M48" t="s">
        <v>78</v>
      </c>
      <c r="N48" t="s">
        <v>79</v>
      </c>
      <c r="O48" t="s">
        <v>74</v>
      </c>
      <c r="P48" t="s">
        <v>74</v>
      </c>
      <c r="Q48" t="s">
        <v>74</v>
      </c>
      <c r="R48" t="s">
        <v>74</v>
      </c>
      <c r="S48" t="s">
        <v>74</v>
      </c>
      <c r="T48" t="s">
        <v>1116</v>
      </c>
      <c r="U48" t="s">
        <v>1117</v>
      </c>
      <c r="V48" t="s">
        <v>1118</v>
      </c>
      <c r="W48" t="s">
        <v>1119</v>
      </c>
      <c r="X48" t="s">
        <v>1120</v>
      </c>
      <c r="Y48" t="s">
        <v>1121</v>
      </c>
      <c r="Z48" t="s">
        <v>1122</v>
      </c>
      <c r="AA48" t="s">
        <v>1123</v>
      </c>
      <c r="AB48" t="s">
        <v>1124</v>
      </c>
      <c r="AC48" t="s">
        <v>1125</v>
      </c>
      <c r="AD48" t="s">
        <v>1126</v>
      </c>
      <c r="AE48" t="s">
        <v>1127</v>
      </c>
      <c r="AF48" t="s">
        <v>74</v>
      </c>
      <c r="AG48">
        <v>40</v>
      </c>
      <c r="AH48">
        <v>24</v>
      </c>
      <c r="AI48">
        <v>24</v>
      </c>
      <c r="AJ48">
        <v>0</v>
      </c>
      <c r="AK48">
        <v>6</v>
      </c>
      <c r="AL48" t="s">
        <v>582</v>
      </c>
      <c r="AM48" t="s">
        <v>583</v>
      </c>
      <c r="AN48" t="s">
        <v>584</v>
      </c>
      <c r="AO48" t="s">
        <v>1089</v>
      </c>
      <c r="AP48" t="s">
        <v>1090</v>
      </c>
      <c r="AQ48" t="s">
        <v>74</v>
      </c>
      <c r="AR48" t="s">
        <v>1091</v>
      </c>
      <c r="AS48" t="s">
        <v>1092</v>
      </c>
      <c r="AT48" t="s">
        <v>99</v>
      </c>
      <c r="AU48">
        <v>2016</v>
      </c>
      <c r="AV48">
        <v>10</v>
      </c>
      <c r="AW48">
        <v>2</v>
      </c>
      <c r="AX48" t="s">
        <v>74</v>
      </c>
      <c r="AY48" t="s">
        <v>74</v>
      </c>
      <c r="AZ48" t="s">
        <v>74</v>
      </c>
      <c r="BA48" t="s">
        <v>74</v>
      </c>
      <c r="BB48">
        <v>147</v>
      </c>
      <c r="BC48">
        <v>159</v>
      </c>
      <c r="BD48" t="s">
        <v>74</v>
      </c>
      <c r="BE48" t="s">
        <v>1128</v>
      </c>
      <c r="BF48" t="str">
        <f>HYPERLINK("http://dx.doi.org/10.1016/j.polar.2016.02.004","http://dx.doi.org/10.1016/j.polar.2016.02.004")</f>
        <v>http://dx.doi.org/10.1016/j.polar.2016.02.004</v>
      </c>
      <c r="BG48" t="s">
        <v>74</v>
      </c>
      <c r="BH48" t="s">
        <v>74</v>
      </c>
      <c r="BI48">
        <v>13</v>
      </c>
      <c r="BJ48" t="s">
        <v>1094</v>
      </c>
      <c r="BK48" t="s">
        <v>102</v>
      </c>
      <c r="BL48" t="s">
        <v>1095</v>
      </c>
      <c r="BM48" t="s">
        <v>1096</v>
      </c>
      <c r="BN48" t="s">
        <v>74</v>
      </c>
      <c r="BO48" t="s">
        <v>222</v>
      </c>
      <c r="BP48" t="s">
        <v>74</v>
      </c>
      <c r="BQ48" t="s">
        <v>74</v>
      </c>
      <c r="BR48" t="s">
        <v>106</v>
      </c>
      <c r="BS48" t="s">
        <v>1129</v>
      </c>
      <c r="BT48" t="str">
        <f>HYPERLINK("https%3A%2F%2Fwww.webofscience.com%2Fwos%2Fwoscc%2Ffull-record%2FWOS:000375557500005","View Full Record in Web of Science")</f>
        <v>View Full Record in Web of Science</v>
      </c>
    </row>
    <row r="49" spans="1:72" x14ac:dyDescent="0.15">
      <c r="A49" t="s">
        <v>72</v>
      </c>
      <c r="B49" t="s">
        <v>1130</v>
      </c>
      <c r="C49" t="s">
        <v>74</v>
      </c>
      <c r="D49" t="s">
        <v>74</v>
      </c>
      <c r="E49" t="s">
        <v>74</v>
      </c>
      <c r="F49" t="s">
        <v>1131</v>
      </c>
      <c r="G49" t="s">
        <v>74</v>
      </c>
      <c r="H49" t="s">
        <v>74</v>
      </c>
      <c r="I49" t="s">
        <v>1132</v>
      </c>
      <c r="J49" t="s">
        <v>1076</v>
      </c>
      <c r="K49" t="s">
        <v>74</v>
      </c>
      <c r="L49" t="s">
        <v>74</v>
      </c>
      <c r="M49" t="s">
        <v>78</v>
      </c>
      <c r="N49" t="s">
        <v>79</v>
      </c>
      <c r="O49" t="s">
        <v>74</v>
      </c>
      <c r="P49" t="s">
        <v>74</v>
      </c>
      <c r="Q49" t="s">
        <v>74</v>
      </c>
      <c r="R49" t="s">
        <v>74</v>
      </c>
      <c r="S49" t="s">
        <v>74</v>
      </c>
      <c r="T49" t="s">
        <v>1133</v>
      </c>
      <c r="U49" t="s">
        <v>1134</v>
      </c>
      <c r="V49" t="s">
        <v>1135</v>
      </c>
      <c r="W49" t="s">
        <v>1136</v>
      </c>
      <c r="X49" t="s">
        <v>1137</v>
      </c>
      <c r="Y49" t="s">
        <v>1138</v>
      </c>
      <c r="Z49" t="s">
        <v>1139</v>
      </c>
      <c r="AA49" t="s">
        <v>1140</v>
      </c>
      <c r="AB49" t="s">
        <v>1141</v>
      </c>
      <c r="AC49" t="s">
        <v>74</v>
      </c>
      <c r="AD49" t="s">
        <v>74</v>
      </c>
      <c r="AE49" t="s">
        <v>74</v>
      </c>
      <c r="AF49" t="s">
        <v>74</v>
      </c>
      <c r="AG49">
        <v>52</v>
      </c>
      <c r="AH49">
        <v>3</v>
      </c>
      <c r="AI49">
        <v>4</v>
      </c>
      <c r="AJ49">
        <v>3</v>
      </c>
      <c r="AK49">
        <v>23</v>
      </c>
      <c r="AL49" t="s">
        <v>626</v>
      </c>
      <c r="AM49" t="s">
        <v>583</v>
      </c>
      <c r="AN49" t="s">
        <v>627</v>
      </c>
      <c r="AO49" t="s">
        <v>1089</v>
      </c>
      <c r="AP49" t="s">
        <v>1090</v>
      </c>
      <c r="AQ49" t="s">
        <v>74</v>
      </c>
      <c r="AR49" t="s">
        <v>1091</v>
      </c>
      <c r="AS49" t="s">
        <v>1092</v>
      </c>
      <c r="AT49" t="s">
        <v>99</v>
      </c>
      <c r="AU49">
        <v>2016</v>
      </c>
      <c r="AV49">
        <v>10</v>
      </c>
      <c r="AW49">
        <v>2</v>
      </c>
      <c r="AX49" t="s">
        <v>74</v>
      </c>
      <c r="AY49" t="s">
        <v>74</v>
      </c>
      <c r="AZ49" t="s">
        <v>74</v>
      </c>
      <c r="BA49" t="s">
        <v>74</v>
      </c>
      <c r="BB49">
        <v>167</v>
      </c>
      <c r="BC49">
        <v>172</v>
      </c>
      <c r="BD49" t="s">
        <v>74</v>
      </c>
      <c r="BE49" t="s">
        <v>1142</v>
      </c>
      <c r="BF49" t="str">
        <f>HYPERLINK("http://dx.doi.org/10.1016/j.polar.2016.02.003","http://dx.doi.org/10.1016/j.polar.2016.02.003")</f>
        <v>http://dx.doi.org/10.1016/j.polar.2016.02.003</v>
      </c>
      <c r="BG49" t="s">
        <v>74</v>
      </c>
      <c r="BH49" t="s">
        <v>74</v>
      </c>
      <c r="BI49">
        <v>6</v>
      </c>
      <c r="BJ49" t="s">
        <v>1094</v>
      </c>
      <c r="BK49" t="s">
        <v>102</v>
      </c>
      <c r="BL49" t="s">
        <v>1095</v>
      </c>
      <c r="BM49" t="s">
        <v>1096</v>
      </c>
      <c r="BN49" t="s">
        <v>74</v>
      </c>
      <c r="BO49" t="s">
        <v>1143</v>
      </c>
      <c r="BP49" t="s">
        <v>74</v>
      </c>
      <c r="BQ49" t="s">
        <v>74</v>
      </c>
      <c r="BR49" t="s">
        <v>106</v>
      </c>
      <c r="BS49" t="s">
        <v>1144</v>
      </c>
      <c r="BT49" t="str">
        <f>HYPERLINK("https%3A%2F%2Fwww.webofscience.com%2Fwos%2Fwoscc%2Ffull-record%2FWOS:000375557500007","View Full Record in Web of Science")</f>
        <v>View Full Record in Web of Science</v>
      </c>
    </row>
    <row r="50" spans="1:72" x14ac:dyDescent="0.15">
      <c r="A50" t="s">
        <v>72</v>
      </c>
      <c r="B50" t="s">
        <v>1145</v>
      </c>
      <c r="C50" t="s">
        <v>74</v>
      </c>
      <c r="D50" t="s">
        <v>74</v>
      </c>
      <c r="E50" t="s">
        <v>74</v>
      </c>
      <c r="F50" t="s">
        <v>1146</v>
      </c>
      <c r="G50" t="s">
        <v>74</v>
      </c>
      <c r="H50" t="s">
        <v>74</v>
      </c>
      <c r="I50" t="s">
        <v>1147</v>
      </c>
      <c r="J50" t="s">
        <v>1148</v>
      </c>
      <c r="K50" t="s">
        <v>74</v>
      </c>
      <c r="L50" t="s">
        <v>74</v>
      </c>
      <c r="M50" t="s">
        <v>78</v>
      </c>
      <c r="N50" t="s">
        <v>79</v>
      </c>
      <c r="O50" t="s">
        <v>74</v>
      </c>
      <c r="P50" t="s">
        <v>74</v>
      </c>
      <c r="Q50" t="s">
        <v>74</v>
      </c>
      <c r="R50" t="s">
        <v>74</v>
      </c>
      <c r="S50" t="s">
        <v>74</v>
      </c>
      <c r="T50" t="s">
        <v>1149</v>
      </c>
      <c r="U50" t="s">
        <v>1150</v>
      </c>
      <c r="V50" t="s">
        <v>1151</v>
      </c>
      <c r="W50" t="s">
        <v>1152</v>
      </c>
      <c r="X50" t="s">
        <v>1153</v>
      </c>
      <c r="Y50" t="s">
        <v>1154</v>
      </c>
      <c r="Z50" t="s">
        <v>1155</v>
      </c>
      <c r="AA50" t="s">
        <v>74</v>
      </c>
      <c r="AB50" t="s">
        <v>1156</v>
      </c>
      <c r="AC50" t="s">
        <v>74</v>
      </c>
      <c r="AD50" t="s">
        <v>74</v>
      </c>
      <c r="AE50" t="s">
        <v>74</v>
      </c>
      <c r="AF50" t="s">
        <v>74</v>
      </c>
      <c r="AG50">
        <v>73</v>
      </c>
      <c r="AH50">
        <v>39</v>
      </c>
      <c r="AI50">
        <v>41</v>
      </c>
      <c r="AJ50">
        <v>0</v>
      </c>
      <c r="AK50">
        <v>26</v>
      </c>
      <c r="AL50" t="s">
        <v>626</v>
      </c>
      <c r="AM50" t="s">
        <v>583</v>
      </c>
      <c r="AN50" t="s">
        <v>627</v>
      </c>
      <c r="AO50" t="s">
        <v>1157</v>
      </c>
      <c r="AP50" t="s">
        <v>1158</v>
      </c>
      <c r="AQ50" t="s">
        <v>74</v>
      </c>
      <c r="AR50" t="s">
        <v>1159</v>
      </c>
      <c r="AS50" t="s">
        <v>1160</v>
      </c>
      <c r="AT50" t="s">
        <v>246</v>
      </c>
      <c r="AU50">
        <v>2016</v>
      </c>
      <c r="AV50">
        <v>427</v>
      </c>
      <c r="AW50" t="s">
        <v>74</v>
      </c>
      <c r="AX50" t="s">
        <v>74</v>
      </c>
      <c r="AY50" t="s">
        <v>74</v>
      </c>
      <c r="AZ50" t="s">
        <v>74</v>
      </c>
      <c r="BA50" t="s">
        <v>74</v>
      </c>
      <c r="BB50">
        <v>125</v>
      </c>
      <c r="BC50">
        <v>143</v>
      </c>
      <c r="BD50" t="s">
        <v>74</v>
      </c>
      <c r="BE50" t="s">
        <v>1161</v>
      </c>
      <c r="BF50" t="str">
        <f>HYPERLINK("http://dx.doi.org/10.1016/j.chemgeo.2016.02.011","http://dx.doi.org/10.1016/j.chemgeo.2016.02.011")</f>
        <v>http://dx.doi.org/10.1016/j.chemgeo.2016.02.011</v>
      </c>
      <c r="BG50" t="s">
        <v>74</v>
      </c>
      <c r="BH50" t="s">
        <v>74</v>
      </c>
      <c r="BI50">
        <v>19</v>
      </c>
      <c r="BJ50" t="s">
        <v>727</v>
      </c>
      <c r="BK50" t="s">
        <v>102</v>
      </c>
      <c r="BL50" t="s">
        <v>727</v>
      </c>
      <c r="BM50" t="s">
        <v>1162</v>
      </c>
      <c r="BN50" t="s">
        <v>74</v>
      </c>
      <c r="BO50" t="s">
        <v>74</v>
      </c>
      <c r="BP50" t="s">
        <v>74</v>
      </c>
      <c r="BQ50" t="s">
        <v>74</v>
      </c>
      <c r="BR50" t="s">
        <v>106</v>
      </c>
      <c r="BS50" t="s">
        <v>1163</v>
      </c>
      <c r="BT50" t="str">
        <f>HYPERLINK("https%3A%2F%2Fwww.webofscience.com%2Fwos%2Fwoscc%2Ffull-record%2FWOS:000371765500011","View Full Record in Web of Science")</f>
        <v>View Full Record in Web of Science</v>
      </c>
    </row>
    <row r="51" spans="1:72" x14ac:dyDescent="0.15">
      <c r="A51" t="s">
        <v>72</v>
      </c>
      <c r="B51" t="s">
        <v>1164</v>
      </c>
      <c r="C51" t="s">
        <v>74</v>
      </c>
      <c r="D51" t="s">
        <v>74</v>
      </c>
      <c r="E51" t="s">
        <v>74</v>
      </c>
      <c r="F51" t="s">
        <v>1165</v>
      </c>
      <c r="G51" t="s">
        <v>74</v>
      </c>
      <c r="H51" t="s">
        <v>74</v>
      </c>
      <c r="I51" t="s">
        <v>1166</v>
      </c>
      <c r="J51" t="s">
        <v>1167</v>
      </c>
      <c r="K51" t="s">
        <v>74</v>
      </c>
      <c r="L51" t="s">
        <v>74</v>
      </c>
      <c r="M51" t="s">
        <v>78</v>
      </c>
      <c r="N51" t="s">
        <v>79</v>
      </c>
      <c r="O51" t="s">
        <v>74</v>
      </c>
      <c r="P51" t="s">
        <v>74</v>
      </c>
      <c r="Q51" t="s">
        <v>74</v>
      </c>
      <c r="R51" t="s">
        <v>74</v>
      </c>
      <c r="S51" t="s">
        <v>74</v>
      </c>
      <c r="T51" t="s">
        <v>1168</v>
      </c>
      <c r="U51" t="s">
        <v>1169</v>
      </c>
      <c r="V51" t="s">
        <v>1170</v>
      </c>
      <c r="W51" t="s">
        <v>1171</v>
      </c>
      <c r="X51" t="s">
        <v>1172</v>
      </c>
      <c r="Y51" t="s">
        <v>1173</v>
      </c>
      <c r="Z51" t="s">
        <v>1174</v>
      </c>
      <c r="AA51" t="s">
        <v>1175</v>
      </c>
      <c r="AB51" t="s">
        <v>1176</v>
      </c>
      <c r="AC51" t="s">
        <v>1177</v>
      </c>
      <c r="AD51" t="s">
        <v>1177</v>
      </c>
      <c r="AE51" t="s">
        <v>1178</v>
      </c>
      <c r="AF51" t="s">
        <v>74</v>
      </c>
      <c r="AG51">
        <v>55</v>
      </c>
      <c r="AH51">
        <v>10</v>
      </c>
      <c r="AI51">
        <v>11</v>
      </c>
      <c r="AJ51">
        <v>0</v>
      </c>
      <c r="AK51">
        <v>14</v>
      </c>
      <c r="AL51" t="s">
        <v>1179</v>
      </c>
      <c r="AM51" t="s">
        <v>1180</v>
      </c>
      <c r="AN51" t="s">
        <v>1181</v>
      </c>
      <c r="AO51" t="s">
        <v>1182</v>
      </c>
      <c r="AP51" t="s">
        <v>1183</v>
      </c>
      <c r="AQ51" t="s">
        <v>74</v>
      </c>
      <c r="AR51" t="s">
        <v>1184</v>
      </c>
      <c r="AS51" t="s">
        <v>1185</v>
      </c>
      <c r="AT51" t="s">
        <v>1186</v>
      </c>
      <c r="AU51">
        <v>2016</v>
      </c>
      <c r="AV51">
        <v>7</v>
      </c>
      <c r="AW51" t="s">
        <v>74</v>
      </c>
      <c r="AX51" t="s">
        <v>74</v>
      </c>
      <c r="AY51" t="s">
        <v>74</v>
      </c>
      <c r="AZ51" t="s">
        <v>74</v>
      </c>
      <c r="BA51" t="s">
        <v>74</v>
      </c>
      <c r="BB51" t="s">
        <v>74</v>
      </c>
      <c r="BC51" t="s">
        <v>74</v>
      </c>
      <c r="BD51">
        <v>11</v>
      </c>
      <c r="BE51" t="s">
        <v>1187</v>
      </c>
      <c r="BF51" t="str">
        <f>HYPERLINK("http://dx.doi.org/10.1186/s13167-016-0060-8","http://dx.doi.org/10.1186/s13167-016-0060-8")</f>
        <v>http://dx.doi.org/10.1186/s13167-016-0060-8</v>
      </c>
      <c r="BG51" t="s">
        <v>74</v>
      </c>
      <c r="BH51" t="s">
        <v>74</v>
      </c>
      <c r="BI51">
        <v>19</v>
      </c>
      <c r="BJ51" t="s">
        <v>1188</v>
      </c>
      <c r="BK51" t="s">
        <v>102</v>
      </c>
      <c r="BL51" t="s">
        <v>1189</v>
      </c>
      <c r="BM51" t="s">
        <v>1190</v>
      </c>
      <c r="BN51">
        <v>27247701</v>
      </c>
      <c r="BO51" t="s">
        <v>1191</v>
      </c>
      <c r="BP51" t="s">
        <v>74</v>
      </c>
      <c r="BQ51" t="s">
        <v>74</v>
      </c>
      <c r="BR51" t="s">
        <v>106</v>
      </c>
      <c r="BS51" t="s">
        <v>1192</v>
      </c>
      <c r="BT51" t="str">
        <f>HYPERLINK("https%3A%2F%2Fwww.webofscience.com%2Fwos%2Fwoscc%2Ffull-record%2FWOS:000377137800001","View Full Record in Web of Science")</f>
        <v>View Full Record in Web of Science</v>
      </c>
    </row>
    <row r="52" spans="1:72" x14ac:dyDescent="0.15">
      <c r="A52" t="s">
        <v>72</v>
      </c>
      <c r="B52" t="s">
        <v>1193</v>
      </c>
      <c r="C52" t="s">
        <v>74</v>
      </c>
      <c r="D52" t="s">
        <v>74</v>
      </c>
      <c r="E52" t="s">
        <v>74</v>
      </c>
      <c r="F52" t="s">
        <v>1194</v>
      </c>
      <c r="G52" t="s">
        <v>74</v>
      </c>
      <c r="H52" t="s">
        <v>74</v>
      </c>
      <c r="I52" t="s">
        <v>1195</v>
      </c>
      <c r="J52" t="s">
        <v>1196</v>
      </c>
      <c r="K52" t="s">
        <v>74</v>
      </c>
      <c r="L52" t="s">
        <v>74</v>
      </c>
      <c r="M52" t="s">
        <v>78</v>
      </c>
      <c r="N52" t="s">
        <v>79</v>
      </c>
      <c r="O52" t="s">
        <v>74</v>
      </c>
      <c r="P52" t="s">
        <v>74</v>
      </c>
      <c r="Q52" t="s">
        <v>74</v>
      </c>
      <c r="R52" t="s">
        <v>74</v>
      </c>
      <c r="S52" t="s">
        <v>74</v>
      </c>
      <c r="T52" t="s">
        <v>74</v>
      </c>
      <c r="U52" t="s">
        <v>1197</v>
      </c>
      <c r="V52" t="s">
        <v>1198</v>
      </c>
      <c r="W52" t="s">
        <v>1199</v>
      </c>
      <c r="X52" t="s">
        <v>1200</v>
      </c>
      <c r="Y52" t="s">
        <v>1201</v>
      </c>
      <c r="Z52" t="s">
        <v>1202</v>
      </c>
      <c r="AA52" t="s">
        <v>1203</v>
      </c>
      <c r="AB52" t="s">
        <v>1204</v>
      </c>
      <c r="AC52" t="s">
        <v>1205</v>
      </c>
      <c r="AD52" t="s">
        <v>1205</v>
      </c>
      <c r="AE52" t="s">
        <v>1206</v>
      </c>
      <c r="AF52" t="s">
        <v>74</v>
      </c>
      <c r="AG52">
        <v>79</v>
      </c>
      <c r="AH52">
        <v>59</v>
      </c>
      <c r="AI52">
        <v>61</v>
      </c>
      <c r="AJ52">
        <v>2</v>
      </c>
      <c r="AK52">
        <v>52</v>
      </c>
      <c r="AL52" t="s">
        <v>1207</v>
      </c>
      <c r="AM52" t="s">
        <v>1208</v>
      </c>
      <c r="AN52" t="s">
        <v>1209</v>
      </c>
      <c r="AO52" t="s">
        <v>1210</v>
      </c>
      <c r="AP52" t="s">
        <v>74</v>
      </c>
      <c r="AQ52" t="s">
        <v>74</v>
      </c>
      <c r="AR52" t="s">
        <v>1196</v>
      </c>
      <c r="AS52" t="s">
        <v>1211</v>
      </c>
      <c r="AT52" t="s">
        <v>1186</v>
      </c>
      <c r="AU52">
        <v>2016</v>
      </c>
      <c r="AV52">
        <v>11</v>
      </c>
      <c r="AW52">
        <v>5</v>
      </c>
      <c r="AX52" t="s">
        <v>74</v>
      </c>
      <c r="AY52" t="s">
        <v>74</v>
      </c>
      <c r="AZ52" t="s">
        <v>74</v>
      </c>
      <c r="BA52" t="s">
        <v>74</v>
      </c>
      <c r="BB52" t="s">
        <v>74</v>
      </c>
      <c r="BC52" t="s">
        <v>74</v>
      </c>
      <c r="BD52" t="s">
        <v>1212</v>
      </c>
      <c r="BE52" t="s">
        <v>1213</v>
      </c>
      <c r="BF52" t="str">
        <f>HYPERLINK("http://dx.doi.org/10.1371/journal.pone.0156698","http://dx.doi.org/10.1371/journal.pone.0156698")</f>
        <v>http://dx.doi.org/10.1371/journal.pone.0156698</v>
      </c>
      <c r="BG52" t="s">
        <v>74</v>
      </c>
      <c r="BH52" t="s">
        <v>74</v>
      </c>
      <c r="BI52">
        <v>20</v>
      </c>
      <c r="BJ52" t="s">
        <v>753</v>
      </c>
      <c r="BK52" t="s">
        <v>102</v>
      </c>
      <c r="BL52" t="s">
        <v>754</v>
      </c>
      <c r="BM52" t="s">
        <v>1214</v>
      </c>
      <c r="BN52">
        <v>27244081</v>
      </c>
      <c r="BO52" t="s">
        <v>1215</v>
      </c>
      <c r="BP52" t="s">
        <v>74</v>
      </c>
      <c r="BQ52" t="s">
        <v>74</v>
      </c>
      <c r="BR52" t="s">
        <v>106</v>
      </c>
      <c r="BS52" t="s">
        <v>1216</v>
      </c>
      <c r="BT52" t="str">
        <f>HYPERLINK("https%3A%2F%2Fwww.webofscience.com%2Fwos%2Fwoscc%2Ffull-record%2FWOS:000377146100063","View Full Record in Web of Science")</f>
        <v>View Full Record in Web of Science</v>
      </c>
    </row>
    <row r="53" spans="1:72" x14ac:dyDescent="0.15">
      <c r="A53" t="s">
        <v>72</v>
      </c>
      <c r="B53" t="s">
        <v>1217</v>
      </c>
      <c r="C53" t="s">
        <v>74</v>
      </c>
      <c r="D53" t="s">
        <v>74</v>
      </c>
      <c r="E53" t="s">
        <v>74</v>
      </c>
      <c r="F53" t="s">
        <v>1218</v>
      </c>
      <c r="G53" t="s">
        <v>74</v>
      </c>
      <c r="H53" t="s">
        <v>74</v>
      </c>
      <c r="I53" t="s">
        <v>1219</v>
      </c>
      <c r="J53" t="s">
        <v>1220</v>
      </c>
      <c r="K53" t="s">
        <v>74</v>
      </c>
      <c r="L53" t="s">
        <v>74</v>
      </c>
      <c r="M53" t="s">
        <v>78</v>
      </c>
      <c r="N53" t="s">
        <v>79</v>
      </c>
      <c r="O53" t="s">
        <v>74</v>
      </c>
      <c r="P53" t="s">
        <v>74</v>
      </c>
      <c r="Q53" t="s">
        <v>74</v>
      </c>
      <c r="R53" t="s">
        <v>74</v>
      </c>
      <c r="S53" t="s">
        <v>74</v>
      </c>
      <c r="T53" t="s">
        <v>1221</v>
      </c>
      <c r="U53" t="s">
        <v>1222</v>
      </c>
      <c r="V53" t="s">
        <v>1223</v>
      </c>
      <c r="W53" t="s">
        <v>1224</v>
      </c>
      <c r="X53" t="s">
        <v>1225</v>
      </c>
      <c r="Y53" t="s">
        <v>1226</v>
      </c>
      <c r="Z53" t="s">
        <v>1227</v>
      </c>
      <c r="AA53" t="s">
        <v>1228</v>
      </c>
      <c r="AB53" t="s">
        <v>1229</v>
      </c>
      <c r="AC53" t="s">
        <v>74</v>
      </c>
      <c r="AD53" t="s">
        <v>74</v>
      </c>
      <c r="AE53" t="s">
        <v>74</v>
      </c>
      <c r="AF53" t="s">
        <v>74</v>
      </c>
      <c r="AG53">
        <v>60</v>
      </c>
      <c r="AH53">
        <v>157</v>
      </c>
      <c r="AI53">
        <v>171</v>
      </c>
      <c r="AJ53">
        <v>19</v>
      </c>
      <c r="AK53">
        <v>277</v>
      </c>
      <c r="AL53" t="s">
        <v>1230</v>
      </c>
      <c r="AM53" t="s">
        <v>93</v>
      </c>
      <c r="AN53" t="s">
        <v>1231</v>
      </c>
      <c r="AO53" t="s">
        <v>1232</v>
      </c>
      <c r="AP53" t="s">
        <v>1233</v>
      </c>
      <c r="AQ53" t="s">
        <v>74</v>
      </c>
      <c r="AR53" t="s">
        <v>1234</v>
      </c>
      <c r="AS53" t="s">
        <v>1235</v>
      </c>
      <c r="AT53" t="s">
        <v>1186</v>
      </c>
      <c r="AU53">
        <v>2016</v>
      </c>
      <c r="AV53">
        <v>113</v>
      </c>
      <c r="AW53">
        <v>22</v>
      </c>
      <c r="AX53" t="s">
        <v>74</v>
      </c>
      <c r="AY53" t="s">
        <v>74</v>
      </c>
      <c r="AZ53" t="s">
        <v>74</v>
      </c>
      <c r="BA53" t="s">
        <v>74</v>
      </c>
      <c r="BB53">
        <v>6230</v>
      </c>
      <c r="BC53">
        <v>6235</v>
      </c>
      <c r="BD53" t="s">
        <v>74</v>
      </c>
      <c r="BE53" t="s">
        <v>1236</v>
      </c>
      <c r="BF53" t="str">
        <f>HYPERLINK("http://dx.doi.org/10.1073/pnas.1524465113","http://dx.doi.org/10.1073/pnas.1524465113")</f>
        <v>http://dx.doi.org/10.1073/pnas.1524465113</v>
      </c>
      <c r="BG53" t="s">
        <v>74</v>
      </c>
      <c r="BH53" t="s">
        <v>74</v>
      </c>
      <c r="BI53">
        <v>6</v>
      </c>
      <c r="BJ53" t="s">
        <v>753</v>
      </c>
      <c r="BK53" t="s">
        <v>102</v>
      </c>
      <c r="BL53" t="s">
        <v>754</v>
      </c>
      <c r="BM53" t="s">
        <v>1237</v>
      </c>
      <c r="BN53">
        <v>27185921</v>
      </c>
      <c r="BO53" t="s">
        <v>293</v>
      </c>
      <c r="BP53" t="s">
        <v>74</v>
      </c>
      <c r="BQ53" t="s">
        <v>74</v>
      </c>
      <c r="BR53" t="s">
        <v>106</v>
      </c>
      <c r="BS53" t="s">
        <v>1238</v>
      </c>
      <c r="BT53" t="str">
        <f>HYPERLINK("https%3A%2F%2Fwww.webofscience.com%2Fwos%2Fwoscc%2Ffull-record%2FWOS:000376784600048","View Full Record in Web of Science")</f>
        <v>View Full Record in Web of Science</v>
      </c>
    </row>
    <row r="54" spans="1:72" x14ac:dyDescent="0.15">
      <c r="A54" t="s">
        <v>72</v>
      </c>
      <c r="B54" t="s">
        <v>1239</v>
      </c>
      <c r="C54" t="s">
        <v>74</v>
      </c>
      <c r="D54" t="s">
        <v>74</v>
      </c>
      <c r="E54" t="s">
        <v>74</v>
      </c>
      <c r="F54" t="s">
        <v>1240</v>
      </c>
      <c r="G54" t="s">
        <v>74</v>
      </c>
      <c r="H54" t="s">
        <v>74</v>
      </c>
      <c r="I54" t="s">
        <v>1241</v>
      </c>
      <c r="J54" t="s">
        <v>1242</v>
      </c>
      <c r="K54" t="s">
        <v>74</v>
      </c>
      <c r="L54" t="s">
        <v>74</v>
      </c>
      <c r="M54" t="s">
        <v>78</v>
      </c>
      <c r="N54" t="s">
        <v>79</v>
      </c>
      <c r="O54" t="s">
        <v>74</v>
      </c>
      <c r="P54" t="s">
        <v>74</v>
      </c>
      <c r="Q54" t="s">
        <v>74</v>
      </c>
      <c r="R54" t="s">
        <v>74</v>
      </c>
      <c r="S54" t="s">
        <v>74</v>
      </c>
      <c r="T54" t="s">
        <v>1243</v>
      </c>
      <c r="U54" t="s">
        <v>1244</v>
      </c>
      <c r="V54" t="s">
        <v>1245</v>
      </c>
      <c r="W54" t="s">
        <v>1246</v>
      </c>
      <c r="X54" t="s">
        <v>1247</v>
      </c>
      <c r="Y54" t="s">
        <v>1248</v>
      </c>
      <c r="Z54" t="s">
        <v>1249</v>
      </c>
      <c r="AA54" t="s">
        <v>1250</v>
      </c>
      <c r="AB54" t="s">
        <v>1251</v>
      </c>
      <c r="AC54" t="s">
        <v>74</v>
      </c>
      <c r="AD54" t="s">
        <v>74</v>
      </c>
      <c r="AE54" t="s">
        <v>74</v>
      </c>
      <c r="AF54" t="s">
        <v>74</v>
      </c>
      <c r="AG54">
        <v>66</v>
      </c>
      <c r="AH54">
        <v>14</v>
      </c>
      <c r="AI54">
        <v>14</v>
      </c>
      <c r="AJ54">
        <v>1</v>
      </c>
      <c r="AK54">
        <v>24</v>
      </c>
      <c r="AL54" t="s">
        <v>582</v>
      </c>
      <c r="AM54" t="s">
        <v>583</v>
      </c>
      <c r="AN54" t="s">
        <v>584</v>
      </c>
      <c r="AO54" t="s">
        <v>1252</v>
      </c>
      <c r="AP54" t="s">
        <v>1253</v>
      </c>
      <c r="AQ54" t="s">
        <v>74</v>
      </c>
      <c r="AR54" t="s">
        <v>1254</v>
      </c>
      <c r="AS54" t="s">
        <v>1255</v>
      </c>
      <c r="AT54" t="s">
        <v>1256</v>
      </c>
      <c r="AU54">
        <v>2016</v>
      </c>
      <c r="AV54">
        <v>922</v>
      </c>
      <c r="AW54" t="s">
        <v>74</v>
      </c>
      <c r="AX54" t="s">
        <v>74</v>
      </c>
      <c r="AY54" t="s">
        <v>74</v>
      </c>
      <c r="AZ54" t="s">
        <v>74</v>
      </c>
      <c r="BA54" t="s">
        <v>74</v>
      </c>
      <c r="BB54">
        <v>11</v>
      </c>
      <c r="BC54">
        <v>18</v>
      </c>
      <c r="BD54" t="s">
        <v>74</v>
      </c>
      <c r="BE54" t="s">
        <v>1257</v>
      </c>
      <c r="BF54" t="str">
        <f>HYPERLINK("http://dx.doi.org/10.1016/j.aca.2016.04.008","http://dx.doi.org/10.1016/j.aca.2016.04.008")</f>
        <v>http://dx.doi.org/10.1016/j.aca.2016.04.008</v>
      </c>
      <c r="BG54" t="s">
        <v>74</v>
      </c>
      <c r="BH54" t="s">
        <v>74</v>
      </c>
      <c r="BI54">
        <v>8</v>
      </c>
      <c r="BJ54" t="s">
        <v>1258</v>
      </c>
      <c r="BK54" t="s">
        <v>102</v>
      </c>
      <c r="BL54" t="s">
        <v>1259</v>
      </c>
      <c r="BM54" t="s">
        <v>1260</v>
      </c>
      <c r="BN54">
        <v>27154827</v>
      </c>
      <c r="BO54" t="s">
        <v>74</v>
      </c>
      <c r="BP54" t="s">
        <v>74</v>
      </c>
      <c r="BQ54" t="s">
        <v>74</v>
      </c>
      <c r="BR54" t="s">
        <v>106</v>
      </c>
      <c r="BS54" t="s">
        <v>1261</v>
      </c>
      <c r="BT54" t="str">
        <f>HYPERLINK("https%3A%2F%2Fwww.webofscience.com%2Fwos%2Fwoscc%2Ffull-record%2FWOS:000375385200002","View Full Record in Web of Science")</f>
        <v>View Full Record in Web of Science</v>
      </c>
    </row>
    <row r="55" spans="1:72" x14ac:dyDescent="0.15">
      <c r="A55" t="s">
        <v>72</v>
      </c>
      <c r="B55" t="s">
        <v>1262</v>
      </c>
      <c r="C55" t="s">
        <v>74</v>
      </c>
      <c r="D55" t="s">
        <v>74</v>
      </c>
      <c r="E55" t="s">
        <v>74</v>
      </c>
      <c r="F55" t="s">
        <v>1263</v>
      </c>
      <c r="G55" t="s">
        <v>74</v>
      </c>
      <c r="H55" t="s">
        <v>74</v>
      </c>
      <c r="I55" t="s">
        <v>1264</v>
      </c>
      <c r="J55" t="s">
        <v>1265</v>
      </c>
      <c r="K55" t="s">
        <v>74</v>
      </c>
      <c r="L55" t="s">
        <v>74</v>
      </c>
      <c r="M55" t="s">
        <v>78</v>
      </c>
      <c r="N55" t="s">
        <v>79</v>
      </c>
      <c r="O55" t="s">
        <v>74</v>
      </c>
      <c r="P55" t="s">
        <v>74</v>
      </c>
      <c r="Q55" t="s">
        <v>74</v>
      </c>
      <c r="R55" t="s">
        <v>74</v>
      </c>
      <c r="S55" t="s">
        <v>74</v>
      </c>
      <c r="T55" t="s">
        <v>1266</v>
      </c>
      <c r="U55" t="s">
        <v>1267</v>
      </c>
      <c r="V55" t="s">
        <v>1268</v>
      </c>
      <c r="W55" t="s">
        <v>1269</v>
      </c>
      <c r="X55" t="s">
        <v>1270</v>
      </c>
      <c r="Y55" t="s">
        <v>1271</v>
      </c>
      <c r="Z55" t="s">
        <v>1272</v>
      </c>
      <c r="AA55" t="s">
        <v>74</v>
      </c>
      <c r="AB55" t="s">
        <v>1273</v>
      </c>
      <c r="AC55" t="s">
        <v>1274</v>
      </c>
      <c r="AD55" t="s">
        <v>1274</v>
      </c>
      <c r="AE55" t="s">
        <v>1275</v>
      </c>
      <c r="AF55" t="s">
        <v>74</v>
      </c>
      <c r="AG55">
        <v>32</v>
      </c>
      <c r="AH55">
        <v>22</v>
      </c>
      <c r="AI55">
        <v>23</v>
      </c>
      <c r="AJ55">
        <v>0</v>
      </c>
      <c r="AK55">
        <v>52</v>
      </c>
      <c r="AL55" t="s">
        <v>582</v>
      </c>
      <c r="AM55" t="s">
        <v>583</v>
      </c>
      <c r="AN55" t="s">
        <v>584</v>
      </c>
      <c r="AO55" t="s">
        <v>1276</v>
      </c>
      <c r="AP55" t="s">
        <v>1277</v>
      </c>
      <c r="AQ55" t="s">
        <v>74</v>
      </c>
      <c r="AR55" t="s">
        <v>1278</v>
      </c>
      <c r="AS55" t="s">
        <v>1279</v>
      </c>
      <c r="AT55" t="s">
        <v>1256</v>
      </c>
      <c r="AU55">
        <v>2016</v>
      </c>
      <c r="AV55">
        <v>124</v>
      </c>
      <c r="AW55" t="s">
        <v>74</v>
      </c>
      <c r="AX55" t="s">
        <v>74</v>
      </c>
      <c r="AY55" t="s">
        <v>74</v>
      </c>
      <c r="AZ55" t="s">
        <v>74</v>
      </c>
      <c r="BA55" t="s">
        <v>74</v>
      </c>
      <c r="BB55">
        <v>157</v>
      </c>
      <c r="BC55">
        <v>163</v>
      </c>
      <c r="BD55" t="s">
        <v>74</v>
      </c>
      <c r="BE55" t="s">
        <v>1280</v>
      </c>
      <c r="BF55" t="str">
        <f>HYPERLINK("http://dx.doi.org/10.1016/j.jpba.2016.02.037","http://dx.doi.org/10.1016/j.jpba.2016.02.037")</f>
        <v>http://dx.doi.org/10.1016/j.jpba.2016.02.037</v>
      </c>
      <c r="BG55" t="s">
        <v>74</v>
      </c>
      <c r="BH55" t="s">
        <v>74</v>
      </c>
      <c r="BI55">
        <v>7</v>
      </c>
      <c r="BJ55" t="s">
        <v>1281</v>
      </c>
      <c r="BK55" t="s">
        <v>102</v>
      </c>
      <c r="BL55" t="s">
        <v>1282</v>
      </c>
      <c r="BM55" t="s">
        <v>1283</v>
      </c>
      <c r="BN55">
        <v>26950903</v>
      </c>
      <c r="BO55" t="s">
        <v>74</v>
      </c>
      <c r="BP55" t="s">
        <v>74</v>
      </c>
      <c r="BQ55" t="s">
        <v>74</v>
      </c>
      <c r="BR55" t="s">
        <v>106</v>
      </c>
      <c r="BS55" t="s">
        <v>1284</v>
      </c>
      <c r="BT55" t="str">
        <f>HYPERLINK("https%3A%2F%2Fwww.webofscience.com%2Fwos%2Fwoscc%2Ffull-record%2FWOS:000374202000018","View Full Record in Web of Science")</f>
        <v>View Full Record in Web of Science</v>
      </c>
    </row>
    <row r="56" spans="1:72" x14ac:dyDescent="0.15">
      <c r="A56" t="s">
        <v>72</v>
      </c>
      <c r="B56" t="s">
        <v>1285</v>
      </c>
      <c r="C56" t="s">
        <v>74</v>
      </c>
      <c r="D56" t="s">
        <v>74</v>
      </c>
      <c r="E56" t="s">
        <v>74</v>
      </c>
      <c r="F56" t="s">
        <v>1286</v>
      </c>
      <c r="G56" t="s">
        <v>74</v>
      </c>
      <c r="H56" t="s">
        <v>74</v>
      </c>
      <c r="I56" t="s">
        <v>1287</v>
      </c>
      <c r="J56" t="s">
        <v>1288</v>
      </c>
      <c r="K56" t="s">
        <v>74</v>
      </c>
      <c r="L56" t="s">
        <v>74</v>
      </c>
      <c r="M56" t="s">
        <v>78</v>
      </c>
      <c r="N56" t="s">
        <v>79</v>
      </c>
      <c r="O56" t="s">
        <v>74</v>
      </c>
      <c r="P56" t="s">
        <v>74</v>
      </c>
      <c r="Q56" t="s">
        <v>74</v>
      </c>
      <c r="R56" t="s">
        <v>74</v>
      </c>
      <c r="S56" t="s">
        <v>74</v>
      </c>
      <c r="T56" t="s">
        <v>74</v>
      </c>
      <c r="U56" t="s">
        <v>1289</v>
      </c>
      <c r="V56" t="s">
        <v>1290</v>
      </c>
      <c r="W56" t="s">
        <v>1291</v>
      </c>
      <c r="X56" t="s">
        <v>1292</v>
      </c>
      <c r="Y56" t="s">
        <v>1293</v>
      </c>
      <c r="Z56" t="s">
        <v>1294</v>
      </c>
      <c r="AA56" t="s">
        <v>74</v>
      </c>
      <c r="AB56" t="s">
        <v>1295</v>
      </c>
      <c r="AC56" t="s">
        <v>74</v>
      </c>
      <c r="AD56" t="s">
        <v>74</v>
      </c>
      <c r="AE56" t="s">
        <v>74</v>
      </c>
      <c r="AF56" t="s">
        <v>74</v>
      </c>
      <c r="AG56">
        <v>41</v>
      </c>
      <c r="AH56">
        <v>8</v>
      </c>
      <c r="AI56">
        <v>9</v>
      </c>
      <c r="AJ56">
        <v>1</v>
      </c>
      <c r="AK56">
        <v>16</v>
      </c>
      <c r="AL56" t="s">
        <v>92</v>
      </c>
      <c r="AM56" t="s">
        <v>93</v>
      </c>
      <c r="AN56" t="s">
        <v>94</v>
      </c>
      <c r="AO56" t="s">
        <v>1296</v>
      </c>
      <c r="AP56" t="s">
        <v>1297</v>
      </c>
      <c r="AQ56" t="s">
        <v>74</v>
      </c>
      <c r="AR56" t="s">
        <v>1298</v>
      </c>
      <c r="AS56" t="s">
        <v>1299</v>
      </c>
      <c r="AT56" t="s">
        <v>1300</v>
      </c>
      <c r="AU56">
        <v>2016</v>
      </c>
      <c r="AV56">
        <v>43</v>
      </c>
      <c r="AW56">
        <v>10</v>
      </c>
      <c r="AX56" t="s">
        <v>74</v>
      </c>
      <c r="AY56" t="s">
        <v>74</v>
      </c>
      <c r="AZ56" t="s">
        <v>74</v>
      </c>
      <c r="BA56" t="s">
        <v>74</v>
      </c>
      <c r="BB56">
        <v>5271</v>
      </c>
      <c r="BC56">
        <v>5278</v>
      </c>
      <c r="BD56" t="s">
        <v>74</v>
      </c>
      <c r="BE56" t="s">
        <v>1301</v>
      </c>
      <c r="BF56" t="str">
        <f>HYPERLINK("http://dx.doi.org/10.1002/2016GL069071","http://dx.doi.org/10.1002/2016GL069071")</f>
        <v>http://dx.doi.org/10.1002/2016GL069071</v>
      </c>
      <c r="BG56" t="s">
        <v>74</v>
      </c>
      <c r="BH56" t="s">
        <v>74</v>
      </c>
      <c r="BI56">
        <v>8</v>
      </c>
      <c r="BJ56" t="s">
        <v>269</v>
      </c>
      <c r="BK56" t="s">
        <v>102</v>
      </c>
      <c r="BL56" t="s">
        <v>270</v>
      </c>
      <c r="BM56" t="s">
        <v>1302</v>
      </c>
      <c r="BN56" t="s">
        <v>74</v>
      </c>
      <c r="BO56" t="s">
        <v>420</v>
      </c>
      <c r="BP56" t="s">
        <v>74</v>
      </c>
      <c r="BQ56" t="s">
        <v>74</v>
      </c>
      <c r="BR56" t="s">
        <v>106</v>
      </c>
      <c r="BS56" t="s">
        <v>1303</v>
      </c>
      <c r="BT56" t="str">
        <f>HYPERLINK("https%3A%2F%2Fwww.webofscience.com%2Fwos%2Fwoscc%2Ffull-record%2FWOS:000378347500074","View Full Record in Web of Science")</f>
        <v>View Full Record in Web of Science</v>
      </c>
    </row>
    <row r="57" spans="1:72" x14ac:dyDescent="0.15">
      <c r="A57" t="s">
        <v>72</v>
      </c>
      <c r="B57" t="s">
        <v>1304</v>
      </c>
      <c r="C57" t="s">
        <v>74</v>
      </c>
      <c r="D57" t="s">
        <v>74</v>
      </c>
      <c r="E57" t="s">
        <v>74</v>
      </c>
      <c r="F57" t="s">
        <v>1305</v>
      </c>
      <c r="G57" t="s">
        <v>74</v>
      </c>
      <c r="H57" t="s">
        <v>74</v>
      </c>
      <c r="I57" t="s">
        <v>1306</v>
      </c>
      <c r="J57" t="s">
        <v>1288</v>
      </c>
      <c r="K57" t="s">
        <v>74</v>
      </c>
      <c r="L57" t="s">
        <v>74</v>
      </c>
      <c r="M57" t="s">
        <v>78</v>
      </c>
      <c r="N57" t="s">
        <v>79</v>
      </c>
      <c r="O57" t="s">
        <v>74</v>
      </c>
      <c r="P57" t="s">
        <v>74</v>
      </c>
      <c r="Q57" t="s">
        <v>74</v>
      </c>
      <c r="R57" t="s">
        <v>74</v>
      </c>
      <c r="S57" t="s">
        <v>74</v>
      </c>
      <c r="T57" t="s">
        <v>74</v>
      </c>
      <c r="U57" t="s">
        <v>1307</v>
      </c>
      <c r="V57" t="s">
        <v>1308</v>
      </c>
      <c r="W57" t="s">
        <v>1309</v>
      </c>
      <c r="X57" t="s">
        <v>1310</v>
      </c>
      <c r="Y57" t="s">
        <v>1311</v>
      </c>
      <c r="Z57" t="s">
        <v>1312</v>
      </c>
      <c r="AA57" t="s">
        <v>1313</v>
      </c>
      <c r="AB57" t="s">
        <v>1314</v>
      </c>
      <c r="AC57" t="s">
        <v>1315</v>
      </c>
      <c r="AD57" t="s">
        <v>1316</v>
      </c>
      <c r="AE57" t="s">
        <v>1317</v>
      </c>
      <c r="AF57" t="s">
        <v>74</v>
      </c>
      <c r="AG57">
        <v>47</v>
      </c>
      <c r="AH57">
        <v>41</v>
      </c>
      <c r="AI57">
        <v>44</v>
      </c>
      <c r="AJ57">
        <v>0</v>
      </c>
      <c r="AK57">
        <v>21</v>
      </c>
      <c r="AL57" t="s">
        <v>92</v>
      </c>
      <c r="AM57" t="s">
        <v>93</v>
      </c>
      <c r="AN57" t="s">
        <v>94</v>
      </c>
      <c r="AO57" t="s">
        <v>1296</v>
      </c>
      <c r="AP57" t="s">
        <v>1297</v>
      </c>
      <c r="AQ57" t="s">
        <v>74</v>
      </c>
      <c r="AR57" t="s">
        <v>1298</v>
      </c>
      <c r="AS57" t="s">
        <v>1299</v>
      </c>
      <c r="AT57" t="s">
        <v>1300</v>
      </c>
      <c r="AU57">
        <v>2016</v>
      </c>
      <c r="AV57">
        <v>43</v>
      </c>
      <c r="AW57">
        <v>10</v>
      </c>
      <c r="AX57" t="s">
        <v>74</v>
      </c>
      <c r="AY57" t="s">
        <v>74</v>
      </c>
      <c r="AZ57" t="s">
        <v>74</v>
      </c>
      <c r="BA57" t="s">
        <v>74</v>
      </c>
      <c r="BB57">
        <v>5309</v>
      </c>
      <c r="BC57">
        <v>5317</v>
      </c>
      <c r="BD57" t="s">
        <v>74</v>
      </c>
      <c r="BE57" t="s">
        <v>1318</v>
      </c>
      <c r="BF57" t="str">
        <f>HYPERLINK("http://dx.doi.org/10.1002/2016GL068130","http://dx.doi.org/10.1002/2016GL068130")</f>
        <v>http://dx.doi.org/10.1002/2016GL068130</v>
      </c>
      <c r="BG57" t="s">
        <v>74</v>
      </c>
      <c r="BH57" t="s">
        <v>74</v>
      </c>
      <c r="BI57">
        <v>9</v>
      </c>
      <c r="BJ57" t="s">
        <v>269</v>
      </c>
      <c r="BK57" t="s">
        <v>102</v>
      </c>
      <c r="BL57" t="s">
        <v>270</v>
      </c>
      <c r="BM57" t="s">
        <v>1302</v>
      </c>
      <c r="BN57" t="s">
        <v>74</v>
      </c>
      <c r="BO57" t="s">
        <v>1319</v>
      </c>
      <c r="BP57" t="s">
        <v>74</v>
      </c>
      <c r="BQ57" t="s">
        <v>74</v>
      </c>
      <c r="BR57" t="s">
        <v>106</v>
      </c>
      <c r="BS57" t="s">
        <v>1320</v>
      </c>
      <c r="BT57" t="str">
        <f>HYPERLINK("https%3A%2F%2Fwww.webofscience.com%2Fwos%2Fwoscc%2Ffull-record%2FWOS:000378347500079","View Full Record in Web of Science")</f>
        <v>View Full Record in Web of Science</v>
      </c>
    </row>
    <row r="58" spans="1:72" x14ac:dyDescent="0.15">
      <c r="A58" t="s">
        <v>72</v>
      </c>
      <c r="B58" t="s">
        <v>1321</v>
      </c>
      <c r="C58" t="s">
        <v>74</v>
      </c>
      <c r="D58" t="s">
        <v>74</v>
      </c>
      <c r="E58" t="s">
        <v>74</v>
      </c>
      <c r="F58" t="s">
        <v>1322</v>
      </c>
      <c r="G58" t="s">
        <v>74</v>
      </c>
      <c r="H58" t="s">
        <v>74</v>
      </c>
      <c r="I58" t="s">
        <v>1323</v>
      </c>
      <c r="J58" t="s">
        <v>1324</v>
      </c>
      <c r="K58" t="s">
        <v>74</v>
      </c>
      <c r="L58" t="s">
        <v>74</v>
      </c>
      <c r="M58" t="s">
        <v>78</v>
      </c>
      <c r="N58" t="s">
        <v>79</v>
      </c>
      <c r="O58" t="s">
        <v>74</v>
      </c>
      <c r="P58" t="s">
        <v>74</v>
      </c>
      <c r="Q58" t="s">
        <v>74</v>
      </c>
      <c r="R58" t="s">
        <v>74</v>
      </c>
      <c r="S58" t="s">
        <v>74</v>
      </c>
      <c r="T58" t="s">
        <v>1325</v>
      </c>
      <c r="U58" t="s">
        <v>1326</v>
      </c>
      <c r="V58" t="s">
        <v>1327</v>
      </c>
      <c r="W58" t="s">
        <v>1328</v>
      </c>
      <c r="X58" t="s">
        <v>1329</v>
      </c>
      <c r="Y58" t="s">
        <v>1330</v>
      </c>
      <c r="Z58" t="s">
        <v>1331</v>
      </c>
      <c r="AA58" t="s">
        <v>1332</v>
      </c>
      <c r="AB58" t="s">
        <v>1333</v>
      </c>
      <c r="AC58" t="s">
        <v>1334</v>
      </c>
      <c r="AD58" t="s">
        <v>1335</v>
      </c>
      <c r="AE58" t="s">
        <v>1336</v>
      </c>
      <c r="AF58" t="s">
        <v>74</v>
      </c>
      <c r="AG58">
        <v>134</v>
      </c>
      <c r="AH58">
        <v>15</v>
      </c>
      <c r="AI58">
        <v>17</v>
      </c>
      <c r="AJ58">
        <v>0</v>
      </c>
      <c r="AK58">
        <v>37</v>
      </c>
      <c r="AL58" t="s">
        <v>1337</v>
      </c>
      <c r="AM58" t="s">
        <v>773</v>
      </c>
      <c r="AN58" t="s">
        <v>1338</v>
      </c>
      <c r="AO58" t="s">
        <v>1339</v>
      </c>
      <c r="AP58" t="s">
        <v>74</v>
      </c>
      <c r="AQ58" t="s">
        <v>74</v>
      </c>
      <c r="AR58" t="s">
        <v>1324</v>
      </c>
      <c r="AS58" t="s">
        <v>1340</v>
      </c>
      <c r="AT58" t="s">
        <v>1341</v>
      </c>
      <c r="AU58">
        <v>2016</v>
      </c>
      <c r="AV58">
        <v>17</v>
      </c>
      <c r="AW58" t="s">
        <v>74</v>
      </c>
      <c r="AX58" t="s">
        <v>74</v>
      </c>
      <c r="AY58" t="s">
        <v>74</v>
      </c>
      <c r="AZ58" t="s">
        <v>74</v>
      </c>
      <c r="BA58" t="s">
        <v>74</v>
      </c>
      <c r="BB58" t="s">
        <v>74</v>
      </c>
      <c r="BC58" t="s">
        <v>74</v>
      </c>
      <c r="BD58">
        <v>413</v>
      </c>
      <c r="BE58" t="s">
        <v>1342</v>
      </c>
      <c r="BF58" t="str">
        <f>HYPERLINK("http://dx.doi.org/10.1186/s12864-016-2699-x","http://dx.doi.org/10.1186/s12864-016-2699-x")</f>
        <v>http://dx.doi.org/10.1186/s12864-016-2699-x</v>
      </c>
      <c r="BG58" t="s">
        <v>74</v>
      </c>
      <c r="BH58" t="s">
        <v>74</v>
      </c>
      <c r="BI58">
        <v>24</v>
      </c>
      <c r="BJ58" t="s">
        <v>1343</v>
      </c>
      <c r="BK58" t="s">
        <v>102</v>
      </c>
      <c r="BL58" t="s">
        <v>1343</v>
      </c>
      <c r="BM58" t="s">
        <v>1344</v>
      </c>
      <c r="BN58">
        <v>27233904</v>
      </c>
      <c r="BO58" t="s">
        <v>1345</v>
      </c>
      <c r="BP58" t="s">
        <v>74</v>
      </c>
      <c r="BQ58" t="s">
        <v>74</v>
      </c>
      <c r="BR58" t="s">
        <v>106</v>
      </c>
      <c r="BS58" t="s">
        <v>1346</v>
      </c>
      <c r="BT58" t="str">
        <f>HYPERLINK("https%3A%2F%2Fwww.webofscience.com%2Fwos%2Fwoscc%2Ffull-record%2FWOS:000377561600001","View Full Record in Web of Science")</f>
        <v>View Full Record in Web of Science</v>
      </c>
    </row>
    <row r="59" spans="1:72" x14ac:dyDescent="0.15">
      <c r="A59" t="s">
        <v>72</v>
      </c>
      <c r="B59" t="s">
        <v>1347</v>
      </c>
      <c r="C59" t="s">
        <v>74</v>
      </c>
      <c r="D59" t="s">
        <v>74</v>
      </c>
      <c r="E59" t="s">
        <v>74</v>
      </c>
      <c r="F59" t="s">
        <v>1348</v>
      </c>
      <c r="G59" t="s">
        <v>74</v>
      </c>
      <c r="H59" t="s">
        <v>74</v>
      </c>
      <c r="I59" t="s">
        <v>1349</v>
      </c>
      <c r="J59" t="s">
        <v>1350</v>
      </c>
      <c r="K59" t="s">
        <v>74</v>
      </c>
      <c r="L59" t="s">
        <v>74</v>
      </c>
      <c r="M59" t="s">
        <v>78</v>
      </c>
      <c r="N59" t="s">
        <v>79</v>
      </c>
      <c r="O59" t="s">
        <v>74</v>
      </c>
      <c r="P59" t="s">
        <v>74</v>
      </c>
      <c r="Q59" t="s">
        <v>74</v>
      </c>
      <c r="R59" t="s">
        <v>74</v>
      </c>
      <c r="S59" t="s">
        <v>74</v>
      </c>
      <c r="T59" t="s">
        <v>74</v>
      </c>
      <c r="U59" t="s">
        <v>1351</v>
      </c>
      <c r="V59" t="s">
        <v>1352</v>
      </c>
      <c r="W59" t="s">
        <v>1353</v>
      </c>
      <c r="X59" t="s">
        <v>1354</v>
      </c>
      <c r="Y59" t="s">
        <v>1355</v>
      </c>
      <c r="Z59" t="s">
        <v>1356</v>
      </c>
      <c r="AA59" t="s">
        <v>1357</v>
      </c>
      <c r="AB59" t="s">
        <v>1358</v>
      </c>
      <c r="AC59" t="s">
        <v>1359</v>
      </c>
      <c r="AD59" t="s">
        <v>1360</v>
      </c>
      <c r="AE59" t="s">
        <v>1361</v>
      </c>
      <c r="AF59" t="s">
        <v>74</v>
      </c>
      <c r="AG59">
        <v>58</v>
      </c>
      <c r="AH59">
        <v>70</v>
      </c>
      <c r="AI59">
        <v>79</v>
      </c>
      <c r="AJ59">
        <v>4</v>
      </c>
      <c r="AK59">
        <v>77</v>
      </c>
      <c r="AL59" t="s">
        <v>746</v>
      </c>
      <c r="AM59" t="s">
        <v>747</v>
      </c>
      <c r="AN59" t="s">
        <v>748</v>
      </c>
      <c r="AO59" t="s">
        <v>1362</v>
      </c>
      <c r="AP59" t="s">
        <v>74</v>
      </c>
      <c r="AQ59" t="s">
        <v>74</v>
      </c>
      <c r="AR59" t="s">
        <v>1363</v>
      </c>
      <c r="AS59" t="s">
        <v>1364</v>
      </c>
      <c r="AT59" t="s">
        <v>1341</v>
      </c>
      <c r="AU59">
        <v>2016</v>
      </c>
      <c r="AV59">
        <v>6</v>
      </c>
      <c r="AW59" t="s">
        <v>74</v>
      </c>
      <c r="AX59" t="s">
        <v>74</v>
      </c>
      <c r="AY59" t="s">
        <v>74</v>
      </c>
      <c r="AZ59" t="s">
        <v>74</v>
      </c>
      <c r="BA59" t="s">
        <v>74</v>
      </c>
      <c r="BB59" t="s">
        <v>74</v>
      </c>
      <c r="BC59" t="s">
        <v>74</v>
      </c>
      <c r="BD59">
        <v>26036</v>
      </c>
      <c r="BE59" t="s">
        <v>1365</v>
      </c>
      <c r="BF59" t="str">
        <f>HYPERLINK("http://dx.doi.org/10.1038/srep26036","http://dx.doi.org/10.1038/srep26036")</f>
        <v>http://dx.doi.org/10.1038/srep26036</v>
      </c>
      <c r="BG59" t="s">
        <v>74</v>
      </c>
      <c r="BH59" t="s">
        <v>74</v>
      </c>
      <c r="BI59">
        <v>10</v>
      </c>
      <c r="BJ59" t="s">
        <v>753</v>
      </c>
      <c r="BK59" t="s">
        <v>102</v>
      </c>
      <c r="BL59" t="s">
        <v>754</v>
      </c>
      <c r="BM59" t="s">
        <v>1366</v>
      </c>
      <c r="BN59">
        <v>27229624</v>
      </c>
      <c r="BO59" t="s">
        <v>1367</v>
      </c>
      <c r="BP59" t="s">
        <v>74</v>
      </c>
      <c r="BQ59" t="s">
        <v>74</v>
      </c>
      <c r="BR59" t="s">
        <v>106</v>
      </c>
      <c r="BS59" t="s">
        <v>1368</v>
      </c>
      <c r="BT59" t="str">
        <f>HYPERLINK("https%3A%2F%2Fwww.webofscience.com%2Fwos%2Fwoscc%2Ffull-record%2FWOS:000376646200001","View Full Record in Web of Science")</f>
        <v>View Full Record in Web of Science</v>
      </c>
    </row>
    <row r="60" spans="1:72" x14ac:dyDescent="0.15">
      <c r="A60" t="s">
        <v>72</v>
      </c>
      <c r="B60" t="s">
        <v>1369</v>
      </c>
      <c r="C60" t="s">
        <v>74</v>
      </c>
      <c r="D60" t="s">
        <v>74</v>
      </c>
      <c r="E60" t="s">
        <v>74</v>
      </c>
      <c r="F60" t="s">
        <v>1370</v>
      </c>
      <c r="G60" t="s">
        <v>74</v>
      </c>
      <c r="H60" t="s">
        <v>74</v>
      </c>
      <c r="I60" t="s">
        <v>1371</v>
      </c>
      <c r="J60" t="s">
        <v>1196</v>
      </c>
      <c r="K60" t="s">
        <v>74</v>
      </c>
      <c r="L60" t="s">
        <v>74</v>
      </c>
      <c r="M60" t="s">
        <v>78</v>
      </c>
      <c r="N60" t="s">
        <v>79</v>
      </c>
      <c r="O60" t="s">
        <v>74</v>
      </c>
      <c r="P60" t="s">
        <v>74</v>
      </c>
      <c r="Q60" t="s">
        <v>74</v>
      </c>
      <c r="R60" t="s">
        <v>74</v>
      </c>
      <c r="S60" t="s">
        <v>74</v>
      </c>
      <c r="T60" t="s">
        <v>74</v>
      </c>
      <c r="U60" t="s">
        <v>1372</v>
      </c>
      <c r="V60" t="s">
        <v>1373</v>
      </c>
      <c r="W60" t="s">
        <v>1374</v>
      </c>
      <c r="X60" t="s">
        <v>1375</v>
      </c>
      <c r="Y60" t="s">
        <v>1376</v>
      </c>
      <c r="Z60" t="s">
        <v>1377</v>
      </c>
      <c r="AA60" t="s">
        <v>1378</v>
      </c>
      <c r="AB60" t="s">
        <v>74</v>
      </c>
      <c r="AC60" t="s">
        <v>74</v>
      </c>
      <c r="AD60" t="s">
        <v>74</v>
      </c>
      <c r="AE60" t="s">
        <v>74</v>
      </c>
      <c r="AF60" t="s">
        <v>74</v>
      </c>
      <c r="AG60">
        <v>30</v>
      </c>
      <c r="AH60">
        <v>4</v>
      </c>
      <c r="AI60">
        <v>6</v>
      </c>
      <c r="AJ60">
        <v>0</v>
      </c>
      <c r="AK60">
        <v>16</v>
      </c>
      <c r="AL60" t="s">
        <v>1207</v>
      </c>
      <c r="AM60" t="s">
        <v>1208</v>
      </c>
      <c r="AN60" t="s">
        <v>1209</v>
      </c>
      <c r="AO60" t="s">
        <v>1210</v>
      </c>
      <c r="AP60" t="s">
        <v>74</v>
      </c>
      <c r="AQ60" t="s">
        <v>74</v>
      </c>
      <c r="AR60" t="s">
        <v>1196</v>
      </c>
      <c r="AS60" t="s">
        <v>1211</v>
      </c>
      <c r="AT60" t="s">
        <v>1379</v>
      </c>
      <c r="AU60">
        <v>2016</v>
      </c>
      <c r="AV60">
        <v>11</v>
      </c>
      <c r="AW60">
        <v>5</v>
      </c>
      <c r="AX60" t="s">
        <v>74</v>
      </c>
      <c r="AY60" t="s">
        <v>74</v>
      </c>
      <c r="AZ60" t="s">
        <v>74</v>
      </c>
      <c r="BA60" t="s">
        <v>74</v>
      </c>
      <c r="BB60" t="s">
        <v>74</v>
      </c>
      <c r="BC60" t="s">
        <v>74</v>
      </c>
      <c r="BD60" t="s">
        <v>1380</v>
      </c>
      <c r="BE60" t="s">
        <v>1381</v>
      </c>
      <c r="BF60" t="str">
        <f>HYPERLINK("http://dx.doi.org/10.1371/journal.pone.0156502","http://dx.doi.org/10.1371/journal.pone.0156502")</f>
        <v>http://dx.doi.org/10.1371/journal.pone.0156502</v>
      </c>
      <c r="BG60" t="s">
        <v>74</v>
      </c>
      <c r="BH60" t="s">
        <v>74</v>
      </c>
      <c r="BI60">
        <v>11</v>
      </c>
      <c r="BJ60" t="s">
        <v>753</v>
      </c>
      <c r="BK60" t="s">
        <v>102</v>
      </c>
      <c r="BL60" t="s">
        <v>754</v>
      </c>
      <c r="BM60" t="s">
        <v>1382</v>
      </c>
      <c r="BN60">
        <v>27227961</v>
      </c>
      <c r="BO60" t="s">
        <v>993</v>
      </c>
      <c r="BP60" t="s">
        <v>74</v>
      </c>
      <c r="BQ60" t="s">
        <v>74</v>
      </c>
      <c r="BR60" t="s">
        <v>106</v>
      </c>
      <c r="BS60" t="s">
        <v>1383</v>
      </c>
      <c r="BT60" t="str">
        <f>HYPERLINK("https%3A%2F%2Fwww.webofscience.com%2Fwos%2Fwoscc%2Ffull-record%2FWOS:000376882500150","View Full Record in Web of Science")</f>
        <v>View Full Record in Web of Science</v>
      </c>
    </row>
    <row r="61" spans="1:72" x14ac:dyDescent="0.15">
      <c r="A61" t="s">
        <v>72</v>
      </c>
      <c r="B61" t="s">
        <v>1384</v>
      </c>
      <c r="C61" t="s">
        <v>74</v>
      </c>
      <c r="D61" t="s">
        <v>74</v>
      </c>
      <c r="E61" t="s">
        <v>74</v>
      </c>
      <c r="F61" t="s">
        <v>1385</v>
      </c>
      <c r="G61" t="s">
        <v>74</v>
      </c>
      <c r="H61" t="s">
        <v>74</v>
      </c>
      <c r="I61" t="s">
        <v>1386</v>
      </c>
      <c r="J61" t="s">
        <v>1387</v>
      </c>
      <c r="K61" t="s">
        <v>74</v>
      </c>
      <c r="L61" t="s">
        <v>74</v>
      </c>
      <c r="M61" t="s">
        <v>78</v>
      </c>
      <c r="N61" t="s">
        <v>79</v>
      </c>
      <c r="O61" t="s">
        <v>74</v>
      </c>
      <c r="P61" t="s">
        <v>74</v>
      </c>
      <c r="Q61" t="s">
        <v>74</v>
      </c>
      <c r="R61" t="s">
        <v>74</v>
      </c>
      <c r="S61" t="s">
        <v>74</v>
      </c>
      <c r="T61" t="s">
        <v>1388</v>
      </c>
      <c r="U61" t="s">
        <v>1389</v>
      </c>
      <c r="V61" t="s">
        <v>1390</v>
      </c>
      <c r="W61" t="s">
        <v>1391</v>
      </c>
      <c r="X61" t="s">
        <v>1392</v>
      </c>
      <c r="Y61" t="s">
        <v>1393</v>
      </c>
      <c r="Z61" t="s">
        <v>1394</v>
      </c>
      <c r="AA61" t="s">
        <v>1395</v>
      </c>
      <c r="AB61" t="s">
        <v>1396</v>
      </c>
      <c r="AC61" t="s">
        <v>1397</v>
      </c>
      <c r="AD61" t="s">
        <v>1398</v>
      </c>
      <c r="AE61" t="s">
        <v>1399</v>
      </c>
      <c r="AF61" t="s">
        <v>74</v>
      </c>
      <c r="AG61">
        <v>72</v>
      </c>
      <c r="AH61">
        <v>39</v>
      </c>
      <c r="AI61">
        <v>45</v>
      </c>
      <c r="AJ61">
        <v>3</v>
      </c>
      <c r="AK61">
        <v>77</v>
      </c>
      <c r="AL61" t="s">
        <v>1400</v>
      </c>
      <c r="AM61" t="s">
        <v>1401</v>
      </c>
      <c r="AN61" t="s">
        <v>1402</v>
      </c>
      <c r="AO61" t="s">
        <v>1403</v>
      </c>
      <c r="AP61" t="s">
        <v>1404</v>
      </c>
      <c r="AQ61" t="s">
        <v>74</v>
      </c>
      <c r="AR61" t="s">
        <v>1405</v>
      </c>
      <c r="AS61" t="s">
        <v>1406</v>
      </c>
      <c r="AT61" t="s">
        <v>1407</v>
      </c>
      <c r="AU61">
        <v>2016</v>
      </c>
      <c r="AV61">
        <v>550</v>
      </c>
      <c r="AW61" t="s">
        <v>74</v>
      </c>
      <c r="AX61" t="s">
        <v>74</v>
      </c>
      <c r="AY61" t="s">
        <v>74</v>
      </c>
      <c r="AZ61" t="s">
        <v>74</v>
      </c>
      <c r="BA61" t="s">
        <v>74</v>
      </c>
      <c r="BB61">
        <v>39</v>
      </c>
      <c r="BC61">
        <v>51</v>
      </c>
      <c r="BD61" t="s">
        <v>74</v>
      </c>
      <c r="BE61" t="s">
        <v>1408</v>
      </c>
      <c r="BF61" t="str">
        <f>HYPERLINK("http://dx.doi.org/10.3354/meps11732","http://dx.doi.org/10.3354/meps11732")</f>
        <v>http://dx.doi.org/10.3354/meps11732</v>
      </c>
      <c r="BG61" t="s">
        <v>74</v>
      </c>
      <c r="BH61" t="s">
        <v>74</v>
      </c>
      <c r="BI61">
        <v>13</v>
      </c>
      <c r="BJ61" t="s">
        <v>1409</v>
      </c>
      <c r="BK61" t="s">
        <v>102</v>
      </c>
      <c r="BL61" t="s">
        <v>1410</v>
      </c>
      <c r="BM61" t="s">
        <v>1411</v>
      </c>
      <c r="BN61" t="s">
        <v>74</v>
      </c>
      <c r="BO61" t="s">
        <v>1412</v>
      </c>
      <c r="BP61" t="s">
        <v>74</v>
      </c>
      <c r="BQ61" t="s">
        <v>74</v>
      </c>
      <c r="BR61" t="s">
        <v>106</v>
      </c>
      <c r="BS61" t="s">
        <v>1413</v>
      </c>
      <c r="BT61" t="str">
        <f>HYPERLINK("https%3A%2F%2Fwww.webofscience.com%2Fwos%2Fwoscc%2Ffull-record%2FWOS:000379811700003","View Full Record in Web of Science")</f>
        <v>View Full Record in Web of Science</v>
      </c>
    </row>
    <row r="62" spans="1:72" x14ac:dyDescent="0.15">
      <c r="A62" t="s">
        <v>72</v>
      </c>
      <c r="B62" t="s">
        <v>1414</v>
      </c>
      <c r="C62" t="s">
        <v>74</v>
      </c>
      <c r="D62" t="s">
        <v>74</v>
      </c>
      <c r="E62" t="s">
        <v>74</v>
      </c>
      <c r="F62" t="s">
        <v>1415</v>
      </c>
      <c r="G62" t="s">
        <v>74</v>
      </c>
      <c r="H62" t="s">
        <v>74</v>
      </c>
      <c r="I62" t="s">
        <v>1416</v>
      </c>
      <c r="J62" t="s">
        <v>1417</v>
      </c>
      <c r="K62" t="s">
        <v>74</v>
      </c>
      <c r="L62" t="s">
        <v>74</v>
      </c>
      <c r="M62" t="s">
        <v>78</v>
      </c>
      <c r="N62" t="s">
        <v>1418</v>
      </c>
      <c r="O62" t="s">
        <v>74</v>
      </c>
      <c r="P62" t="s">
        <v>74</v>
      </c>
      <c r="Q62" t="s">
        <v>74</v>
      </c>
      <c r="R62" t="s">
        <v>74</v>
      </c>
      <c r="S62" t="s">
        <v>74</v>
      </c>
      <c r="T62" t="s">
        <v>74</v>
      </c>
      <c r="U62" t="s">
        <v>1419</v>
      </c>
      <c r="V62" t="s">
        <v>74</v>
      </c>
      <c r="W62" t="s">
        <v>1420</v>
      </c>
      <c r="X62" t="s">
        <v>1421</v>
      </c>
      <c r="Y62" t="s">
        <v>1422</v>
      </c>
      <c r="Z62" t="s">
        <v>1423</v>
      </c>
      <c r="AA62" t="s">
        <v>1424</v>
      </c>
      <c r="AB62" t="s">
        <v>1425</v>
      </c>
      <c r="AC62" t="s">
        <v>74</v>
      </c>
      <c r="AD62" t="s">
        <v>74</v>
      </c>
      <c r="AE62" t="s">
        <v>74</v>
      </c>
      <c r="AF62" t="s">
        <v>74</v>
      </c>
      <c r="AG62">
        <v>10</v>
      </c>
      <c r="AH62">
        <v>199</v>
      </c>
      <c r="AI62">
        <v>215</v>
      </c>
      <c r="AJ62">
        <v>2</v>
      </c>
      <c r="AK62">
        <v>43</v>
      </c>
      <c r="AL62" t="s">
        <v>1426</v>
      </c>
      <c r="AM62" t="s">
        <v>1427</v>
      </c>
      <c r="AN62" t="s">
        <v>1428</v>
      </c>
      <c r="AO62" t="s">
        <v>1429</v>
      </c>
      <c r="AP62" t="s">
        <v>1430</v>
      </c>
      <c r="AQ62" t="s">
        <v>74</v>
      </c>
      <c r="AR62" t="s">
        <v>1431</v>
      </c>
      <c r="AS62" t="s">
        <v>1432</v>
      </c>
      <c r="AT62" t="s">
        <v>1433</v>
      </c>
      <c r="AU62">
        <v>2016</v>
      </c>
      <c r="AV62">
        <v>26</v>
      </c>
      <c r="AW62">
        <v>10</v>
      </c>
      <c r="AX62" t="s">
        <v>74</v>
      </c>
      <c r="AY62" t="s">
        <v>74</v>
      </c>
      <c r="AZ62" t="s">
        <v>74</v>
      </c>
      <c r="BA62" t="s">
        <v>74</v>
      </c>
      <c r="BB62" t="s">
        <v>1434</v>
      </c>
      <c r="BC62" t="s">
        <v>1435</v>
      </c>
      <c r="BD62" t="s">
        <v>74</v>
      </c>
      <c r="BE62" t="s">
        <v>1436</v>
      </c>
      <c r="BF62" t="str">
        <f>HYPERLINK("http://dx.doi.org/10.1016/j.cub.2016.04.002","http://dx.doi.org/10.1016/j.cub.2016.04.002")</f>
        <v>http://dx.doi.org/10.1016/j.cub.2016.04.002</v>
      </c>
      <c r="BG62" t="s">
        <v>74</v>
      </c>
      <c r="BH62" t="s">
        <v>74</v>
      </c>
      <c r="BI62">
        <v>2</v>
      </c>
      <c r="BJ62" t="s">
        <v>1437</v>
      </c>
      <c r="BK62" t="s">
        <v>102</v>
      </c>
      <c r="BL62" t="s">
        <v>1438</v>
      </c>
      <c r="BM62" t="s">
        <v>1439</v>
      </c>
      <c r="BN62">
        <v>27218844</v>
      </c>
      <c r="BO62" t="s">
        <v>1440</v>
      </c>
      <c r="BP62" t="s">
        <v>74</v>
      </c>
      <c r="BQ62" t="s">
        <v>74</v>
      </c>
      <c r="BR62" t="s">
        <v>106</v>
      </c>
      <c r="BS62" t="s">
        <v>1441</v>
      </c>
      <c r="BT62" t="str">
        <f>HYPERLINK("https%3A%2F%2Fwww.webofscience.com%2Fwos%2Fwoscc%2Ffull-record%2FWOS:000376466000008","View Full Record in Web of Science")</f>
        <v>View Full Record in Web of Science</v>
      </c>
    </row>
    <row r="63" spans="1:72" x14ac:dyDescent="0.15">
      <c r="A63" t="s">
        <v>72</v>
      </c>
      <c r="B63" t="s">
        <v>1442</v>
      </c>
      <c r="C63" t="s">
        <v>74</v>
      </c>
      <c r="D63" t="s">
        <v>74</v>
      </c>
      <c r="E63" t="s">
        <v>74</v>
      </c>
      <c r="F63" t="s">
        <v>1443</v>
      </c>
      <c r="G63" t="s">
        <v>74</v>
      </c>
      <c r="H63" t="s">
        <v>74</v>
      </c>
      <c r="I63" t="s">
        <v>1444</v>
      </c>
      <c r="J63" t="s">
        <v>1445</v>
      </c>
      <c r="K63" t="s">
        <v>74</v>
      </c>
      <c r="L63" t="s">
        <v>74</v>
      </c>
      <c r="M63" t="s">
        <v>78</v>
      </c>
      <c r="N63" t="s">
        <v>79</v>
      </c>
      <c r="O63" t="s">
        <v>74</v>
      </c>
      <c r="P63" t="s">
        <v>74</v>
      </c>
      <c r="Q63" t="s">
        <v>74</v>
      </c>
      <c r="R63" t="s">
        <v>74</v>
      </c>
      <c r="S63" t="s">
        <v>74</v>
      </c>
      <c r="T63" t="s">
        <v>1446</v>
      </c>
      <c r="U63" t="s">
        <v>1447</v>
      </c>
      <c r="V63" t="s">
        <v>1448</v>
      </c>
      <c r="W63" t="s">
        <v>1449</v>
      </c>
      <c r="X63" t="s">
        <v>1450</v>
      </c>
      <c r="Y63" t="s">
        <v>1451</v>
      </c>
      <c r="Z63" t="s">
        <v>1452</v>
      </c>
      <c r="AA63" t="s">
        <v>1453</v>
      </c>
      <c r="AB63" t="s">
        <v>1454</v>
      </c>
      <c r="AC63" t="s">
        <v>1455</v>
      </c>
      <c r="AD63" t="s">
        <v>1456</v>
      </c>
      <c r="AE63" t="s">
        <v>1457</v>
      </c>
      <c r="AF63" t="s">
        <v>74</v>
      </c>
      <c r="AG63">
        <v>160</v>
      </c>
      <c r="AH63">
        <v>84</v>
      </c>
      <c r="AI63">
        <v>84</v>
      </c>
      <c r="AJ63">
        <v>0</v>
      </c>
      <c r="AK63">
        <v>17</v>
      </c>
      <c r="AL63" t="s">
        <v>582</v>
      </c>
      <c r="AM63" t="s">
        <v>583</v>
      </c>
      <c r="AN63" t="s">
        <v>584</v>
      </c>
      <c r="AO63" t="s">
        <v>1458</v>
      </c>
      <c r="AP63" t="s">
        <v>1459</v>
      </c>
      <c r="AQ63" t="s">
        <v>74</v>
      </c>
      <c r="AR63" t="s">
        <v>1445</v>
      </c>
      <c r="AS63" t="s">
        <v>1460</v>
      </c>
      <c r="AT63" t="s">
        <v>1433</v>
      </c>
      <c r="AU63">
        <v>2016</v>
      </c>
      <c r="AV63">
        <v>677</v>
      </c>
      <c r="AW63" t="s">
        <v>74</v>
      </c>
      <c r="AX63" t="s">
        <v>74</v>
      </c>
      <c r="AY63" t="s">
        <v>74</v>
      </c>
      <c r="AZ63" t="s">
        <v>74</v>
      </c>
      <c r="BA63" t="s">
        <v>74</v>
      </c>
      <c r="BB63">
        <v>99</v>
      </c>
      <c r="BC63">
        <v>114</v>
      </c>
      <c r="BD63" t="s">
        <v>74</v>
      </c>
      <c r="BE63" t="s">
        <v>1461</v>
      </c>
      <c r="BF63" t="str">
        <f>HYPERLINK("http://dx.doi.org/10.1016/j.tecto.2016.04.009","http://dx.doi.org/10.1016/j.tecto.2016.04.009")</f>
        <v>http://dx.doi.org/10.1016/j.tecto.2016.04.009</v>
      </c>
      <c r="BG63" t="s">
        <v>74</v>
      </c>
      <c r="BH63" t="s">
        <v>74</v>
      </c>
      <c r="BI63">
        <v>16</v>
      </c>
      <c r="BJ63" t="s">
        <v>727</v>
      </c>
      <c r="BK63" t="s">
        <v>102</v>
      </c>
      <c r="BL63" t="s">
        <v>727</v>
      </c>
      <c r="BM63" t="s">
        <v>1462</v>
      </c>
      <c r="BN63" t="s">
        <v>74</v>
      </c>
      <c r="BO63" t="s">
        <v>380</v>
      </c>
      <c r="BP63" t="s">
        <v>74</v>
      </c>
      <c r="BQ63" t="s">
        <v>74</v>
      </c>
      <c r="BR63" t="s">
        <v>106</v>
      </c>
      <c r="BS63" t="s">
        <v>1463</v>
      </c>
      <c r="BT63" t="str">
        <f>HYPERLINK("https%3A%2F%2Fwww.webofscience.com%2Fwos%2Fwoscc%2Ffull-record%2FWOS:000377311700006","View Full Record in Web of Science")</f>
        <v>View Full Record in Web of Science</v>
      </c>
    </row>
    <row r="64" spans="1:72" x14ac:dyDescent="0.15">
      <c r="A64" t="s">
        <v>72</v>
      </c>
      <c r="B64" t="s">
        <v>1464</v>
      </c>
      <c r="C64" t="s">
        <v>74</v>
      </c>
      <c r="D64" t="s">
        <v>74</v>
      </c>
      <c r="E64" t="s">
        <v>74</v>
      </c>
      <c r="F64" t="s">
        <v>1465</v>
      </c>
      <c r="G64" t="s">
        <v>74</v>
      </c>
      <c r="H64" t="s">
        <v>74</v>
      </c>
      <c r="I64" t="s">
        <v>1466</v>
      </c>
      <c r="J64" t="s">
        <v>1467</v>
      </c>
      <c r="K64" t="s">
        <v>74</v>
      </c>
      <c r="L64" t="s">
        <v>74</v>
      </c>
      <c r="M64" t="s">
        <v>78</v>
      </c>
      <c r="N64" t="s">
        <v>79</v>
      </c>
      <c r="O64" t="s">
        <v>74</v>
      </c>
      <c r="P64" t="s">
        <v>74</v>
      </c>
      <c r="Q64" t="s">
        <v>74</v>
      </c>
      <c r="R64" t="s">
        <v>74</v>
      </c>
      <c r="S64" t="s">
        <v>74</v>
      </c>
      <c r="T64" t="s">
        <v>1468</v>
      </c>
      <c r="U64" t="s">
        <v>74</v>
      </c>
      <c r="V64" t="s">
        <v>1469</v>
      </c>
      <c r="W64" t="s">
        <v>1470</v>
      </c>
      <c r="X64" t="s">
        <v>1471</v>
      </c>
      <c r="Y64" t="s">
        <v>1472</v>
      </c>
      <c r="Z64" t="s">
        <v>1473</v>
      </c>
      <c r="AA64" t="s">
        <v>74</v>
      </c>
      <c r="AB64" t="s">
        <v>1474</v>
      </c>
      <c r="AC64" t="s">
        <v>1475</v>
      </c>
      <c r="AD64" t="s">
        <v>1476</v>
      </c>
      <c r="AE64" t="s">
        <v>1477</v>
      </c>
      <c r="AF64" t="s">
        <v>74</v>
      </c>
      <c r="AG64">
        <v>8</v>
      </c>
      <c r="AH64">
        <v>7</v>
      </c>
      <c r="AI64">
        <v>7</v>
      </c>
      <c r="AJ64">
        <v>0</v>
      </c>
      <c r="AK64">
        <v>3</v>
      </c>
      <c r="AL64" t="s">
        <v>582</v>
      </c>
      <c r="AM64" t="s">
        <v>583</v>
      </c>
      <c r="AN64" t="s">
        <v>584</v>
      </c>
      <c r="AO64" t="s">
        <v>1478</v>
      </c>
      <c r="AP64" t="s">
        <v>1479</v>
      </c>
      <c r="AQ64" t="s">
        <v>74</v>
      </c>
      <c r="AR64" t="s">
        <v>1480</v>
      </c>
      <c r="AS64" t="s">
        <v>1481</v>
      </c>
      <c r="AT64" t="s">
        <v>1482</v>
      </c>
      <c r="AU64">
        <v>2016</v>
      </c>
      <c r="AV64">
        <v>226</v>
      </c>
      <c r="AW64" t="s">
        <v>74</v>
      </c>
      <c r="AX64" t="s">
        <v>74</v>
      </c>
      <c r="AY64" t="s">
        <v>74</v>
      </c>
      <c r="AZ64" t="s">
        <v>74</v>
      </c>
      <c r="BA64" t="s">
        <v>74</v>
      </c>
      <c r="BB64">
        <v>16</v>
      </c>
      <c r="BC64">
        <v>17</v>
      </c>
      <c r="BD64" t="s">
        <v>74</v>
      </c>
      <c r="BE64" t="s">
        <v>1483</v>
      </c>
      <c r="BF64" t="str">
        <f>HYPERLINK("http://dx.doi.org/10.1016/j.jbiotec.2016.03.043","http://dx.doi.org/10.1016/j.jbiotec.2016.03.043")</f>
        <v>http://dx.doi.org/10.1016/j.jbiotec.2016.03.043</v>
      </c>
      <c r="BG64" t="s">
        <v>74</v>
      </c>
      <c r="BH64" t="s">
        <v>74</v>
      </c>
      <c r="BI64">
        <v>2</v>
      </c>
      <c r="BJ64" t="s">
        <v>1484</v>
      </c>
      <c r="BK64" t="s">
        <v>102</v>
      </c>
      <c r="BL64" t="s">
        <v>1484</v>
      </c>
      <c r="BM64" t="s">
        <v>1485</v>
      </c>
      <c r="BN64">
        <v>27034021</v>
      </c>
      <c r="BO64" t="s">
        <v>74</v>
      </c>
      <c r="BP64" t="s">
        <v>74</v>
      </c>
      <c r="BQ64" t="s">
        <v>74</v>
      </c>
      <c r="BR64" t="s">
        <v>106</v>
      </c>
      <c r="BS64" t="s">
        <v>1486</v>
      </c>
      <c r="BT64" t="str">
        <f>HYPERLINK("https%3A%2F%2Fwww.webofscience.com%2Fwos%2Fwoscc%2Ffull-record%2FWOS:000375121500004","View Full Record in Web of Science")</f>
        <v>View Full Record in Web of Science</v>
      </c>
    </row>
    <row r="65" spans="1:72" x14ac:dyDescent="0.15">
      <c r="A65" t="s">
        <v>72</v>
      </c>
      <c r="B65" t="s">
        <v>1487</v>
      </c>
      <c r="C65" t="s">
        <v>74</v>
      </c>
      <c r="D65" t="s">
        <v>74</v>
      </c>
      <c r="E65" t="s">
        <v>74</v>
      </c>
      <c r="F65" t="s">
        <v>1488</v>
      </c>
      <c r="G65" t="s">
        <v>74</v>
      </c>
      <c r="H65" t="s">
        <v>74</v>
      </c>
      <c r="I65" t="s">
        <v>1489</v>
      </c>
      <c r="J65" t="s">
        <v>1467</v>
      </c>
      <c r="K65" t="s">
        <v>74</v>
      </c>
      <c r="L65" t="s">
        <v>74</v>
      </c>
      <c r="M65" t="s">
        <v>78</v>
      </c>
      <c r="N65" t="s">
        <v>79</v>
      </c>
      <c r="O65" t="s">
        <v>74</v>
      </c>
      <c r="P65" t="s">
        <v>74</v>
      </c>
      <c r="Q65" t="s">
        <v>74</v>
      </c>
      <c r="R65" t="s">
        <v>74</v>
      </c>
      <c r="S65" t="s">
        <v>74</v>
      </c>
      <c r="T65" t="s">
        <v>1490</v>
      </c>
      <c r="U65" t="s">
        <v>1491</v>
      </c>
      <c r="V65" t="s">
        <v>1492</v>
      </c>
      <c r="W65" t="s">
        <v>1493</v>
      </c>
      <c r="X65" t="s">
        <v>1494</v>
      </c>
      <c r="Y65" t="s">
        <v>1495</v>
      </c>
      <c r="Z65" t="s">
        <v>1473</v>
      </c>
      <c r="AA65" t="s">
        <v>74</v>
      </c>
      <c r="AB65" t="s">
        <v>1474</v>
      </c>
      <c r="AC65" t="s">
        <v>1475</v>
      </c>
      <c r="AD65" t="s">
        <v>1476</v>
      </c>
      <c r="AE65" t="s">
        <v>1477</v>
      </c>
      <c r="AF65" t="s">
        <v>74</v>
      </c>
      <c r="AG65">
        <v>9</v>
      </c>
      <c r="AH65">
        <v>14</v>
      </c>
      <c r="AI65">
        <v>17</v>
      </c>
      <c r="AJ65">
        <v>1</v>
      </c>
      <c r="AK65">
        <v>16</v>
      </c>
      <c r="AL65" t="s">
        <v>582</v>
      </c>
      <c r="AM65" t="s">
        <v>583</v>
      </c>
      <c r="AN65" t="s">
        <v>584</v>
      </c>
      <c r="AO65" t="s">
        <v>1478</v>
      </c>
      <c r="AP65" t="s">
        <v>1479</v>
      </c>
      <c r="AQ65" t="s">
        <v>74</v>
      </c>
      <c r="AR65" t="s">
        <v>1480</v>
      </c>
      <c r="AS65" t="s">
        <v>1481</v>
      </c>
      <c r="AT65" t="s">
        <v>1482</v>
      </c>
      <c r="AU65">
        <v>2016</v>
      </c>
      <c r="AV65">
        <v>226</v>
      </c>
      <c r="AW65" t="s">
        <v>74</v>
      </c>
      <c r="AX65" t="s">
        <v>74</v>
      </c>
      <c r="AY65" t="s">
        <v>74</v>
      </c>
      <c r="AZ65" t="s">
        <v>74</v>
      </c>
      <c r="BA65" t="s">
        <v>74</v>
      </c>
      <c r="BB65">
        <v>18</v>
      </c>
      <c r="BC65">
        <v>19</v>
      </c>
      <c r="BD65" t="s">
        <v>74</v>
      </c>
      <c r="BE65" t="s">
        <v>1496</v>
      </c>
      <c r="BF65" t="str">
        <f>HYPERLINK("http://dx.doi.org/10.1016/j.jbiotec.2016.03.034","http://dx.doi.org/10.1016/j.jbiotec.2016.03.034")</f>
        <v>http://dx.doi.org/10.1016/j.jbiotec.2016.03.034</v>
      </c>
      <c r="BG65" t="s">
        <v>74</v>
      </c>
      <c r="BH65" t="s">
        <v>74</v>
      </c>
      <c r="BI65">
        <v>2</v>
      </c>
      <c r="BJ65" t="s">
        <v>1484</v>
      </c>
      <c r="BK65" t="s">
        <v>102</v>
      </c>
      <c r="BL65" t="s">
        <v>1484</v>
      </c>
      <c r="BM65" t="s">
        <v>1485</v>
      </c>
      <c r="BN65">
        <v>27015978</v>
      </c>
      <c r="BO65" t="s">
        <v>74</v>
      </c>
      <c r="BP65" t="s">
        <v>74</v>
      </c>
      <c r="BQ65" t="s">
        <v>74</v>
      </c>
      <c r="BR65" t="s">
        <v>106</v>
      </c>
      <c r="BS65" t="s">
        <v>1497</v>
      </c>
      <c r="BT65" t="str">
        <f>HYPERLINK("https%3A%2F%2Fwww.webofscience.com%2Fwos%2Fwoscc%2Ffull-record%2FWOS:000375121500005","View Full Record in Web of Science")</f>
        <v>View Full Record in Web of Science</v>
      </c>
    </row>
    <row r="66" spans="1:72" x14ac:dyDescent="0.15">
      <c r="A66" t="s">
        <v>72</v>
      </c>
      <c r="B66" t="s">
        <v>1498</v>
      </c>
      <c r="C66" t="s">
        <v>74</v>
      </c>
      <c r="D66" t="s">
        <v>74</v>
      </c>
      <c r="E66" t="s">
        <v>74</v>
      </c>
      <c r="F66" t="s">
        <v>1499</v>
      </c>
      <c r="G66" t="s">
        <v>74</v>
      </c>
      <c r="H66" t="s">
        <v>74</v>
      </c>
      <c r="I66" t="s">
        <v>1500</v>
      </c>
      <c r="J66" t="s">
        <v>1467</v>
      </c>
      <c r="K66" t="s">
        <v>74</v>
      </c>
      <c r="L66" t="s">
        <v>74</v>
      </c>
      <c r="M66" t="s">
        <v>78</v>
      </c>
      <c r="N66" t="s">
        <v>79</v>
      </c>
      <c r="O66" t="s">
        <v>74</v>
      </c>
      <c r="P66" t="s">
        <v>74</v>
      </c>
      <c r="Q66" t="s">
        <v>74</v>
      </c>
      <c r="R66" t="s">
        <v>74</v>
      </c>
      <c r="S66" t="s">
        <v>74</v>
      </c>
      <c r="T66" t="s">
        <v>1501</v>
      </c>
      <c r="U66" t="s">
        <v>1502</v>
      </c>
      <c r="V66" t="s">
        <v>1503</v>
      </c>
      <c r="W66" t="s">
        <v>1504</v>
      </c>
      <c r="X66" t="s">
        <v>1471</v>
      </c>
      <c r="Y66" t="s">
        <v>1472</v>
      </c>
      <c r="Z66" t="s">
        <v>1473</v>
      </c>
      <c r="AA66" t="s">
        <v>74</v>
      </c>
      <c r="AB66" t="s">
        <v>1474</v>
      </c>
      <c r="AC66" t="s">
        <v>1475</v>
      </c>
      <c r="AD66" t="s">
        <v>1476</v>
      </c>
      <c r="AE66" t="s">
        <v>1477</v>
      </c>
      <c r="AF66" t="s">
        <v>74</v>
      </c>
      <c r="AG66">
        <v>6</v>
      </c>
      <c r="AH66">
        <v>4</v>
      </c>
      <c r="AI66">
        <v>4</v>
      </c>
      <c r="AJ66">
        <v>0</v>
      </c>
      <c r="AK66">
        <v>7</v>
      </c>
      <c r="AL66" t="s">
        <v>582</v>
      </c>
      <c r="AM66" t="s">
        <v>583</v>
      </c>
      <c r="AN66" t="s">
        <v>584</v>
      </c>
      <c r="AO66" t="s">
        <v>1478</v>
      </c>
      <c r="AP66" t="s">
        <v>1479</v>
      </c>
      <c r="AQ66" t="s">
        <v>74</v>
      </c>
      <c r="AR66" t="s">
        <v>1480</v>
      </c>
      <c r="AS66" t="s">
        <v>1481</v>
      </c>
      <c r="AT66" t="s">
        <v>1482</v>
      </c>
      <c r="AU66">
        <v>2016</v>
      </c>
      <c r="AV66">
        <v>226</v>
      </c>
      <c r="AW66" t="s">
        <v>74</v>
      </c>
      <c r="AX66" t="s">
        <v>74</v>
      </c>
      <c r="AY66" t="s">
        <v>74</v>
      </c>
      <c r="AZ66" t="s">
        <v>74</v>
      </c>
      <c r="BA66" t="s">
        <v>74</v>
      </c>
      <c r="BB66">
        <v>20</v>
      </c>
      <c r="BC66" t="s">
        <v>1505</v>
      </c>
      <c r="BD66" t="s">
        <v>74</v>
      </c>
      <c r="BE66" t="s">
        <v>1506</v>
      </c>
      <c r="BF66" t="str">
        <f>HYPERLINK("http://dx.doi.org/10.1016/j.jbiotec.2016.03.041","http://dx.doi.org/10.1016/j.jbiotec.2016.03.041")</f>
        <v>http://dx.doi.org/10.1016/j.jbiotec.2016.03.041</v>
      </c>
      <c r="BG66" t="s">
        <v>74</v>
      </c>
      <c r="BH66" t="s">
        <v>74</v>
      </c>
      <c r="BI66">
        <v>2</v>
      </c>
      <c r="BJ66" t="s">
        <v>1484</v>
      </c>
      <c r="BK66" t="s">
        <v>102</v>
      </c>
      <c r="BL66" t="s">
        <v>1484</v>
      </c>
      <c r="BM66" t="s">
        <v>1485</v>
      </c>
      <c r="BN66">
        <v>27034023</v>
      </c>
      <c r="BO66" t="s">
        <v>74</v>
      </c>
      <c r="BP66" t="s">
        <v>74</v>
      </c>
      <c r="BQ66" t="s">
        <v>74</v>
      </c>
      <c r="BR66" t="s">
        <v>106</v>
      </c>
      <c r="BS66" t="s">
        <v>1507</v>
      </c>
      <c r="BT66" t="str">
        <f>HYPERLINK("https%3A%2F%2Fwww.webofscience.com%2Fwos%2Fwoscc%2Ffull-record%2FWOS:000375121500006","View Full Record in Web of Science")</f>
        <v>View Full Record in Web of Science</v>
      </c>
    </row>
    <row r="67" spans="1:72" x14ac:dyDescent="0.15">
      <c r="A67" t="s">
        <v>72</v>
      </c>
      <c r="B67" t="s">
        <v>1508</v>
      </c>
      <c r="C67" t="s">
        <v>74</v>
      </c>
      <c r="D67" t="s">
        <v>74</v>
      </c>
      <c r="E67" t="s">
        <v>74</v>
      </c>
      <c r="F67" t="s">
        <v>1509</v>
      </c>
      <c r="G67" t="s">
        <v>74</v>
      </c>
      <c r="H67" t="s">
        <v>74</v>
      </c>
      <c r="I67" t="s">
        <v>1510</v>
      </c>
      <c r="J67" t="s">
        <v>1467</v>
      </c>
      <c r="K67" t="s">
        <v>74</v>
      </c>
      <c r="L67" t="s">
        <v>74</v>
      </c>
      <c r="M67" t="s">
        <v>78</v>
      </c>
      <c r="N67" t="s">
        <v>79</v>
      </c>
      <c r="O67" t="s">
        <v>74</v>
      </c>
      <c r="P67" t="s">
        <v>74</v>
      </c>
      <c r="Q67" t="s">
        <v>74</v>
      </c>
      <c r="R67" t="s">
        <v>74</v>
      </c>
      <c r="S67" t="s">
        <v>74</v>
      </c>
      <c r="T67" t="s">
        <v>1511</v>
      </c>
      <c r="U67" t="s">
        <v>1512</v>
      </c>
      <c r="V67" t="s">
        <v>1513</v>
      </c>
      <c r="W67" t="s">
        <v>1514</v>
      </c>
      <c r="X67" t="s">
        <v>1515</v>
      </c>
      <c r="Y67" t="s">
        <v>1516</v>
      </c>
      <c r="Z67" t="s">
        <v>1517</v>
      </c>
      <c r="AA67" t="s">
        <v>1518</v>
      </c>
      <c r="AB67" t="s">
        <v>1519</v>
      </c>
      <c r="AC67" t="s">
        <v>1520</v>
      </c>
      <c r="AD67" t="s">
        <v>1521</v>
      </c>
      <c r="AE67" t="s">
        <v>1522</v>
      </c>
      <c r="AF67" t="s">
        <v>74</v>
      </c>
      <c r="AG67">
        <v>13</v>
      </c>
      <c r="AH67">
        <v>9</v>
      </c>
      <c r="AI67">
        <v>9</v>
      </c>
      <c r="AJ67">
        <v>0</v>
      </c>
      <c r="AK67">
        <v>28</v>
      </c>
      <c r="AL67" t="s">
        <v>626</v>
      </c>
      <c r="AM67" t="s">
        <v>583</v>
      </c>
      <c r="AN67" t="s">
        <v>627</v>
      </c>
      <c r="AO67" t="s">
        <v>1478</v>
      </c>
      <c r="AP67" t="s">
        <v>1479</v>
      </c>
      <c r="AQ67" t="s">
        <v>74</v>
      </c>
      <c r="AR67" t="s">
        <v>1480</v>
      </c>
      <c r="AS67" t="s">
        <v>1481</v>
      </c>
      <c r="AT67" t="s">
        <v>1482</v>
      </c>
      <c r="AU67">
        <v>2016</v>
      </c>
      <c r="AV67">
        <v>226</v>
      </c>
      <c r="AW67" t="s">
        <v>74</v>
      </c>
      <c r="AX67" t="s">
        <v>74</v>
      </c>
      <c r="AY67" t="s">
        <v>74</v>
      </c>
      <c r="AZ67" t="s">
        <v>74</v>
      </c>
      <c r="BA67" t="s">
        <v>74</v>
      </c>
      <c r="BB67">
        <v>74</v>
      </c>
      <c r="BC67">
        <v>75</v>
      </c>
      <c r="BD67" t="s">
        <v>74</v>
      </c>
      <c r="BE67" t="s">
        <v>1523</v>
      </c>
      <c r="BF67" t="str">
        <f>HYPERLINK("http://dx.doi.org/10.1016/j.jbiotec.2016.03.035","http://dx.doi.org/10.1016/j.jbiotec.2016.03.035")</f>
        <v>http://dx.doi.org/10.1016/j.jbiotec.2016.03.035</v>
      </c>
      <c r="BG67" t="s">
        <v>74</v>
      </c>
      <c r="BH67" t="s">
        <v>74</v>
      </c>
      <c r="BI67">
        <v>2</v>
      </c>
      <c r="BJ67" t="s">
        <v>1484</v>
      </c>
      <c r="BK67" t="s">
        <v>102</v>
      </c>
      <c r="BL67" t="s">
        <v>1484</v>
      </c>
      <c r="BM67" t="s">
        <v>1485</v>
      </c>
      <c r="BN67">
        <v>27015980</v>
      </c>
      <c r="BO67" t="s">
        <v>74</v>
      </c>
      <c r="BP67" t="s">
        <v>74</v>
      </c>
      <c r="BQ67" t="s">
        <v>74</v>
      </c>
      <c r="BR67" t="s">
        <v>106</v>
      </c>
      <c r="BS67" t="s">
        <v>1524</v>
      </c>
      <c r="BT67" t="str">
        <f>HYPERLINK("https%3A%2F%2Fwww.webofscience.com%2Fwos%2Fwoscc%2Ffull-record%2FWOS:000375121500014","View Full Record in Web of Science")</f>
        <v>View Full Record in Web of Science</v>
      </c>
    </row>
    <row r="68" spans="1:72" x14ac:dyDescent="0.15">
      <c r="A68" t="s">
        <v>72</v>
      </c>
      <c r="B68" t="s">
        <v>1525</v>
      </c>
      <c r="C68" t="s">
        <v>74</v>
      </c>
      <c r="D68" t="s">
        <v>74</v>
      </c>
      <c r="E68" t="s">
        <v>74</v>
      </c>
      <c r="F68" t="s">
        <v>1526</v>
      </c>
      <c r="G68" t="s">
        <v>74</v>
      </c>
      <c r="H68" t="s">
        <v>74</v>
      </c>
      <c r="I68" t="s">
        <v>1527</v>
      </c>
      <c r="J68" t="s">
        <v>1528</v>
      </c>
      <c r="K68" t="s">
        <v>74</v>
      </c>
      <c r="L68" t="s">
        <v>74</v>
      </c>
      <c r="M68" t="s">
        <v>78</v>
      </c>
      <c r="N68" t="s">
        <v>79</v>
      </c>
      <c r="O68" t="s">
        <v>74</v>
      </c>
      <c r="P68" t="s">
        <v>74</v>
      </c>
      <c r="Q68" t="s">
        <v>74</v>
      </c>
      <c r="R68" t="s">
        <v>74</v>
      </c>
      <c r="S68" t="s">
        <v>74</v>
      </c>
      <c r="T68" t="s">
        <v>1529</v>
      </c>
      <c r="U68" t="s">
        <v>1530</v>
      </c>
      <c r="V68" t="s">
        <v>1531</v>
      </c>
      <c r="W68" t="s">
        <v>1532</v>
      </c>
      <c r="X68" t="s">
        <v>1533</v>
      </c>
      <c r="Y68" t="s">
        <v>1534</v>
      </c>
      <c r="Z68" t="s">
        <v>1535</v>
      </c>
      <c r="AA68" t="s">
        <v>1536</v>
      </c>
      <c r="AB68" t="s">
        <v>1537</v>
      </c>
      <c r="AC68" t="s">
        <v>1538</v>
      </c>
      <c r="AD68" t="s">
        <v>1539</v>
      </c>
      <c r="AE68" t="s">
        <v>1540</v>
      </c>
      <c r="AF68" t="s">
        <v>74</v>
      </c>
      <c r="AG68">
        <v>67</v>
      </c>
      <c r="AH68">
        <v>15</v>
      </c>
      <c r="AI68">
        <v>18</v>
      </c>
      <c r="AJ68">
        <v>0</v>
      </c>
      <c r="AK68">
        <v>40</v>
      </c>
      <c r="AL68" t="s">
        <v>582</v>
      </c>
      <c r="AM68" t="s">
        <v>583</v>
      </c>
      <c r="AN68" t="s">
        <v>584</v>
      </c>
      <c r="AO68" t="s">
        <v>1541</v>
      </c>
      <c r="AP68" t="s">
        <v>1542</v>
      </c>
      <c r="AQ68" t="s">
        <v>74</v>
      </c>
      <c r="AR68" t="s">
        <v>1543</v>
      </c>
      <c r="AS68" t="s">
        <v>1544</v>
      </c>
      <c r="AT68" t="s">
        <v>1482</v>
      </c>
      <c r="AU68">
        <v>2016</v>
      </c>
      <c r="AV68">
        <v>182</v>
      </c>
      <c r="AW68" t="s">
        <v>74</v>
      </c>
      <c r="AX68" t="s">
        <v>74</v>
      </c>
      <c r="AY68" t="s">
        <v>74</v>
      </c>
      <c r="AZ68" t="s">
        <v>74</v>
      </c>
      <c r="BA68" t="s">
        <v>74</v>
      </c>
      <c r="BB68">
        <v>25</v>
      </c>
      <c r="BC68">
        <v>37</v>
      </c>
      <c r="BD68" t="s">
        <v>74</v>
      </c>
      <c r="BE68" t="s">
        <v>1545</v>
      </c>
      <c r="BF68" t="str">
        <f>HYPERLINK("http://dx.doi.org/10.1016/j.marchem.2016.03.006","http://dx.doi.org/10.1016/j.marchem.2016.03.006")</f>
        <v>http://dx.doi.org/10.1016/j.marchem.2016.03.006</v>
      </c>
      <c r="BG68" t="s">
        <v>74</v>
      </c>
      <c r="BH68" t="s">
        <v>74</v>
      </c>
      <c r="BI68">
        <v>13</v>
      </c>
      <c r="BJ68" t="s">
        <v>1546</v>
      </c>
      <c r="BK68" t="s">
        <v>102</v>
      </c>
      <c r="BL68" t="s">
        <v>1547</v>
      </c>
      <c r="BM68" t="s">
        <v>1548</v>
      </c>
      <c r="BN68" t="s">
        <v>74</v>
      </c>
      <c r="BO68" t="s">
        <v>222</v>
      </c>
      <c r="BP68" t="s">
        <v>74</v>
      </c>
      <c r="BQ68" t="s">
        <v>74</v>
      </c>
      <c r="BR68" t="s">
        <v>106</v>
      </c>
      <c r="BS68" t="s">
        <v>1549</v>
      </c>
      <c r="BT68" t="str">
        <f>HYPERLINK("https%3A%2F%2Fwww.webofscience.com%2Fwos%2Fwoscc%2Ffull-record%2FWOS:000377828000003","View Full Record in Web of Science")</f>
        <v>View Full Record in Web of Science</v>
      </c>
    </row>
    <row r="69" spans="1:72" x14ac:dyDescent="0.15">
      <c r="A69" t="s">
        <v>72</v>
      </c>
      <c r="B69" t="s">
        <v>1550</v>
      </c>
      <c r="C69" t="s">
        <v>74</v>
      </c>
      <c r="D69" t="s">
        <v>74</v>
      </c>
      <c r="E69" t="s">
        <v>74</v>
      </c>
      <c r="F69" t="s">
        <v>1551</v>
      </c>
      <c r="G69" t="s">
        <v>74</v>
      </c>
      <c r="H69" t="s">
        <v>74</v>
      </c>
      <c r="I69" t="s">
        <v>1552</v>
      </c>
      <c r="J69" t="s">
        <v>1553</v>
      </c>
      <c r="K69" t="s">
        <v>74</v>
      </c>
      <c r="L69" t="s">
        <v>74</v>
      </c>
      <c r="M69" t="s">
        <v>78</v>
      </c>
      <c r="N69" t="s">
        <v>79</v>
      </c>
      <c r="O69" t="s">
        <v>74</v>
      </c>
      <c r="P69" t="s">
        <v>74</v>
      </c>
      <c r="Q69" t="s">
        <v>74</v>
      </c>
      <c r="R69" t="s">
        <v>74</v>
      </c>
      <c r="S69" t="s">
        <v>74</v>
      </c>
      <c r="T69" t="s">
        <v>1554</v>
      </c>
      <c r="U69" t="s">
        <v>1555</v>
      </c>
      <c r="V69" t="s">
        <v>1556</v>
      </c>
      <c r="W69" t="s">
        <v>1557</v>
      </c>
      <c r="X69" t="s">
        <v>1558</v>
      </c>
      <c r="Y69" t="s">
        <v>1559</v>
      </c>
      <c r="Z69" t="s">
        <v>1560</v>
      </c>
      <c r="AA69" t="s">
        <v>1561</v>
      </c>
      <c r="AB69" t="s">
        <v>74</v>
      </c>
      <c r="AC69" t="s">
        <v>1562</v>
      </c>
      <c r="AD69" t="s">
        <v>1563</v>
      </c>
      <c r="AE69" t="s">
        <v>1564</v>
      </c>
      <c r="AF69" t="s">
        <v>74</v>
      </c>
      <c r="AG69">
        <v>28</v>
      </c>
      <c r="AH69">
        <v>77</v>
      </c>
      <c r="AI69">
        <v>87</v>
      </c>
      <c r="AJ69">
        <v>7</v>
      </c>
      <c r="AK69">
        <v>98</v>
      </c>
      <c r="AL69" t="s">
        <v>678</v>
      </c>
      <c r="AM69" t="s">
        <v>679</v>
      </c>
      <c r="AN69" t="s">
        <v>680</v>
      </c>
      <c r="AO69" t="s">
        <v>1565</v>
      </c>
      <c r="AP69" t="s">
        <v>1566</v>
      </c>
      <c r="AQ69" t="s">
        <v>74</v>
      </c>
      <c r="AR69" t="s">
        <v>1567</v>
      </c>
      <c r="AS69" t="s">
        <v>1568</v>
      </c>
      <c r="AT69" t="s">
        <v>1482</v>
      </c>
      <c r="AU69">
        <v>2016</v>
      </c>
      <c r="AV69">
        <v>142</v>
      </c>
      <c r="AW69" t="s">
        <v>74</v>
      </c>
      <c r="AX69" t="s">
        <v>74</v>
      </c>
      <c r="AY69" t="s">
        <v>74</v>
      </c>
      <c r="AZ69" t="s">
        <v>74</v>
      </c>
      <c r="BA69" t="s">
        <v>74</v>
      </c>
      <c r="BB69">
        <v>275</v>
      </c>
      <c r="BC69">
        <v>281</v>
      </c>
      <c r="BD69" t="s">
        <v>74</v>
      </c>
      <c r="BE69" t="s">
        <v>1569</v>
      </c>
      <c r="BF69" t="str">
        <f>HYPERLINK("http://dx.doi.org/10.1016/j.carbpol.2016.01.050","http://dx.doi.org/10.1016/j.carbpol.2016.01.050")</f>
        <v>http://dx.doi.org/10.1016/j.carbpol.2016.01.050</v>
      </c>
      <c r="BG69" t="s">
        <v>74</v>
      </c>
      <c r="BH69" t="s">
        <v>74</v>
      </c>
      <c r="BI69">
        <v>7</v>
      </c>
      <c r="BJ69" t="s">
        <v>1570</v>
      </c>
      <c r="BK69" t="s">
        <v>102</v>
      </c>
      <c r="BL69" t="s">
        <v>1571</v>
      </c>
      <c r="BM69" t="s">
        <v>1572</v>
      </c>
      <c r="BN69">
        <v>26917400</v>
      </c>
      <c r="BO69" t="s">
        <v>222</v>
      </c>
      <c r="BP69" t="s">
        <v>74</v>
      </c>
      <c r="BQ69" t="s">
        <v>74</v>
      </c>
      <c r="BR69" t="s">
        <v>106</v>
      </c>
      <c r="BS69" t="s">
        <v>1573</v>
      </c>
      <c r="BT69" t="str">
        <f>HYPERLINK("https%3A%2F%2Fwww.webofscience.com%2Fwos%2Fwoscc%2Ffull-record%2FWOS:000370529000035","View Full Record in Web of Science")</f>
        <v>View Full Record in Web of Science</v>
      </c>
    </row>
    <row r="70" spans="1:72" x14ac:dyDescent="0.15">
      <c r="A70" t="s">
        <v>72</v>
      </c>
      <c r="B70" t="s">
        <v>1574</v>
      </c>
      <c r="C70" t="s">
        <v>74</v>
      </c>
      <c r="D70" t="s">
        <v>74</v>
      </c>
      <c r="E70" t="s">
        <v>74</v>
      </c>
      <c r="F70" t="s">
        <v>1575</v>
      </c>
      <c r="G70" t="s">
        <v>74</v>
      </c>
      <c r="H70" t="s">
        <v>74</v>
      </c>
      <c r="I70" t="s">
        <v>1576</v>
      </c>
      <c r="J70" t="s">
        <v>1577</v>
      </c>
      <c r="K70" t="s">
        <v>74</v>
      </c>
      <c r="L70" t="s">
        <v>74</v>
      </c>
      <c r="M70" t="s">
        <v>78</v>
      </c>
      <c r="N70" t="s">
        <v>79</v>
      </c>
      <c r="O70" t="s">
        <v>74</v>
      </c>
      <c r="P70" t="s">
        <v>74</v>
      </c>
      <c r="Q70" t="s">
        <v>74</v>
      </c>
      <c r="R70" t="s">
        <v>74</v>
      </c>
      <c r="S70" t="s">
        <v>74</v>
      </c>
      <c r="T70" t="s">
        <v>74</v>
      </c>
      <c r="U70" t="s">
        <v>1578</v>
      </c>
      <c r="V70" t="s">
        <v>1579</v>
      </c>
      <c r="W70" t="s">
        <v>1580</v>
      </c>
      <c r="X70" t="s">
        <v>1581</v>
      </c>
      <c r="Y70" t="s">
        <v>1582</v>
      </c>
      <c r="Z70" t="s">
        <v>1583</v>
      </c>
      <c r="AA70" t="s">
        <v>1584</v>
      </c>
      <c r="AB70" t="s">
        <v>1585</v>
      </c>
      <c r="AC70" t="s">
        <v>1586</v>
      </c>
      <c r="AD70" t="s">
        <v>1587</v>
      </c>
      <c r="AE70" t="s">
        <v>1588</v>
      </c>
      <c r="AF70" t="s">
        <v>74</v>
      </c>
      <c r="AG70">
        <v>45</v>
      </c>
      <c r="AH70">
        <v>76</v>
      </c>
      <c r="AI70">
        <v>81</v>
      </c>
      <c r="AJ70">
        <v>3</v>
      </c>
      <c r="AK70">
        <v>52</v>
      </c>
      <c r="AL70" t="s">
        <v>772</v>
      </c>
      <c r="AM70" t="s">
        <v>773</v>
      </c>
      <c r="AN70" t="s">
        <v>774</v>
      </c>
      <c r="AO70" t="s">
        <v>1589</v>
      </c>
      <c r="AP70" t="s">
        <v>1590</v>
      </c>
      <c r="AQ70" t="s">
        <v>74</v>
      </c>
      <c r="AR70" t="s">
        <v>1577</v>
      </c>
      <c r="AS70" t="s">
        <v>1591</v>
      </c>
      <c r="AT70" t="s">
        <v>1592</v>
      </c>
      <c r="AU70">
        <v>2016</v>
      </c>
      <c r="AV70">
        <v>533</v>
      </c>
      <c r="AW70">
        <v>7603</v>
      </c>
      <c r="AX70" t="s">
        <v>74</v>
      </c>
      <c r="AY70" t="s">
        <v>74</v>
      </c>
      <c r="AZ70" t="s">
        <v>74</v>
      </c>
      <c r="BA70" t="s">
        <v>74</v>
      </c>
      <c r="BB70">
        <v>385</v>
      </c>
      <c r="BC70" t="s">
        <v>1505</v>
      </c>
      <c r="BD70" t="s">
        <v>74</v>
      </c>
      <c r="BE70" t="s">
        <v>1593</v>
      </c>
      <c r="BF70" t="str">
        <f>HYPERLINK("http://dx.doi.org/10.1038/nature17447","http://dx.doi.org/10.1038/nature17447")</f>
        <v>http://dx.doi.org/10.1038/nature17447</v>
      </c>
      <c r="BG70" t="s">
        <v>74</v>
      </c>
      <c r="BH70" t="s">
        <v>74</v>
      </c>
      <c r="BI70">
        <v>17</v>
      </c>
      <c r="BJ70" t="s">
        <v>753</v>
      </c>
      <c r="BK70" t="s">
        <v>102</v>
      </c>
      <c r="BL70" t="s">
        <v>754</v>
      </c>
      <c r="BM70" t="s">
        <v>1594</v>
      </c>
      <c r="BN70">
        <v>27193684</v>
      </c>
      <c r="BO70" t="s">
        <v>1412</v>
      </c>
      <c r="BP70" t="s">
        <v>74</v>
      </c>
      <c r="BQ70" t="s">
        <v>74</v>
      </c>
      <c r="BR70" t="s">
        <v>106</v>
      </c>
      <c r="BS70" t="s">
        <v>1595</v>
      </c>
      <c r="BT70" t="str">
        <f>HYPERLINK("https%3A%2F%2Fwww.webofscience.com%2Fwos%2Fwoscc%2Ffull-record%2FWOS:000376004300046","View Full Record in Web of Science")</f>
        <v>View Full Record in Web of Science</v>
      </c>
    </row>
    <row r="71" spans="1:72" x14ac:dyDescent="0.15">
      <c r="A71" t="s">
        <v>72</v>
      </c>
      <c r="B71" t="s">
        <v>1596</v>
      </c>
      <c r="C71" t="s">
        <v>74</v>
      </c>
      <c r="D71" t="s">
        <v>74</v>
      </c>
      <c r="E71" t="s">
        <v>74</v>
      </c>
      <c r="F71" t="s">
        <v>1597</v>
      </c>
      <c r="G71" t="s">
        <v>74</v>
      </c>
      <c r="H71" t="s">
        <v>74</v>
      </c>
      <c r="I71" t="s">
        <v>1598</v>
      </c>
      <c r="J71" t="s">
        <v>1196</v>
      </c>
      <c r="K71" t="s">
        <v>74</v>
      </c>
      <c r="L71" t="s">
        <v>74</v>
      </c>
      <c r="M71" t="s">
        <v>78</v>
      </c>
      <c r="N71" t="s">
        <v>79</v>
      </c>
      <c r="O71" t="s">
        <v>74</v>
      </c>
      <c r="P71" t="s">
        <v>74</v>
      </c>
      <c r="Q71" t="s">
        <v>74</v>
      </c>
      <c r="R71" t="s">
        <v>74</v>
      </c>
      <c r="S71" t="s">
        <v>74</v>
      </c>
      <c r="T71" t="s">
        <v>74</v>
      </c>
      <c r="U71" t="s">
        <v>1599</v>
      </c>
      <c r="V71" t="s">
        <v>1600</v>
      </c>
      <c r="W71" t="s">
        <v>1601</v>
      </c>
      <c r="X71" t="s">
        <v>1602</v>
      </c>
      <c r="Y71" t="s">
        <v>1603</v>
      </c>
      <c r="Z71" t="s">
        <v>1604</v>
      </c>
      <c r="AA71" t="s">
        <v>1605</v>
      </c>
      <c r="AB71" t="s">
        <v>1606</v>
      </c>
      <c r="AC71" t="s">
        <v>1607</v>
      </c>
      <c r="AD71" t="s">
        <v>1608</v>
      </c>
      <c r="AE71" t="s">
        <v>1609</v>
      </c>
      <c r="AF71" t="s">
        <v>74</v>
      </c>
      <c r="AG71">
        <v>69</v>
      </c>
      <c r="AH71">
        <v>14</v>
      </c>
      <c r="AI71">
        <v>15</v>
      </c>
      <c r="AJ71">
        <v>0</v>
      </c>
      <c r="AK71">
        <v>28</v>
      </c>
      <c r="AL71" t="s">
        <v>1207</v>
      </c>
      <c r="AM71" t="s">
        <v>1208</v>
      </c>
      <c r="AN71" t="s">
        <v>1209</v>
      </c>
      <c r="AO71" t="s">
        <v>1210</v>
      </c>
      <c r="AP71" t="s">
        <v>74</v>
      </c>
      <c r="AQ71" t="s">
        <v>74</v>
      </c>
      <c r="AR71" t="s">
        <v>1196</v>
      </c>
      <c r="AS71" t="s">
        <v>1211</v>
      </c>
      <c r="AT71" t="s">
        <v>1592</v>
      </c>
      <c r="AU71">
        <v>2016</v>
      </c>
      <c r="AV71">
        <v>11</v>
      </c>
      <c r="AW71">
        <v>5</v>
      </c>
      <c r="AX71" t="s">
        <v>74</v>
      </c>
      <c r="AY71" t="s">
        <v>74</v>
      </c>
      <c r="AZ71" t="s">
        <v>74</v>
      </c>
      <c r="BA71" t="s">
        <v>74</v>
      </c>
      <c r="BB71" t="s">
        <v>74</v>
      </c>
      <c r="BC71" t="s">
        <v>74</v>
      </c>
      <c r="BD71" t="s">
        <v>1610</v>
      </c>
      <c r="BE71" t="s">
        <v>1611</v>
      </c>
      <c r="BF71" t="str">
        <f>HYPERLINK("http://dx.doi.org/10.1371/journal.pone.0155817","http://dx.doi.org/10.1371/journal.pone.0155817")</f>
        <v>http://dx.doi.org/10.1371/journal.pone.0155817</v>
      </c>
      <c r="BG71" t="s">
        <v>74</v>
      </c>
      <c r="BH71" t="s">
        <v>74</v>
      </c>
      <c r="BI71">
        <v>19</v>
      </c>
      <c r="BJ71" t="s">
        <v>753</v>
      </c>
      <c r="BK71" t="s">
        <v>102</v>
      </c>
      <c r="BL71" t="s">
        <v>754</v>
      </c>
      <c r="BM71" t="s">
        <v>1612</v>
      </c>
      <c r="BN71">
        <v>27196097</v>
      </c>
      <c r="BO71" t="s">
        <v>1345</v>
      </c>
      <c r="BP71" t="s">
        <v>74</v>
      </c>
      <c r="BQ71" t="s">
        <v>74</v>
      </c>
      <c r="BR71" t="s">
        <v>106</v>
      </c>
      <c r="BS71" t="s">
        <v>1613</v>
      </c>
      <c r="BT71" t="str">
        <f>HYPERLINK("https%3A%2F%2Fwww.webofscience.com%2Fwos%2Fwoscc%2Ffull-record%2FWOS:000376291100105","View Full Record in Web of Science")</f>
        <v>View Full Record in Web of Science</v>
      </c>
    </row>
    <row r="72" spans="1:72" x14ac:dyDescent="0.15">
      <c r="A72" t="s">
        <v>72</v>
      </c>
      <c r="B72" t="s">
        <v>1614</v>
      </c>
      <c r="C72" t="s">
        <v>74</v>
      </c>
      <c r="D72" t="s">
        <v>74</v>
      </c>
      <c r="E72" t="s">
        <v>74</v>
      </c>
      <c r="F72" t="s">
        <v>1615</v>
      </c>
      <c r="G72" t="s">
        <v>74</v>
      </c>
      <c r="H72" t="s">
        <v>74</v>
      </c>
      <c r="I72" t="s">
        <v>1616</v>
      </c>
      <c r="J72" t="s">
        <v>1617</v>
      </c>
      <c r="K72" t="s">
        <v>74</v>
      </c>
      <c r="L72" t="s">
        <v>74</v>
      </c>
      <c r="M72" t="s">
        <v>78</v>
      </c>
      <c r="N72" t="s">
        <v>79</v>
      </c>
      <c r="O72" t="s">
        <v>74</v>
      </c>
      <c r="P72" t="s">
        <v>74</v>
      </c>
      <c r="Q72" t="s">
        <v>74</v>
      </c>
      <c r="R72" t="s">
        <v>74</v>
      </c>
      <c r="S72" t="s">
        <v>74</v>
      </c>
      <c r="T72" t="s">
        <v>1618</v>
      </c>
      <c r="U72" t="s">
        <v>1619</v>
      </c>
      <c r="V72" t="s">
        <v>1620</v>
      </c>
      <c r="W72" t="s">
        <v>1621</v>
      </c>
      <c r="X72" t="s">
        <v>1622</v>
      </c>
      <c r="Y72" t="s">
        <v>1623</v>
      </c>
      <c r="Z72" t="s">
        <v>1624</v>
      </c>
      <c r="AA72" t="s">
        <v>1625</v>
      </c>
      <c r="AB72" t="s">
        <v>1626</v>
      </c>
      <c r="AC72" t="s">
        <v>1627</v>
      </c>
      <c r="AD72" t="s">
        <v>1628</v>
      </c>
      <c r="AE72" t="s">
        <v>1629</v>
      </c>
      <c r="AF72" t="s">
        <v>74</v>
      </c>
      <c r="AG72">
        <v>29</v>
      </c>
      <c r="AH72">
        <v>3</v>
      </c>
      <c r="AI72">
        <v>3</v>
      </c>
      <c r="AJ72">
        <v>0</v>
      </c>
      <c r="AK72">
        <v>5</v>
      </c>
      <c r="AL72" t="s">
        <v>1630</v>
      </c>
      <c r="AM72" t="s">
        <v>1631</v>
      </c>
      <c r="AN72" t="s">
        <v>1632</v>
      </c>
      <c r="AO72" t="s">
        <v>1633</v>
      </c>
      <c r="AP72" t="s">
        <v>1634</v>
      </c>
      <c r="AQ72" t="s">
        <v>74</v>
      </c>
      <c r="AR72" t="s">
        <v>1617</v>
      </c>
      <c r="AS72" t="s">
        <v>1635</v>
      </c>
      <c r="AT72" t="s">
        <v>1636</v>
      </c>
      <c r="AU72">
        <v>2016</v>
      </c>
      <c r="AV72">
        <v>261</v>
      </c>
      <c r="AW72">
        <v>2</v>
      </c>
      <c r="AX72" t="s">
        <v>74</v>
      </c>
      <c r="AY72" t="s">
        <v>74</v>
      </c>
      <c r="AZ72" t="s">
        <v>74</v>
      </c>
      <c r="BA72" t="s">
        <v>74</v>
      </c>
      <c r="BB72">
        <v>185</v>
      </c>
      <c r="BC72">
        <v>193</v>
      </c>
      <c r="BD72" t="s">
        <v>74</v>
      </c>
      <c r="BE72" t="s">
        <v>1637</v>
      </c>
      <c r="BF72" t="str">
        <f>HYPERLINK("http://dx.doi.org/10.11646/phytotaxa.261.2.8","http://dx.doi.org/10.11646/phytotaxa.261.2.8")</f>
        <v>http://dx.doi.org/10.11646/phytotaxa.261.2.8</v>
      </c>
      <c r="BG72" t="s">
        <v>74</v>
      </c>
      <c r="BH72" t="s">
        <v>74</v>
      </c>
      <c r="BI72">
        <v>9</v>
      </c>
      <c r="BJ72" t="s">
        <v>1638</v>
      </c>
      <c r="BK72" t="s">
        <v>102</v>
      </c>
      <c r="BL72" t="s">
        <v>1638</v>
      </c>
      <c r="BM72" t="s">
        <v>1639</v>
      </c>
      <c r="BN72" t="s">
        <v>74</v>
      </c>
      <c r="BO72" t="s">
        <v>74</v>
      </c>
      <c r="BP72" t="s">
        <v>74</v>
      </c>
      <c r="BQ72" t="s">
        <v>74</v>
      </c>
      <c r="BR72" t="s">
        <v>106</v>
      </c>
      <c r="BS72" t="s">
        <v>1640</v>
      </c>
      <c r="BT72" t="str">
        <f>HYPERLINK("https%3A%2F%2Fwww.webofscience.com%2Fwos%2Fwoscc%2Ffull-record%2FWOS:000381824400008","View Full Record in Web of Science")</f>
        <v>View Full Record in Web of Science</v>
      </c>
    </row>
    <row r="73" spans="1:72" x14ac:dyDescent="0.15">
      <c r="A73" t="s">
        <v>72</v>
      </c>
      <c r="B73" t="s">
        <v>1641</v>
      </c>
      <c r="C73" t="s">
        <v>74</v>
      </c>
      <c r="D73" t="s">
        <v>74</v>
      </c>
      <c r="E73" t="s">
        <v>74</v>
      </c>
      <c r="F73" t="s">
        <v>1642</v>
      </c>
      <c r="G73" t="s">
        <v>74</v>
      </c>
      <c r="H73" t="s">
        <v>74</v>
      </c>
      <c r="I73" t="s">
        <v>1643</v>
      </c>
      <c r="J73" t="s">
        <v>1644</v>
      </c>
      <c r="K73" t="s">
        <v>74</v>
      </c>
      <c r="L73" t="s">
        <v>74</v>
      </c>
      <c r="M73" t="s">
        <v>78</v>
      </c>
      <c r="N73" t="s">
        <v>79</v>
      </c>
      <c r="O73" t="s">
        <v>74</v>
      </c>
      <c r="P73" t="s">
        <v>74</v>
      </c>
      <c r="Q73" t="s">
        <v>74</v>
      </c>
      <c r="R73" t="s">
        <v>74</v>
      </c>
      <c r="S73" t="s">
        <v>74</v>
      </c>
      <c r="T73" t="s">
        <v>1645</v>
      </c>
      <c r="U73" t="s">
        <v>1646</v>
      </c>
      <c r="V73" t="s">
        <v>1647</v>
      </c>
      <c r="W73" t="s">
        <v>1648</v>
      </c>
      <c r="X73" t="s">
        <v>1649</v>
      </c>
      <c r="Y73" t="s">
        <v>1650</v>
      </c>
      <c r="Z73" t="s">
        <v>1651</v>
      </c>
      <c r="AA73" t="s">
        <v>1652</v>
      </c>
      <c r="AB73" t="s">
        <v>1653</v>
      </c>
      <c r="AC73" t="s">
        <v>1654</v>
      </c>
      <c r="AD73" t="s">
        <v>1655</v>
      </c>
      <c r="AE73" t="s">
        <v>1656</v>
      </c>
      <c r="AF73" t="s">
        <v>74</v>
      </c>
      <c r="AG73">
        <v>52</v>
      </c>
      <c r="AH73">
        <v>163</v>
      </c>
      <c r="AI73">
        <v>172</v>
      </c>
      <c r="AJ73">
        <v>6</v>
      </c>
      <c r="AK73">
        <v>96</v>
      </c>
      <c r="AL73" t="s">
        <v>1657</v>
      </c>
      <c r="AM73" t="s">
        <v>679</v>
      </c>
      <c r="AN73" t="s">
        <v>1658</v>
      </c>
      <c r="AO73" t="s">
        <v>1659</v>
      </c>
      <c r="AP73" t="s">
        <v>74</v>
      </c>
      <c r="AQ73" t="s">
        <v>74</v>
      </c>
      <c r="AR73" t="s">
        <v>1644</v>
      </c>
      <c r="AS73" t="s">
        <v>1660</v>
      </c>
      <c r="AT73" t="s">
        <v>1636</v>
      </c>
      <c r="AU73">
        <v>2016</v>
      </c>
      <c r="AV73">
        <v>5</v>
      </c>
      <c r="AW73" t="s">
        <v>74</v>
      </c>
      <c r="AX73" t="s">
        <v>74</v>
      </c>
      <c r="AY73" t="s">
        <v>74</v>
      </c>
      <c r="AZ73" t="s">
        <v>74</v>
      </c>
      <c r="BA73" t="s">
        <v>74</v>
      </c>
      <c r="BB73" t="s">
        <v>74</v>
      </c>
      <c r="BC73" t="s">
        <v>74</v>
      </c>
      <c r="BD73">
        <v>21</v>
      </c>
      <c r="BE73" t="s">
        <v>1661</v>
      </c>
      <c r="BF73" t="str">
        <f>HYPERLINK("http://dx.doi.org/10.1186/s13742-016-0126-5","http://dx.doi.org/10.1186/s13742-016-0126-5")</f>
        <v>http://dx.doi.org/10.1186/s13742-016-0126-5</v>
      </c>
      <c r="BG73" t="s">
        <v>74</v>
      </c>
      <c r="BH73" t="s">
        <v>74</v>
      </c>
      <c r="BI73">
        <v>11</v>
      </c>
      <c r="BJ73" t="s">
        <v>1662</v>
      </c>
      <c r="BK73" t="s">
        <v>102</v>
      </c>
      <c r="BL73" t="s">
        <v>1663</v>
      </c>
      <c r="BM73" t="s">
        <v>1664</v>
      </c>
      <c r="BN73">
        <v>27195106</v>
      </c>
      <c r="BO73" t="s">
        <v>1665</v>
      </c>
      <c r="BP73" t="s">
        <v>74</v>
      </c>
      <c r="BQ73" t="s">
        <v>74</v>
      </c>
      <c r="BR73" t="s">
        <v>106</v>
      </c>
      <c r="BS73" t="s">
        <v>1666</v>
      </c>
      <c r="BT73" t="str">
        <f>HYPERLINK("https%3A%2F%2Fwww.webofscience.com%2Fwos%2Fwoscc%2Ffull-record%2FWOS:000376490600001","View Full Record in Web of Science")</f>
        <v>View Full Record in Web of Science</v>
      </c>
    </row>
    <row r="74" spans="1:72" x14ac:dyDescent="0.15">
      <c r="A74" t="s">
        <v>72</v>
      </c>
      <c r="B74" t="s">
        <v>1667</v>
      </c>
      <c r="C74" t="s">
        <v>74</v>
      </c>
      <c r="D74" t="s">
        <v>74</v>
      </c>
      <c r="E74" t="s">
        <v>74</v>
      </c>
      <c r="F74" t="s">
        <v>1668</v>
      </c>
      <c r="G74" t="s">
        <v>74</v>
      </c>
      <c r="H74" t="s">
        <v>74</v>
      </c>
      <c r="I74" t="s">
        <v>1669</v>
      </c>
      <c r="J74" t="s">
        <v>1350</v>
      </c>
      <c r="K74" t="s">
        <v>74</v>
      </c>
      <c r="L74" t="s">
        <v>74</v>
      </c>
      <c r="M74" t="s">
        <v>78</v>
      </c>
      <c r="N74" t="s">
        <v>79</v>
      </c>
      <c r="O74" t="s">
        <v>74</v>
      </c>
      <c r="P74" t="s">
        <v>74</v>
      </c>
      <c r="Q74" t="s">
        <v>74</v>
      </c>
      <c r="R74" t="s">
        <v>74</v>
      </c>
      <c r="S74" t="s">
        <v>74</v>
      </c>
      <c r="T74" t="s">
        <v>74</v>
      </c>
      <c r="U74" t="s">
        <v>1670</v>
      </c>
      <c r="V74" t="s">
        <v>1671</v>
      </c>
      <c r="W74" t="s">
        <v>1672</v>
      </c>
      <c r="X74" t="s">
        <v>1673</v>
      </c>
      <c r="Y74" t="s">
        <v>1674</v>
      </c>
      <c r="Z74" t="s">
        <v>1675</v>
      </c>
      <c r="AA74" t="s">
        <v>1676</v>
      </c>
      <c r="AB74" t="s">
        <v>1677</v>
      </c>
      <c r="AC74" t="s">
        <v>1678</v>
      </c>
      <c r="AD74" t="s">
        <v>1679</v>
      </c>
      <c r="AE74" t="s">
        <v>1680</v>
      </c>
      <c r="AF74" t="s">
        <v>74</v>
      </c>
      <c r="AG74">
        <v>57</v>
      </c>
      <c r="AH74">
        <v>7</v>
      </c>
      <c r="AI74">
        <v>8</v>
      </c>
      <c r="AJ74">
        <v>2</v>
      </c>
      <c r="AK74">
        <v>43</v>
      </c>
      <c r="AL74" t="s">
        <v>746</v>
      </c>
      <c r="AM74" t="s">
        <v>747</v>
      </c>
      <c r="AN74" t="s">
        <v>748</v>
      </c>
      <c r="AO74" t="s">
        <v>1362</v>
      </c>
      <c r="AP74" t="s">
        <v>74</v>
      </c>
      <c r="AQ74" t="s">
        <v>74</v>
      </c>
      <c r="AR74" t="s">
        <v>1363</v>
      </c>
      <c r="AS74" t="s">
        <v>1364</v>
      </c>
      <c r="AT74" t="s">
        <v>1681</v>
      </c>
      <c r="AU74">
        <v>2016</v>
      </c>
      <c r="AV74">
        <v>6</v>
      </c>
      <c r="AW74" t="s">
        <v>74</v>
      </c>
      <c r="AX74" t="s">
        <v>74</v>
      </c>
      <c r="AY74" t="s">
        <v>74</v>
      </c>
      <c r="AZ74" t="s">
        <v>74</v>
      </c>
      <c r="BA74" t="s">
        <v>74</v>
      </c>
      <c r="BB74" t="s">
        <v>74</v>
      </c>
      <c r="BC74" t="s">
        <v>74</v>
      </c>
      <c r="BD74">
        <v>26007</v>
      </c>
      <c r="BE74" t="s">
        <v>1682</v>
      </c>
      <c r="BF74" t="str">
        <f>HYPERLINK("http://dx.doi.org/10.1038/srep26007","http://dx.doi.org/10.1038/srep26007")</f>
        <v>http://dx.doi.org/10.1038/srep26007</v>
      </c>
      <c r="BG74" t="s">
        <v>74</v>
      </c>
      <c r="BH74" t="s">
        <v>74</v>
      </c>
      <c r="BI74">
        <v>8</v>
      </c>
      <c r="BJ74" t="s">
        <v>753</v>
      </c>
      <c r="BK74" t="s">
        <v>102</v>
      </c>
      <c r="BL74" t="s">
        <v>754</v>
      </c>
      <c r="BM74" t="s">
        <v>1683</v>
      </c>
      <c r="BN74">
        <v>27184471</v>
      </c>
      <c r="BO74" t="s">
        <v>1684</v>
      </c>
      <c r="BP74" t="s">
        <v>74</v>
      </c>
      <c r="BQ74" t="s">
        <v>74</v>
      </c>
      <c r="BR74" t="s">
        <v>106</v>
      </c>
      <c r="BS74" t="s">
        <v>1685</v>
      </c>
      <c r="BT74" t="str">
        <f>HYPERLINK("https%3A%2F%2Fwww.webofscience.com%2Fwos%2Fwoscc%2Ffull-record%2FWOS:000375905900001","View Full Record in Web of Science")</f>
        <v>View Full Record in Web of Science</v>
      </c>
    </row>
    <row r="75" spans="1:72" x14ac:dyDescent="0.15">
      <c r="A75" t="s">
        <v>72</v>
      </c>
      <c r="B75" t="s">
        <v>1686</v>
      </c>
      <c r="C75" t="s">
        <v>74</v>
      </c>
      <c r="D75" t="s">
        <v>74</v>
      </c>
      <c r="E75" t="s">
        <v>74</v>
      </c>
      <c r="F75" t="s">
        <v>1687</v>
      </c>
      <c r="G75" t="s">
        <v>74</v>
      </c>
      <c r="H75" t="s">
        <v>74</v>
      </c>
      <c r="I75" t="s">
        <v>1688</v>
      </c>
      <c r="J75" t="s">
        <v>1220</v>
      </c>
      <c r="K75" t="s">
        <v>74</v>
      </c>
      <c r="L75" t="s">
        <v>74</v>
      </c>
      <c r="M75" t="s">
        <v>78</v>
      </c>
      <c r="N75" t="s">
        <v>79</v>
      </c>
      <c r="O75" t="s">
        <v>74</v>
      </c>
      <c r="P75" t="s">
        <v>74</v>
      </c>
      <c r="Q75" t="s">
        <v>74</v>
      </c>
      <c r="R75" t="s">
        <v>74</v>
      </c>
      <c r="S75" t="s">
        <v>74</v>
      </c>
      <c r="T75" t="s">
        <v>1689</v>
      </c>
      <c r="U75" t="s">
        <v>1690</v>
      </c>
      <c r="V75" t="s">
        <v>1691</v>
      </c>
      <c r="W75" t="s">
        <v>1692</v>
      </c>
      <c r="X75" t="s">
        <v>1693</v>
      </c>
      <c r="Y75" t="s">
        <v>1694</v>
      </c>
      <c r="Z75" t="s">
        <v>1695</v>
      </c>
      <c r="AA75" t="s">
        <v>1696</v>
      </c>
      <c r="AB75" t="s">
        <v>1697</v>
      </c>
      <c r="AC75" t="s">
        <v>1698</v>
      </c>
      <c r="AD75" t="s">
        <v>1699</v>
      </c>
      <c r="AE75" t="s">
        <v>1700</v>
      </c>
      <c r="AF75" t="s">
        <v>74</v>
      </c>
      <c r="AG75">
        <v>47</v>
      </c>
      <c r="AH75">
        <v>60</v>
      </c>
      <c r="AI75">
        <v>65</v>
      </c>
      <c r="AJ75">
        <v>0</v>
      </c>
      <c r="AK75">
        <v>28</v>
      </c>
      <c r="AL75" t="s">
        <v>1230</v>
      </c>
      <c r="AM75" t="s">
        <v>93</v>
      </c>
      <c r="AN75" t="s">
        <v>1231</v>
      </c>
      <c r="AO75" t="s">
        <v>1232</v>
      </c>
      <c r="AP75" t="s">
        <v>74</v>
      </c>
      <c r="AQ75" t="s">
        <v>74</v>
      </c>
      <c r="AR75" t="s">
        <v>1234</v>
      </c>
      <c r="AS75" t="s">
        <v>1235</v>
      </c>
      <c r="AT75" t="s">
        <v>1681</v>
      </c>
      <c r="AU75">
        <v>2016</v>
      </c>
      <c r="AV75">
        <v>113</v>
      </c>
      <c r="AW75">
        <v>20</v>
      </c>
      <c r="AX75" t="s">
        <v>74</v>
      </c>
      <c r="AY75" t="s">
        <v>74</v>
      </c>
      <c r="AZ75" t="s">
        <v>74</v>
      </c>
      <c r="BA75" t="s">
        <v>74</v>
      </c>
      <c r="BB75">
        <v>5700</v>
      </c>
      <c r="BC75">
        <v>5705</v>
      </c>
      <c r="BD75" t="s">
        <v>74</v>
      </c>
      <c r="BE75" t="s">
        <v>1701</v>
      </c>
      <c r="BF75" t="str">
        <f>HYPERLINK("http://dx.doi.org/10.1073/pnas.1521093113","http://dx.doi.org/10.1073/pnas.1521093113")</f>
        <v>http://dx.doi.org/10.1073/pnas.1521093113</v>
      </c>
      <c r="BG75" t="s">
        <v>74</v>
      </c>
      <c r="BH75" t="s">
        <v>74</v>
      </c>
      <c r="BI75">
        <v>6</v>
      </c>
      <c r="BJ75" t="s">
        <v>753</v>
      </c>
      <c r="BK75" t="s">
        <v>102</v>
      </c>
      <c r="BL75" t="s">
        <v>754</v>
      </c>
      <c r="BM75" t="s">
        <v>1702</v>
      </c>
      <c r="BN75">
        <v>27140608</v>
      </c>
      <c r="BO75" t="s">
        <v>1703</v>
      </c>
      <c r="BP75" t="s">
        <v>74</v>
      </c>
      <c r="BQ75" t="s">
        <v>74</v>
      </c>
      <c r="BR75" t="s">
        <v>106</v>
      </c>
      <c r="BS75" t="s">
        <v>1704</v>
      </c>
      <c r="BT75" t="str">
        <f>HYPERLINK("https%3A%2F%2Fwww.webofscience.com%2Fwos%2Fwoscc%2Ffull-record%2FWOS:000375977600060","View Full Record in Web of Science")</f>
        <v>View Full Record in Web of Science</v>
      </c>
    </row>
    <row r="76" spans="1:72" x14ac:dyDescent="0.15">
      <c r="A76" t="s">
        <v>72</v>
      </c>
      <c r="B76" t="s">
        <v>1705</v>
      </c>
      <c r="C76" t="s">
        <v>74</v>
      </c>
      <c r="D76" t="s">
        <v>74</v>
      </c>
      <c r="E76" t="s">
        <v>74</v>
      </c>
      <c r="F76" t="s">
        <v>1706</v>
      </c>
      <c r="G76" t="s">
        <v>74</v>
      </c>
      <c r="H76" t="s">
        <v>74</v>
      </c>
      <c r="I76" t="s">
        <v>1707</v>
      </c>
      <c r="J76" t="s">
        <v>1708</v>
      </c>
      <c r="K76" t="s">
        <v>74</v>
      </c>
      <c r="L76" t="s">
        <v>74</v>
      </c>
      <c r="M76" t="s">
        <v>78</v>
      </c>
      <c r="N76" t="s">
        <v>79</v>
      </c>
      <c r="O76" t="s">
        <v>74</v>
      </c>
      <c r="P76" t="s">
        <v>74</v>
      </c>
      <c r="Q76" t="s">
        <v>74</v>
      </c>
      <c r="R76" t="s">
        <v>74</v>
      </c>
      <c r="S76" t="s">
        <v>74</v>
      </c>
      <c r="T76" t="s">
        <v>74</v>
      </c>
      <c r="U76" t="s">
        <v>1709</v>
      </c>
      <c r="V76" t="s">
        <v>1710</v>
      </c>
      <c r="W76" t="s">
        <v>1711</v>
      </c>
      <c r="X76" t="s">
        <v>1712</v>
      </c>
      <c r="Y76" t="s">
        <v>1713</v>
      </c>
      <c r="Z76" t="s">
        <v>1714</v>
      </c>
      <c r="AA76" t="s">
        <v>1715</v>
      </c>
      <c r="AB76" t="s">
        <v>1716</v>
      </c>
      <c r="AC76" t="s">
        <v>1717</v>
      </c>
      <c r="AD76" t="s">
        <v>1718</v>
      </c>
      <c r="AE76" t="s">
        <v>1719</v>
      </c>
      <c r="AF76" t="s">
        <v>74</v>
      </c>
      <c r="AG76">
        <v>81</v>
      </c>
      <c r="AH76">
        <v>20</v>
      </c>
      <c r="AI76">
        <v>25</v>
      </c>
      <c r="AJ76">
        <v>2</v>
      </c>
      <c r="AK76">
        <v>42</v>
      </c>
      <c r="AL76" t="s">
        <v>92</v>
      </c>
      <c r="AM76" t="s">
        <v>93</v>
      </c>
      <c r="AN76" t="s">
        <v>94</v>
      </c>
      <c r="AO76" t="s">
        <v>1720</v>
      </c>
      <c r="AP76" t="s">
        <v>1721</v>
      </c>
      <c r="AQ76" t="s">
        <v>74</v>
      </c>
      <c r="AR76" t="s">
        <v>1722</v>
      </c>
      <c r="AS76" t="s">
        <v>1723</v>
      </c>
      <c r="AT76" t="s">
        <v>1724</v>
      </c>
      <c r="AU76">
        <v>2016</v>
      </c>
      <c r="AV76">
        <v>121</v>
      </c>
      <c r="AW76">
        <v>9</v>
      </c>
      <c r="AX76" t="s">
        <v>74</v>
      </c>
      <c r="AY76" t="s">
        <v>74</v>
      </c>
      <c r="AZ76" t="s">
        <v>74</v>
      </c>
      <c r="BA76" t="s">
        <v>74</v>
      </c>
      <c r="BB76">
        <v>5010</v>
      </c>
      <c r="BC76">
        <v>5030</v>
      </c>
      <c r="BD76" t="s">
        <v>74</v>
      </c>
      <c r="BE76" t="s">
        <v>1725</v>
      </c>
      <c r="BF76" t="str">
        <f>HYPERLINK("http://dx.doi.org/10.1002/2015JD024187","http://dx.doi.org/10.1002/2015JD024187")</f>
        <v>http://dx.doi.org/10.1002/2015JD024187</v>
      </c>
      <c r="BG76" t="s">
        <v>74</v>
      </c>
      <c r="BH76" t="s">
        <v>74</v>
      </c>
      <c r="BI76">
        <v>21</v>
      </c>
      <c r="BJ76" t="s">
        <v>1726</v>
      </c>
      <c r="BK76" t="s">
        <v>102</v>
      </c>
      <c r="BL76" t="s">
        <v>1726</v>
      </c>
      <c r="BM76" t="s">
        <v>1727</v>
      </c>
      <c r="BN76" t="s">
        <v>74</v>
      </c>
      <c r="BO76" t="s">
        <v>293</v>
      </c>
      <c r="BP76" t="s">
        <v>74</v>
      </c>
      <c r="BQ76" t="s">
        <v>74</v>
      </c>
      <c r="BR76" t="s">
        <v>106</v>
      </c>
      <c r="BS76" t="s">
        <v>1728</v>
      </c>
      <c r="BT76" t="str">
        <f>HYPERLINK("https%3A%2F%2Fwww.webofscience.com%2Fwos%2Fwoscc%2Ffull-record%2FWOS:000379715800034","View Full Record in Web of Science")</f>
        <v>View Full Record in Web of Science</v>
      </c>
    </row>
    <row r="77" spans="1:72" x14ac:dyDescent="0.15">
      <c r="A77" t="s">
        <v>72</v>
      </c>
      <c r="B77" t="s">
        <v>1729</v>
      </c>
      <c r="C77" t="s">
        <v>74</v>
      </c>
      <c r="D77" t="s">
        <v>74</v>
      </c>
      <c r="E77" t="s">
        <v>74</v>
      </c>
      <c r="F77" t="s">
        <v>1730</v>
      </c>
      <c r="G77" t="s">
        <v>74</v>
      </c>
      <c r="H77" t="s">
        <v>74</v>
      </c>
      <c r="I77" t="s">
        <v>1731</v>
      </c>
      <c r="J77" t="s">
        <v>1288</v>
      </c>
      <c r="K77" t="s">
        <v>74</v>
      </c>
      <c r="L77" t="s">
        <v>74</v>
      </c>
      <c r="M77" t="s">
        <v>78</v>
      </c>
      <c r="N77" t="s">
        <v>79</v>
      </c>
      <c r="O77" t="s">
        <v>74</v>
      </c>
      <c r="P77" t="s">
        <v>74</v>
      </c>
      <c r="Q77" t="s">
        <v>74</v>
      </c>
      <c r="R77" t="s">
        <v>74</v>
      </c>
      <c r="S77" t="s">
        <v>74</v>
      </c>
      <c r="T77" t="s">
        <v>74</v>
      </c>
      <c r="U77" t="s">
        <v>1732</v>
      </c>
      <c r="V77" t="s">
        <v>1733</v>
      </c>
      <c r="W77" t="s">
        <v>1734</v>
      </c>
      <c r="X77" t="s">
        <v>1735</v>
      </c>
      <c r="Y77" t="s">
        <v>1736</v>
      </c>
      <c r="Z77" t="s">
        <v>1737</v>
      </c>
      <c r="AA77" t="s">
        <v>1738</v>
      </c>
      <c r="AB77" t="s">
        <v>1739</v>
      </c>
      <c r="AC77" t="s">
        <v>1740</v>
      </c>
      <c r="AD77" t="s">
        <v>1741</v>
      </c>
      <c r="AE77" t="s">
        <v>1742</v>
      </c>
      <c r="AF77" t="s">
        <v>74</v>
      </c>
      <c r="AG77">
        <v>42</v>
      </c>
      <c r="AH77">
        <v>36</v>
      </c>
      <c r="AI77">
        <v>40</v>
      </c>
      <c r="AJ77">
        <v>3</v>
      </c>
      <c r="AK77">
        <v>23</v>
      </c>
      <c r="AL77" t="s">
        <v>92</v>
      </c>
      <c r="AM77" t="s">
        <v>93</v>
      </c>
      <c r="AN77" t="s">
        <v>94</v>
      </c>
      <c r="AO77" t="s">
        <v>1296</v>
      </c>
      <c r="AP77" t="s">
        <v>1297</v>
      </c>
      <c r="AQ77" t="s">
        <v>74</v>
      </c>
      <c r="AR77" t="s">
        <v>1298</v>
      </c>
      <c r="AS77" t="s">
        <v>1299</v>
      </c>
      <c r="AT77" t="s">
        <v>1724</v>
      </c>
      <c r="AU77">
        <v>2016</v>
      </c>
      <c r="AV77">
        <v>43</v>
      </c>
      <c r="AW77">
        <v>9</v>
      </c>
      <c r="AX77" t="s">
        <v>74</v>
      </c>
      <c r="AY77" t="s">
        <v>74</v>
      </c>
      <c r="AZ77" t="s">
        <v>74</v>
      </c>
      <c r="BA77" t="s">
        <v>74</v>
      </c>
      <c r="BB77">
        <v>4517</v>
      </c>
      <c r="BC77">
        <v>4523</v>
      </c>
      <c r="BD77" t="s">
        <v>74</v>
      </c>
      <c r="BE77" t="s">
        <v>1743</v>
      </c>
      <c r="BF77" t="str">
        <f>HYPERLINK("http://dx.doi.org/10.1002/2016GL069026","http://dx.doi.org/10.1002/2016GL069026")</f>
        <v>http://dx.doi.org/10.1002/2016GL069026</v>
      </c>
      <c r="BG77" t="s">
        <v>74</v>
      </c>
      <c r="BH77" t="s">
        <v>74</v>
      </c>
      <c r="BI77">
        <v>7</v>
      </c>
      <c r="BJ77" t="s">
        <v>269</v>
      </c>
      <c r="BK77" t="s">
        <v>102</v>
      </c>
      <c r="BL77" t="s">
        <v>270</v>
      </c>
      <c r="BM77" t="s">
        <v>1744</v>
      </c>
      <c r="BN77" t="s">
        <v>74</v>
      </c>
      <c r="BO77" t="s">
        <v>1745</v>
      </c>
      <c r="BP77" t="s">
        <v>74</v>
      </c>
      <c r="BQ77" t="s">
        <v>74</v>
      </c>
      <c r="BR77" t="s">
        <v>106</v>
      </c>
      <c r="BS77" t="s">
        <v>1746</v>
      </c>
      <c r="BT77" t="str">
        <f>HYPERLINK("https%3A%2F%2Fwww.webofscience.com%2Fwos%2Fwoscc%2Ffull-record%2FWOS:000378339200053","View Full Record in Web of Science")</f>
        <v>View Full Record in Web of Science</v>
      </c>
    </row>
    <row r="78" spans="1:72" x14ac:dyDescent="0.15">
      <c r="A78" t="s">
        <v>72</v>
      </c>
      <c r="B78" t="s">
        <v>1747</v>
      </c>
      <c r="C78" t="s">
        <v>74</v>
      </c>
      <c r="D78" t="s">
        <v>74</v>
      </c>
      <c r="E78" t="s">
        <v>74</v>
      </c>
      <c r="F78" t="s">
        <v>1748</v>
      </c>
      <c r="G78" t="s">
        <v>74</v>
      </c>
      <c r="H78" t="s">
        <v>74</v>
      </c>
      <c r="I78" t="s">
        <v>1749</v>
      </c>
      <c r="J78" t="s">
        <v>1750</v>
      </c>
      <c r="K78" t="s">
        <v>74</v>
      </c>
      <c r="L78" t="s">
        <v>74</v>
      </c>
      <c r="M78" t="s">
        <v>78</v>
      </c>
      <c r="N78" t="s">
        <v>79</v>
      </c>
      <c r="O78" t="s">
        <v>74</v>
      </c>
      <c r="P78" t="s">
        <v>74</v>
      </c>
      <c r="Q78" t="s">
        <v>74</v>
      </c>
      <c r="R78" t="s">
        <v>74</v>
      </c>
      <c r="S78" t="s">
        <v>74</v>
      </c>
      <c r="T78" t="s">
        <v>1751</v>
      </c>
      <c r="U78" t="s">
        <v>1752</v>
      </c>
      <c r="V78" t="s">
        <v>1753</v>
      </c>
      <c r="W78" t="s">
        <v>1754</v>
      </c>
      <c r="X78" t="s">
        <v>1755</v>
      </c>
      <c r="Y78" t="s">
        <v>1756</v>
      </c>
      <c r="Z78" t="s">
        <v>74</v>
      </c>
      <c r="AA78" t="s">
        <v>1757</v>
      </c>
      <c r="AB78" t="s">
        <v>1758</v>
      </c>
      <c r="AC78" t="s">
        <v>1759</v>
      </c>
      <c r="AD78" t="s">
        <v>1760</v>
      </c>
      <c r="AE78" t="s">
        <v>1761</v>
      </c>
      <c r="AF78" t="s">
        <v>74</v>
      </c>
      <c r="AG78">
        <v>15</v>
      </c>
      <c r="AH78">
        <v>13</v>
      </c>
      <c r="AI78">
        <v>13</v>
      </c>
      <c r="AJ78">
        <v>0</v>
      </c>
      <c r="AK78">
        <v>14</v>
      </c>
      <c r="AL78" t="s">
        <v>582</v>
      </c>
      <c r="AM78" t="s">
        <v>583</v>
      </c>
      <c r="AN78" t="s">
        <v>584</v>
      </c>
      <c r="AO78" t="s">
        <v>1762</v>
      </c>
      <c r="AP78" t="s">
        <v>1763</v>
      </c>
      <c r="AQ78" t="s">
        <v>74</v>
      </c>
      <c r="AR78" t="s">
        <v>1750</v>
      </c>
      <c r="AS78" t="s">
        <v>1764</v>
      </c>
      <c r="AT78" t="s">
        <v>1724</v>
      </c>
      <c r="AU78">
        <v>2016</v>
      </c>
      <c r="AV78">
        <v>386</v>
      </c>
      <c r="AW78" t="s">
        <v>74</v>
      </c>
      <c r="AX78" t="s">
        <v>74</v>
      </c>
      <c r="AY78" t="s">
        <v>74</v>
      </c>
      <c r="AZ78" t="s">
        <v>74</v>
      </c>
      <c r="BA78" t="s">
        <v>74</v>
      </c>
      <c r="BB78">
        <v>19</v>
      </c>
      <c r="BC78">
        <v>24</v>
      </c>
      <c r="BD78" t="s">
        <v>74</v>
      </c>
      <c r="BE78" t="s">
        <v>1765</v>
      </c>
      <c r="BF78" t="str">
        <f>HYPERLINK("http://dx.doi.org/10.1016/j.desal.2016.02.031","http://dx.doi.org/10.1016/j.desal.2016.02.031")</f>
        <v>http://dx.doi.org/10.1016/j.desal.2016.02.031</v>
      </c>
      <c r="BG78" t="s">
        <v>74</v>
      </c>
      <c r="BH78" t="s">
        <v>74</v>
      </c>
      <c r="BI78">
        <v>6</v>
      </c>
      <c r="BJ78" t="s">
        <v>1766</v>
      </c>
      <c r="BK78" t="s">
        <v>102</v>
      </c>
      <c r="BL78" t="s">
        <v>1767</v>
      </c>
      <c r="BM78" t="s">
        <v>1768</v>
      </c>
      <c r="BN78" t="s">
        <v>74</v>
      </c>
      <c r="BO78" t="s">
        <v>74</v>
      </c>
      <c r="BP78" t="s">
        <v>74</v>
      </c>
      <c r="BQ78" t="s">
        <v>74</v>
      </c>
      <c r="BR78" t="s">
        <v>106</v>
      </c>
      <c r="BS78" t="s">
        <v>1769</v>
      </c>
      <c r="BT78" t="str">
        <f>HYPERLINK("https%3A%2F%2Fwww.webofscience.com%2Fwos%2Fwoscc%2Ffull-record%2FWOS:000374362800003","View Full Record in Web of Science")</f>
        <v>View Full Record in Web of Science</v>
      </c>
    </row>
    <row r="79" spans="1:72" x14ac:dyDescent="0.15">
      <c r="A79" t="s">
        <v>72</v>
      </c>
      <c r="B79" t="s">
        <v>1770</v>
      </c>
      <c r="C79" t="s">
        <v>74</v>
      </c>
      <c r="D79" t="s">
        <v>74</v>
      </c>
      <c r="E79" t="s">
        <v>74</v>
      </c>
      <c r="F79" t="s">
        <v>1771</v>
      </c>
      <c r="G79" t="s">
        <v>74</v>
      </c>
      <c r="H79" t="s">
        <v>74</v>
      </c>
      <c r="I79" t="s">
        <v>1772</v>
      </c>
      <c r="J79" t="s">
        <v>1288</v>
      </c>
      <c r="K79" t="s">
        <v>74</v>
      </c>
      <c r="L79" t="s">
        <v>74</v>
      </c>
      <c r="M79" t="s">
        <v>78</v>
      </c>
      <c r="N79" t="s">
        <v>79</v>
      </c>
      <c r="O79" t="s">
        <v>74</v>
      </c>
      <c r="P79" t="s">
        <v>74</v>
      </c>
      <c r="Q79" t="s">
        <v>74</v>
      </c>
      <c r="R79" t="s">
        <v>74</v>
      </c>
      <c r="S79" t="s">
        <v>74</v>
      </c>
      <c r="T79" t="s">
        <v>74</v>
      </c>
      <c r="U79" t="s">
        <v>1773</v>
      </c>
      <c r="V79" t="s">
        <v>1774</v>
      </c>
      <c r="W79" t="s">
        <v>1775</v>
      </c>
      <c r="X79" t="s">
        <v>145</v>
      </c>
      <c r="Y79" t="s">
        <v>1776</v>
      </c>
      <c r="Z79" t="s">
        <v>1777</v>
      </c>
      <c r="AA79" t="s">
        <v>1778</v>
      </c>
      <c r="AB79" t="s">
        <v>1779</v>
      </c>
      <c r="AC79" t="s">
        <v>1780</v>
      </c>
      <c r="AD79" t="s">
        <v>1781</v>
      </c>
      <c r="AE79" t="s">
        <v>1782</v>
      </c>
      <c r="AF79" t="s">
        <v>74</v>
      </c>
      <c r="AG79">
        <v>21</v>
      </c>
      <c r="AH79">
        <v>14</v>
      </c>
      <c r="AI79">
        <v>15</v>
      </c>
      <c r="AJ79">
        <v>0</v>
      </c>
      <c r="AK79">
        <v>1</v>
      </c>
      <c r="AL79" t="s">
        <v>92</v>
      </c>
      <c r="AM79" t="s">
        <v>93</v>
      </c>
      <c r="AN79" t="s">
        <v>94</v>
      </c>
      <c r="AO79" t="s">
        <v>1296</v>
      </c>
      <c r="AP79" t="s">
        <v>1297</v>
      </c>
      <c r="AQ79" t="s">
        <v>74</v>
      </c>
      <c r="AR79" t="s">
        <v>1298</v>
      </c>
      <c r="AS79" t="s">
        <v>1299</v>
      </c>
      <c r="AT79" t="s">
        <v>1724</v>
      </c>
      <c r="AU79">
        <v>2016</v>
      </c>
      <c r="AV79">
        <v>43</v>
      </c>
      <c r="AW79">
        <v>9</v>
      </c>
      <c r="AX79" t="s">
        <v>74</v>
      </c>
      <c r="AY79" t="s">
        <v>74</v>
      </c>
      <c r="AZ79" t="s">
        <v>74</v>
      </c>
      <c r="BA79" t="s">
        <v>74</v>
      </c>
      <c r="BB79">
        <v>4433</v>
      </c>
      <c r="BC79">
        <v>4440</v>
      </c>
      <c r="BD79" t="s">
        <v>74</v>
      </c>
      <c r="BE79" t="s">
        <v>1783</v>
      </c>
      <c r="BF79" t="str">
        <f>HYPERLINK("http://dx.doi.org/10.1002/2016GL068220","http://dx.doi.org/10.1002/2016GL068220")</f>
        <v>http://dx.doi.org/10.1002/2016GL068220</v>
      </c>
      <c r="BG79" t="s">
        <v>74</v>
      </c>
      <c r="BH79" t="s">
        <v>74</v>
      </c>
      <c r="BI79">
        <v>8</v>
      </c>
      <c r="BJ79" t="s">
        <v>269</v>
      </c>
      <c r="BK79" t="s">
        <v>102</v>
      </c>
      <c r="BL79" t="s">
        <v>270</v>
      </c>
      <c r="BM79" t="s">
        <v>1744</v>
      </c>
      <c r="BN79" t="s">
        <v>74</v>
      </c>
      <c r="BO79" t="s">
        <v>363</v>
      </c>
      <c r="BP79" t="s">
        <v>74</v>
      </c>
      <c r="BQ79" t="s">
        <v>74</v>
      </c>
      <c r="BR79" t="s">
        <v>106</v>
      </c>
      <c r="BS79" t="s">
        <v>1784</v>
      </c>
      <c r="BT79" t="str">
        <f>HYPERLINK("https%3A%2F%2Fwww.webofscience.com%2Fwos%2Fwoscc%2Ffull-record%2FWOS:000378339200043","View Full Record in Web of Science")</f>
        <v>View Full Record in Web of Science</v>
      </c>
    </row>
    <row r="80" spans="1:72" x14ac:dyDescent="0.15">
      <c r="A80" t="s">
        <v>72</v>
      </c>
      <c r="B80" t="s">
        <v>1785</v>
      </c>
      <c r="C80" t="s">
        <v>74</v>
      </c>
      <c r="D80" t="s">
        <v>74</v>
      </c>
      <c r="E80" t="s">
        <v>74</v>
      </c>
      <c r="F80" t="s">
        <v>1786</v>
      </c>
      <c r="G80" t="s">
        <v>74</v>
      </c>
      <c r="H80" t="s">
        <v>74</v>
      </c>
      <c r="I80" t="s">
        <v>1787</v>
      </c>
      <c r="J80" t="s">
        <v>1288</v>
      </c>
      <c r="K80" t="s">
        <v>74</v>
      </c>
      <c r="L80" t="s">
        <v>74</v>
      </c>
      <c r="M80" t="s">
        <v>78</v>
      </c>
      <c r="N80" t="s">
        <v>79</v>
      </c>
      <c r="O80" t="s">
        <v>74</v>
      </c>
      <c r="P80" t="s">
        <v>74</v>
      </c>
      <c r="Q80" t="s">
        <v>74</v>
      </c>
      <c r="R80" t="s">
        <v>74</v>
      </c>
      <c r="S80" t="s">
        <v>74</v>
      </c>
      <c r="T80" t="s">
        <v>74</v>
      </c>
      <c r="U80" t="s">
        <v>1788</v>
      </c>
      <c r="V80" t="s">
        <v>1789</v>
      </c>
      <c r="W80" t="s">
        <v>1790</v>
      </c>
      <c r="X80" t="s">
        <v>1791</v>
      </c>
      <c r="Y80" t="s">
        <v>1792</v>
      </c>
      <c r="Z80" t="s">
        <v>1793</v>
      </c>
      <c r="AA80" t="s">
        <v>1794</v>
      </c>
      <c r="AB80" t="s">
        <v>1795</v>
      </c>
      <c r="AC80" t="s">
        <v>1796</v>
      </c>
      <c r="AD80" t="s">
        <v>1797</v>
      </c>
      <c r="AE80" t="s">
        <v>1798</v>
      </c>
      <c r="AF80" t="s">
        <v>74</v>
      </c>
      <c r="AG80">
        <v>48</v>
      </c>
      <c r="AH80">
        <v>58</v>
      </c>
      <c r="AI80">
        <v>65</v>
      </c>
      <c r="AJ80">
        <v>0</v>
      </c>
      <c r="AK80">
        <v>38</v>
      </c>
      <c r="AL80" t="s">
        <v>92</v>
      </c>
      <c r="AM80" t="s">
        <v>93</v>
      </c>
      <c r="AN80" t="s">
        <v>94</v>
      </c>
      <c r="AO80" t="s">
        <v>1296</v>
      </c>
      <c r="AP80" t="s">
        <v>1297</v>
      </c>
      <c r="AQ80" t="s">
        <v>74</v>
      </c>
      <c r="AR80" t="s">
        <v>1298</v>
      </c>
      <c r="AS80" t="s">
        <v>1299</v>
      </c>
      <c r="AT80" t="s">
        <v>1724</v>
      </c>
      <c r="AU80">
        <v>2016</v>
      </c>
      <c r="AV80">
        <v>43</v>
      </c>
      <c r="AW80">
        <v>9</v>
      </c>
      <c r="AX80" t="s">
        <v>74</v>
      </c>
      <c r="AY80" t="s">
        <v>74</v>
      </c>
      <c r="AZ80" t="s">
        <v>74</v>
      </c>
      <c r="BA80" t="s">
        <v>74</v>
      </c>
      <c r="BB80">
        <v>4457</v>
      </c>
      <c r="BC80">
        <v>4466</v>
      </c>
      <c r="BD80" t="s">
        <v>74</v>
      </c>
      <c r="BE80" t="s">
        <v>1799</v>
      </c>
      <c r="BF80" t="str">
        <f>HYPERLINK("http://dx.doi.org/10.1002/2016GL068480","http://dx.doi.org/10.1002/2016GL068480")</f>
        <v>http://dx.doi.org/10.1002/2016GL068480</v>
      </c>
      <c r="BG80" t="s">
        <v>74</v>
      </c>
      <c r="BH80" t="s">
        <v>74</v>
      </c>
      <c r="BI80">
        <v>10</v>
      </c>
      <c r="BJ80" t="s">
        <v>269</v>
      </c>
      <c r="BK80" t="s">
        <v>102</v>
      </c>
      <c r="BL80" t="s">
        <v>270</v>
      </c>
      <c r="BM80" t="s">
        <v>1744</v>
      </c>
      <c r="BN80" t="s">
        <v>74</v>
      </c>
      <c r="BO80" t="s">
        <v>1800</v>
      </c>
      <c r="BP80" t="s">
        <v>74</v>
      </c>
      <c r="BQ80" t="s">
        <v>74</v>
      </c>
      <c r="BR80" t="s">
        <v>106</v>
      </c>
      <c r="BS80" t="s">
        <v>1801</v>
      </c>
      <c r="BT80" t="str">
        <f>HYPERLINK("https%3A%2F%2Fwww.webofscience.com%2Fwos%2Fwoscc%2Ffull-record%2FWOS:000378339200046","View Full Record in Web of Science")</f>
        <v>View Full Record in Web of Science</v>
      </c>
    </row>
    <row r="81" spans="1:72" x14ac:dyDescent="0.15">
      <c r="A81" t="s">
        <v>72</v>
      </c>
      <c r="B81" t="s">
        <v>1802</v>
      </c>
      <c r="C81" t="s">
        <v>74</v>
      </c>
      <c r="D81" t="s">
        <v>74</v>
      </c>
      <c r="E81" t="s">
        <v>74</v>
      </c>
      <c r="F81" t="s">
        <v>1803</v>
      </c>
      <c r="G81" t="s">
        <v>74</v>
      </c>
      <c r="H81" t="s">
        <v>74</v>
      </c>
      <c r="I81" t="s">
        <v>1804</v>
      </c>
      <c r="J81" t="s">
        <v>1350</v>
      </c>
      <c r="K81" t="s">
        <v>74</v>
      </c>
      <c r="L81" t="s">
        <v>74</v>
      </c>
      <c r="M81" t="s">
        <v>78</v>
      </c>
      <c r="N81" t="s">
        <v>79</v>
      </c>
      <c r="O81" t="s">
        <v>74</v>
      </c>
      <c r="P81" t="s">
        <v>74</v>
      </c>
      <c r="Q81" t="s">
        <v>74</v>
      </c>
      <c r="R81" t="s">
        <v>74</v>
      </c>
      <c r="S81" t="s">
        <v>74</v>
      </c>
      <c r="T81" t="s">
        <v>74</v>
      </c>
      <c r="U81" t="s">
        <v>1805</v>
      </c>
      <c r="V81" t="s">
        <v>1806</v>
      </c>
      <c r="W81" t="s">
        <v>1807</v>
      </c>
      <c r="X81" t="s">
        <v>145</v>
      </c>
      <c r="Y81" t="s">
        <v>1808</v>
      </c>
      <c r="Z81" t="s">
        <v>1809</v>
      </c>
      <c r="AA81" t="s">
        <v>74</v>
      </c>
      <c r="AB81" t="s">
        <v>74</v>
      </c>
      <c r="AC81" t="s">
        <v>1810</v>
      </c>
      <c r="AD81" t="s">
        <v>510</v>
      </c>
      <c r="AE81" t="s">
        <v>74</v>
      </c>
      <c r="AF81" t="s">
        <v>74</v>
      </c>
      <c r="AG81">
        <v>53</v>
      </c>
      <c r="AH81">
        <v>29</v>
      </c>
      <c r="AI81">
        <v>31</v>
      </c>
      <c r="AJ81">
        <v>1</v>
      </c>
      <c r="AK81">
        <v>28</v>
      </c>
      <c r="AL81" t="s">
        <v>746</v>
      </c>
      <c r="AM81" t="s">
        <v>747</v>
      </c>
      <c r="AN81" t="s">
        <v>748</v>
      </c>
      <c r="AO81" t="s">
        <v>1362</v>
      </c>
      <c r="AP81" t="s">
        <v>74</v>
      </c>
      <c r="AQ81" t="s">
        <v>74</v>
      </c>
      <c r="AR81" t="s">
        <v>1363</v>
      </c>
      <c r="AS81" t="s">
        <v>1364</v>
      </c>
      <c r="AT81" t="s">
        <v>1724</v>
      </c>
      <c r="AU81">
        <v>2016</v>
      </c>
      <c r="AV81">
        <v>6</v>
      </c>
      <c r="AW81" t="s">
        <v>74</v>
      </c>
      <c r="AX81" t="s">
        <v>74</v>
      </c>
      <c r="AY81" t="s">
        <v>74</v>
      </c>
      <c r="AZ81" t="s">
        <v>74</v>
      </c>
      <c r="BA81" t="s">
        <v>74</v>
      </c>
      <c r="BB81" t="s">
        <v>74</v>
      </c>
      <c r="BC81" t="s">
        <v>74</v>
      </c>
      <c r="BD81">
        <v>25752</v>
      </c>
      <c r="BE81" t="s">
        <v>1811</v>
      </c>
      <c r="BF81" t="str">
        <f>HYPERLINK("http://dx.doi.org/10.1038/srep25752","http://dx.doi.org/10.1038/srep25752")</f>
        <v>http://dx.doi.org/10.1038/srep25752</v>
      </c>
      <c r="BG81" t="s">
        <v>74</v>
      </c>
      <c r="BH81" t="s">
        <v>74</v>
      </c>
      <c r="BI81">
        <v>10</v>
      </c>
      <c r="BJ81" t="s">
        <v>753</v>
      </c>
      <c r="BK81" t="s">
        <v>102</v>
      </c>
      <c r="BL81" t="s">
        <v>754</v>
      </c>
      <c r="BM81" t="s">
        <v>1812</v>
      </c>
      <c r="BN81">
        <v>27181210</v>
      </c>
      <c r="BO81" t="s">
        <v>1345</v>
      </c>
      <c r="BP81" t="s">
        <v>74</v>
      </c>
      <c r="BQ81" t="s">
        <v>74</v>
      </c>
      <c r="BR81" t="s">
        <v>106</v>
      </c>
      <c r="BS81" t="s">
        <v>1813</v>
      </c>
      <c r="BT81" t="str">
        <f>HYPERLINK("https%3A%2F%2Fwww.webofscience.com%2Fwos%2Fwoscc%2Ffull-record%2FWOS:000375898500001","View Full Record in Web of Science")</f>
        <v>View Full Record in Web of Science</v>
      </c>
    </row>
    <row r="82" spans="1:72" x14ac:dyDescent="0.15">
      <c r="A82" t="s">
        <v>72</v>
      </c>
      <c r="B82" t="s">
        <v>1814</v>
      </c>
      <c r="C82" t="s">
        <v>74</v>
      </c>
      <c r="D82" t="s">
        <v>74</v>
      </c>
      <c r="E82" t="s">
        <v>74</v>
      </c>
      <c r="F82" t="s">
        <v>1815</v>
      </c>
      <c r="G82" t="s">
        <v>74</v>
      </c>
      <c r="H82" t="s">
        <v>74</v>
      </c>
      <c r="I82" t="s">
        <v>1816</v>
      </c>
      <c r="J82" t="s">
        <v>1817</v>
      </c>
      <c r="K82" t="s">
        <v>74</v>
      </c>
      <c r="L82" t="s">
        <v>74</v>
      </c>
      <c r="M82" t="s">
        <v>78</v>
      </c>
      <c r="N82" t="s">
        <v>79</v>
      </c>
      <c r="O82" t="s">
        <v>74</v>
      </c>
      <c r="P82" t="s">
        <v>74</v>
      </c>
      <c r="Q82" t="s">
        <v>74</v>
      </c>
      <c r="R82" t="s">
        <v>74</v>
      </c>
      <c r="S82" t="s">
        <v>74</v>
      </c>
      <c r="T82" t="s">
        <v>1818</v>
      </c>
      <c r="U82" t="s">
        <v>1819</v>
      </c>
      <c r="V82" t="s">
        <v>1820</v>
      </c>
      <c r="W82" t="s">
        <v>1821</v>
      </c>
      <c r="X82" t="s">
        <v>1822</v>
      </c>
      <c r="Y82" t="s">
        <v>1823</v>
      </c>
      <c r="Z82" t="s">
        <v>74</v>
      </c>
      <c r="AA82" t="s">
        <v>1824</v>
      </c>
      <c r="AB82" t="s">
        <v>1825</v>
      </c>
      <c r="AC82" t="s">
        <v>1826</v>
      </c>
      <c r="AD82" t="s">
        <v>1827</v>
      </c>
      <c r="AE82" t="s">
        <v>1828</v>
      </c>
      <c r="AF82" t="s">
        <v>74</v>
      </c>
      <c r="AG82">
        <v>33</v>
      </c>
      <c r="AH82">
        <v>51</v>
      </c>
      <c r="AI82">
        <v>54</v>
      </c>
      <c r="AJ82">
        <v>1</v>
      </c>
      <c r="AK82">
        <v>60</v>
      </c>
      <c r="AL82" t="s">
        <v>1829</v>
      </c>
      <c r="AM82" t="s">
        <v>679</v>
      </c>
      <c r="AN82" t="s">
        <v>1830</v>
      </c>
      <c r="AO82" t="s">
        <v>1831</v>
      </c>
      <c r="AP82" t="s">
        <v>1832</v>
      </c>
      <c r="AQ82" t="s">
        <v>74</v>
      </c>
      <c r="AR82" t="s">
        <v>1833</v>
      </c>
      <c r="AS82" t="s">
        <v>1834</v>
      </c>
      <c r="AT82" t="s">
        <v>1835</v>
      </c>
      <c r="AU82">
        <v>2016</v>
      </c>
      <c r="AV82">
        <v>106</v>
      </c>
      <c r="AW82" t="s">
        <v>1836</v>
      </c>
      <c r="AX82" t="s">
        <v>74</v>
      </c>
      <c r="AY82" t="s">
        <v>74</v>
      </c>
      <c r="AZ82" t="s">
        <v>74</v>
      </c>
      <c r="BA82" t="s">
        <v>74</v>
      </c>
      <c r="BB82">
        <v>366</v>
      </c>
      <c r="BC82">
        <v>371</v>
      </c>
      <c r="BD82" t="s">
        <v>74</v>
      </c>
      <c r="BE82" t="s">
        <v>1837</v>
      </c>
      <c r="BF82" t="str">
        <f>HYPERLINK("http://dx.doi.org/10.1016/j.marpolbul.2016.02.056","http://dx.doi.org/10.1016/j.marpolbul.2016.02.056")</f>
        <v>http://dx.doi.org/10.1016/j.marpolbul.2016.02.056</v>
      </c>
      <c r="BG82" t="s">
        <v>74</v>
      </c>
      <c r="BH82" t="s">
        <v>74</v>
      </c>
      <c r="BI82">
        <v>6</v>
      </c>
      <c r="BJ82" t="s">
        <v>1838</v>
      </c>
      <c r="BK82" t="s">
        <v>102</v>
      </c>
      <c r="BL82" t="s">
        <v>1839</v>
      </c>
      <c r="BM82" t="s">
        <v>1840</v>
      </c>
      <c r="BN82">
        <v>26936119</v>
      </c>
      <c r="BO82" t="s">
        <v>74</v>
      </c>
      <c r="BP82" t="s">
        <v>74</v>
      </c>
      <c r="BQ82" t="s">
        <v>74</v>
      </c>
      <c r="BR82" t="s">
        <v>106</v>
      </c>
      <c r="BS82" t="s">
        <v>1841</v>
      </c>
      <c r="BT82" t="str">
        <f>HYPERLINK("https%3A%2F%2Fwww.webofscience.com%2Fwos%2Fwoscc%2Ffull-record%2FWOS:000376545900055","View Full Record in Web of Science")</f>
        <v>View Full Record in Web of Science</v>
      </c>
    </row>
    <row r="83" spans="1:72" x14ac:dyDescent="0.15">
      <c r="A83" t="s">
        <v>72</v>
      </c>
      <c r="B83" t="s">
        <v>1842</v>
      </c>
      <c r="C83" t="s">
        <v>74</v>
      </c>
      <c r="D83" t="s">
        <v>74</v>
      </c>
      <c r="E83" t="s">
        <v>74</v>
      </c>
      <c r="F83" t="s">
        <v>1843</v>
      </c>
      <c r="G83" t="s">
        <v>74</v>
      </c>
      <c r="H83" t="s">
        <v>74</v>
      </c>
      <c r="I83" t="s">
        <v>1844</v>
      </c>
      <c r="J83" t="s">
        <v>1845</v>
      </c>
      <c r="K83" t="s">
        <v>74</v>
      </c>
      <c r="L83" t="s">
        <v>74</v>
      </c>
      <c r="M83" t="s">
        <v>78</v>
      </c>
      <c r="N83" t="s">
        <v>79</v>
      </c>
      <c r="O83" t="s">
        <v>74</v>
      </c>
      <c r="P83" t="s">
        <v>74</v>
      </c>
      <c r="Q83" t="s">
        <v>74</v>
      </c>
      <c r="R83" t="s">
        <v>74</v>
      </c>
      <c r="S83" t="s">
        <v>74</v>
      </c>
      <c r="T83" t="s">
        <v>1846</v>
      </c>
      <c r="U83" t="s">
        <v>1847</v>
      </c>
      <c r="V83" t="s">
        <v>1848</v>
      </c>
      <c r="W83" t="s">
        <v>1849</v>
      </c>
      <c r="X83" t="s">
        <v>1850</v>
      </c>
      <c r="Y83" t="s">
        <v>1851</v>
      </c>
      <c r="Z83" t="s">
        <v>1852</v>
      </c>
      <c r="AA83" t="s">
        <v>1853</v>
      </c>
      <c r="AB83" t="s">
        <v>1854</v>
      </c>
      <c r="AC83" t="s">
        <v>1855</v>
      </c>
      <c r="AD83" t="s">
        <v>1856</v>
      </c>
      <c r="AE83" t="s">
        <v>1857</v>
      </c>
      <c r="AF83" t="s">
        <v>74</v>
      </c>
      <c r="AG83">
        <v>58</v>
      </c>
      <c r="AH83">
        <v>10</v>
      </c>
      <c r="AI83">
        <v>10</v>
      </c>
      <c r="AJ83">
        <v>1</v>
      </c>
      <c r="AK83">
        <v>22</v>
      </c>
      <c r="AL83" t="s">
        <v>1829</v>
      </c>
      <c r="AM83" t="s">
        <v>679</v>
      </c>
      <c r="AN83" t="s">
        <v>1830</v>
      </c>
      <c r="AO83" t="s">
        <v>1858</v>
      </c>
      <c r="AP83" t="s">
        <v>1859</v>
      </c>
      <c r="AQ83" t="s">
        <v>74</v>
      </c>
      <c r="AR83" t="s">
        <v>1860</v>
      </c>
      <c r="AS83" t="s">
        <v>1861</v>
      </c>
      <c r="AT83" t="s">
        <v>1835</v>
      </c>
      <c r="AU83">
        <v>2016</v>
      </c>
      <c r="AV83">
        <v>119</v>
      </c>
      <c r="AW83" t="s">
        <v>74</v>
      </c>
      <c r="AX83" t="s">
        <v>74</v>
      </c>
      <c r="AY83" t="s">
        <v>74</v>
      </c>
      <c r="AZ83" t="s">
        <v>74</v>
      </c>
      <c r="BA83" t="s">
        <v>74</v>
      </c>
      <c r="BB83">
        <v>56</v>
      </c>
      <c r="BC83">
        <v>67</v>
      </c>
      <c r="BD83" t="s">
        <v>74</v>
      </c>
      <c r="BE83" t="s">
        <v>1862</v>
      </c>
      <c r="BF83" t="str">
        <f>HYPERLINK("http://dx.doi.org/10.1016/j.csr.2016.03.008","http://dx.doi.org/10.1016/j.csr.2016.03.008")</f>
        <v>http://dx.doi.org/10.1016/j.csr.2016.03.008</v>
      </c>
      <c r="BG83" t="s">
        <v>74</v>
      </c>
      <c r="BH83" t="s">
        <v>74</v>
      </c>
      <c r="BI83">
        <v>12</v>
      </c>
      <c r="BJ83" t="s">
        <v>361</v>
      </c>
      <c r="BK83" t="s">
        <v>102</v>
      </c>
      <c r="BL83" t="s">
        <v>361</v>
      </c>
      <c r="BM83" t="s">
        <v>1863</v>
      </c>
      <c r="BN83" t="s">
        <v>74</v>
      </c>
      <c r="BO83" t="s">
        <v>222</v>
      </c>
      <c r="BP83" t="s">
        <v>74</v>
      </c>
      <c r="BQ83" t="s">
        <v>74</v>
      </c>
      <c r="BR83" t="s">
        <v>106</v>
      </c>
      <c r="BS83" t="s">
        <v>1864</v>
      </c>
      <c r="BT83" t="str">
        <f>HYPERLINK("https%3A%2F%2Fwww.webofscience.com%2Fwos%2Fwoscc%2Ffull-record%2FWOS:000375166300005","View Full Record in Web of Science")</f>
        <v>View Full Record in Web of Science</v>
      </c>
    </row>
    <row r="84" spans="1:72" x14ac:dyDescent="0.15">
      <c r="A84" t="s">
        <v>72</v>
      </c>
      <c r="B84" t="s">
        <v>1865</v>
      </c>
      <c r="C84" t="s">
        <v>74</v>
      </c>
      <c r="D84" t="s">
        <v>74</v>
      </c>
      <c r="E84" t="s">
        <v>74</v>
      </c>
      <c r="F84" t="s">
        <v>1866</v>
      </c>
      <c r="G84" t="s">
        <v>74</v>
      </c>
      <c r="H84" t="s">
        <v>74</v>
      </c>
      <c r="I84" t="s">
        <v>1867</v>
      </c>
      <c r="J84" t="s">
        <v>1868</v>
      </c>
      <c r="K84" t="s">
        <v>74</v>
      </c>
      <c r="L84" t="s">
        <v>74</v>
      </c>
      <c r="M84" t="s">
        <v>78</v>
      </c>
      <c r="N84" t="s">
        <v>1869</v>
      </c>
      <c r="O84" t="s">
        <v>74</v>
      </c>
      <c r="P84" t="s">
        <v>74</v>
      </c>
      <c r="Q84" t="s">
        <v>74</v>
      </c>
      <c r="R84" t="s">
        <v>74</v>
      </c>
      <c r="S84" t="s">
        <v>74</v>
      </c>
      <c r="T84" t="s">
        <v>74</v>
      </c>
      <c r="U84" t="s">
        <v>74</v>
      </c>
      <c r="V84" t="s">
        <v>74</v>
      </c>
      <c r="W84" t="s">
        <v>1870</v>
      </c>
      <c r="X84" t="s">
        <v>1871</v>
      </c>
      <c r="Y84" t="s">
        <v>1872</v>
      </c>
      <c r="Z84" t="s">
        <v>1873</v>
      </c>
      <c r="AA84" t="s">
        <v>1874</v>
      </c>
      <c r="AB84" t="s">
        <v>1875</v>
      </c>
      <c r="AC84" t="s">
        <v>74</v>
      </c>
      <c r="AD84" t="s">
        <v>74</v>
      </c>
      <c r="AE84" t="s">
        <v>74</v>
      </c>
      <c r="AF84" t="s">
        <v>74</v>
      </c>
      <c r="AG84">
        <v>1</v>
      </c>
      <c r="AH84">
        <v>0</v>
      </c>
      <c r="AI84">
        <v>0</v>
      </c>
      <c r="AJ84">
        <v>0</v>
      </c>
      <c r="AK84">
        <v>8</v>
      </c>
      <c r="AL84" t="s">
        <v>582</v>
      </c>
      <c r="AM84" t="s">
        <v>583</v>
      </c>
      <c r="AN84" t="s">
        <v>584</v>
      </c>
      <c r="AO84" t="s">
        <v>1876</v>
      </c>
      <c r="AP84" t="s">
        <v>1877</v>
      </c>
      <c r="AQ84" t="s">
        <v>74</v>
      </c>
      <c r="AR84" t="s">
        <v>1878</v>
      </c>
      <c r="AS84" t="s">
        <v>1879</v>
      </c>
      <c r="AT84" t="s">
        <v>1835</v>
      </c>
      <c r="AU84">
        <v>2016</v>
      </c>
      <c r="AV84">
        <v>450</v>
      </c>
      <c r="AW84" t="s">
        <v>74</v>
      </c>
      <c r="AX84" t="s">
        <v>74</v>
      </c>
      <c r="AY84" t="s">
        <v>74</v>
      </c>
      <c r="AZ84" t="s">
        <v>74</v>
      </c>
      <c r="BA84" t="s">
        <v>74</v>
      </c>
      <c r="BB84">
        <v>129</v>
      </c>
      <c r="BC84">
        <v>129</v>
      </c>
      <c r="BD84" t="s">
        <v>74</v>
      </c>
      <c r="BE84" t="s">
        <v>1880</v>
      </c>
      <c r="BF84" t="str">
        <f>HYPERLINK("http://dx.doi.org/10.1016/j.palaeo.2016.03.017","http://dx.doi.org/10.1016/j.palaeo.2016.03.017")</f>
        <v>http://dx.doi.org/10.1016/j.palaeo.2016.03.017</v>
      </c>
      <c r="BG84" t="s">
        <v>74</v>
      </c>
      <c r="BH84" t="s">
        <v>74</v>
      </c>
      <c r="BI84">
        <v>1</v>
      </c>
      <c r="BJ84" t="s">
        <v>1881</v>
      </c>
      <c r="BK84" t="s">
        <v>102</v>
      </c>
      <c r="BL84" t="s">
        <v>1882</v>
      </c>
      <c r="BM84" t="s">
        <v>1883</v>
      </c>
      <c r="BN84" t="s">
        <v>74</v>
      </c>
      <c r="BO84" t="s">
        <v>74</v>
      </c>
      <c r="BP84" t="s">
        <v>74</v>
      </c>
      <c r="BQ84" t="s">
        <v>74</v>
      </c>
      <c r="BR84" t="s">
        <v>106</v>
      </c>
      <c r="BS84" t="s">
        <v>1884</v>
      </c>
      <c r="BT84" t="str">
        <f>HYPERLINK("https%3A%2F%2Fwww.webofscience.com%2Fwos%2Fwoscc%2Ffull-record%2FWOS:000374918700010","View Full Record in Web of Science")</f>
        <v>View Full Record in Web of Science</v>
      </c>
    </row>
    <row r="85" spans="1:72" x14ac:dyDescent="0.15">
      <c r="A85" t="s">
        <v>72</v>
      </c>
      <c r="B85" t="s">
        <v>1885</v>
      </c>
      <c r="C85" t="s">
        <v>74</v>
      </c>
      <c r="D85" t="s">
        <v>74</v>
      </c>
      <c r="E85" t="s">
        <v>74</v>
      </c>
      <c r="F85" t="s">
        <v>1886</v>
      </c>
      <c r="G85" t="s">
        <v>74</v>
      </c>
      <c r="H85" t="s">
        <v>74</v>
      </c>
      <c r="I85" t="s">
        <v>1887</v>
      </c>
      <c r="J85" t="s">
        <v>1888</v>
      </c>
      <c r="K85" t="s">
        <v>74</v>
      </c>
      <c r="L85" t="s">
        <v>74</v>
      </c>
      <c r="M85" t="s">
        <v>78</v>
      </c>
      <c r="N85" t="s">
        <v>79</v>
      </c>
      <c r="O85" t="s">
        <v>74</v>
      </c>
      <c r="P85" t="s">
        <v>74</v>
      </c>
      <c r="Q85" t="s">
        <v>74</v>
      </c>
      <c r="R85" t="s">
        <v>74</v>
      </c>
      <c r="S85" t="s">
        <v>74</v>
      </c>
      <c r="T85" t="s">
        <v>1889</v>
      </c>
      <c r="U85" t="s">
        <v>1890</v>
      </c>
      <c r="V85" t="s">
        <v>1891</v>
      </c>
      <c r="W85" t="s">
        <v>1892</v>
      </c>
      <c r="X85" t="s">
        <v>1893</v>
      </c>
      <c r="Y85" t="s">
        <v>1894</v>
      </c>
      <c r="Z85" t="s">
        <v>1895</v>
      </c>
      <c r="AA85" t="s">
        <v>74</v>
      </c>
      <c r="AB85" t="s">
        <v>1896</v>
      </c>
      <c r="AC85" t="s">
        <v>1897</v>
      </c>
      <c r="AD85" t="s">
        <v>1898</v>
      </c>
      <c r="AE85" t="s">
        <v>1899</v>
      </c>
      <c r="AF85" t="s">
        <v>74</v>
      </c>
      <c r="AG85">
        <v>71</v>
      </c>
      <c r="AH85">
        <v>13</v>
      </c>
      <c r="AI85">
        <v>14</v>
      </c>
      <c r="AJ85">
        <v>0</v>
      </c>
      <c r="AK85">
        <v>7</v>
      </c>
      <c r="AL85" t="s">
        <v>1829</v>
      </c>
      <c r="AM85" t="s">
        <v>679</v>
      </c>
      <c r="AN85" t="s">
        <v>1830</v>
      </c>
      <c r="AO85" t="s">
        <v>1900</v>
      </c>
      <c r="AP85" t="s">
        <v>74</v>
      </c>
      <c r="AQ85" t="s">
        <v>74</v>
      </c>
      <c r="AR85" t="s">
        <v>1901</v>
      </c>
      <c r="AS85" t="s">
        <v>1902</v>
      </c>
      <c r="AT85" t="s">
        <v>1835</v>
      </c>
      <c r="AU85">
        <v>2016</v>
      </c>
      <c r="AV85">
        <v>140</v>
      </c>
      <c r="AW85" t="s">
        <v>74</v>
      </c>
      <c r="AX85" t="s">
        <v>74</v>
      </c>
      <c r="AY85" t="s">
        <v>74</v>
      </c>
      <c r="AZ85" t="s">
        <v>74</v>
      </c>
      <c r="BA85" t="s">
        <v>74</v>
      </c>
      <c r="BB85">
        <v>75</v>
      </c>
      <c r="BC85">
        <v>100</v>
      </c>
      <c r="BD85" t="s">
        <v>74</v>
      </c>
      <c r="BE85" t="s">
        <v>1903</v>
      </c>
      <c r="BF85" t="str">
        <f>HYPERLINK("http://dx.doi.org/10.1016/j.quascirev.2016.03.013","http://dx.doi.org/10.1016/j.quascirev.2016.03.013")</f>
        <v>http://dx.doi.org/10.1016/j.quascirev.2016.03.013</v>
      </c>
      <c r="BG85" t="s">
        <v>74</v>
      </c>
      <c r="BH85" t="s">
        <v>74</v>
      </c>
      <c r="BI85">
        <v>26</v>
      </c>
      <c r="BJ85" t="s">
        <v>1904</v>
      </c>
      <c r="BK85" t="s">
        <v>102</v>
      </c>
      <c r="BL85" t="s">
        <v>1905</v>
      </c>
      <c r="BM85" t="s">
        <v>1906</v>
      </c>
      <c r="BN85" t="s">
        <v>74</v>
      </c>
      <c r="BO85" t="s">
        <v>222</v>
      </c>
      <c r="BP85" t="s">
        <v>74</v>
      </c>
      <c r="BQ85" t="s">
        <v>74</v>
      </c>
      <c r="BR85" t="s">
        <v>106</v>
      </c>
      <c r="BS85" t="s">
        <v>1907</v>
      </c>
      <c r="BT85" t="str">
        <f>HYPERLINK("https%3A%2F%2Fwww.webofscience.com%2Fwos%2Fwoscc%2Ffull-record%2FWOS:000375509100006","View Full Record in Web of Science")</f>
        <v>View Full Record in Web of Science</v>
      </c>
    </row>
    <row r="86" spans="1:72" x14ac:dyDescent="0.15">
      <c r="A86" t="s">
        <v>72</v>
      </c>
      <c r="B86" t="s">
        <v>1908</v>
      </c>
      <c r="C86" t="s">
        <v>74</v>
      </c>
      <c r="D86" t="s">
        <v>74</v>
      </c>
      <c r="E86" t="s">
        <v>74</v>
      </c>
      <c r="F86" t="s">
        <v>1909</v>
      </c>
      <c r="G86" t="s">
        <v>74</v>
      </c>
      <c r="H86" t="s">
        <v>74</v>
      </c>
      <c r="I86" t="s">
        <v>1910</v>
      </c>
      <c r="J86" t="s">
        <v>1911</v>
      </c>
      <c r="K86" t="s">
        <v>74</v>
      </c>
      <c r="L86" t="s">
        <v>74</v>
      </c>
      <c r="M86" t="s">
        <v>78</v>
      </c>
      <c r="N86" t="s">
        <v>79</v>
      </c>
      <c r="O86" t="s">
        <v>74</v>
      </c>
      <c r="P86" t="s">
        <v>74</v>
      </c>
      <c r="Q86" t="s">
        <v>74</v>
      </c>
      <c r="R86" t="s">
        <v>74</v>
      </c>
      <c r="S86" t="s">
        <v>74</v>
      </c>
      <c r="T86" t="s">
        <v>1912</v>
      </c>
      <c r="U86" t="s">
        <v>1913</v>
      </c>
      <c r="V86" t="s">
        <v>1914</v>
      </c>
      <c r="W86" t="s">
        <v>1915</v>
      </c>
      <c r="X86" t="s">
        <v>1916</v>
      </c>
      <c r="Y86" t="s">
        <v>1917</v>
      </c>
      <c r="Z86" t="s">
        <v>1918</v>
      </c>
      <c r="AA86" t="s">
        <v>74</v>
      </c>
      <c r="AB86" t="s">
        <v>1919</v>
      </c>
      <c r="AC86" t="s">
        <v>1920</v>
      </c>
      <c r="AD86" t="s">
        <v>1921</v>
      </c>
      <c r="AE86" t="s">
        <v>1922</v>
      </c>
      <c r="AF86" t="s">
        <v>74</v>
      </c>
      <c r="AG86">
        <v>36</v>
      </c>
      <c r="AH86">
        <v>11</v>
      </c>
      <c r="AI86">
        <v>12</v>
      </c>
      <c r="AJ86">
        <v>3</v>
      </c>
      <c r="AK86">
        <v>16</v>
      </c>
      <c r="AL86" t="s">
        <v>582</v>
      </c>
      <c r="AM86" t="s">
        <v>583</v>
      </c>
      <c r="AN86" t="s">
        <v>584</v>
      </c>
      <c r="AO86" t="s">
        <v>1923</v>
      </c>
      <c r="AP86" t="s">
        <v>1924</v>
      </c>
      <c r="AQ86" t="s">
        <v>74</v>
      </c>
      <c r="AR86" t="s">
        <v>1911</v>
      </c>
      <c r="AS86" t="s">
        <v>1925</v>
      </c>
      <c r="AT86" t="s">
        <v>1835</v>
      </c>
      <c r="AU86">
        <v>2016</v>
      </c>
      <c r="AV86">
        <v>261</v>
      </c>
      <c r="AW86" t="s">
        <v>74</v>
      </c>
      <c r="AX86" t="s">
        <v>74</v>
      </c>
      <c r="AY86" t="s">
        <v>74</v>
      </c>
      <c r="AZ86" t="s">
        <v>74</v>
      </c>
      <c r="BA86" t="s">
        <v>74</v>
      </c>
      <c r="BB86">
        <v>193</v>
      </c>
      <c r="BC86">
        <v>199</v>
      </c>
      <c r="BD86" t="s">
        <v>74</v>
      </c>
      <c r="BE86" t="s">
        <v>1926</v>
      </c>
      <c r="BF86" t="str">
        <f>HYPERLINK("http://dx.doi.org/10.1016/j.geomorph.2016.03.003","http://dx.doi.org/10.1016/j.geomorph.2016.03.003")</f>
        <v>http://dx.doi.org/10.1016/j.geomorph.2016.03.003</v>
      </c>
      <c r="BG86" t="s">
        <v>74</v>
      </c>
      <c r="BH86" t="s">
        <v>74</v>
      </c>
      <c r="BI86">
        <v>7</v>
      </c>
      <c r="BJ86" t="s">
        <v>1904</v>
      </c>
      <c r="BK86" t="s">
        <v>102</v>
      </c>
      <c r="BL86" t="s">
        <v>1905</v>
      </c>
      <c r="BM86" t="s">
        <v>1927</v>
      </c>
      <c r="BN86" t="s">
        <v>74</v>
      </c>
      <c r="BO86" t="s">
        <v>1412</v>
      </c>
      <c r="BP86" t="s">
        <v>74</v>
      </c>
      <c r="BQ86" t="s">
        <v>74</v>
      </c>
      <c r="BR86" t="s">
        <v>106</v>
      </c>
      <c r="BS86" t="s">
        <v>1928</v>
      </c>
      <c r="BT86" t="str">
        <f>HYPERLINK("https%3A%2F%2Fwww.webofscience.com%2Fwos%2Fwoscc%2Ffull-record%2FWOS:000374624300014","View Full Record in Web of Science")</f>
        <v>View Full Record in Web of Science</v>
      </c>
    </row>
    <row r="87" spans="1:72" x14ac:dyDescent="0.15">
      <c r="A87" t="s">
        <v>72</v>
      </c>
      <c r="B87" t="s">
        <v>1929</v>
      </c>
      <c r="C87" t="s">
        <v>74</v>
      </c>
      <c r="D87" t="s">
        <v>74</v>
      </c>
      <c r="E87" t="s">
        <v>74</v>
      </c>
      <c r="F87" t="s">
        <v>1930</v>
      </c>
      <c r="G87" t="s">
        <v>74</v>
      </c>
      <c r="H87" t="s">
        <v>74</v>
      </c>
      <c r="I87" t="s">
        <v>1931</v>
      </c>
      <c r="J87" t="s">
        <v>1845</v>
      </c>
      <c r="K87" t="s">
        <v>74</v>
      </c>
      <c r="L87" t="s">
        <v>74</v>
      </c>
      <c r="M87" t="s">
        <v>78</v>
      </c>
      <c r="N87" t="s">
        <v>79</v>
      </c>
      <c r="O87" t="s">
        <v>74</v>
      </c>
      <c r="P87" t="s">
        <v>74</v>
      </c>
      <c r="Q87" t="s">
        <v>74</v>
      </c>
      <c r="R87" t="s">
        <v>74</v>
      </c>
      <c r="S87" t="s">
        <v>74</v>
      </c>
      <c r="T87" t="s">
        <v>1932</v>
      </c>
      <c r="U87" t="s">
        <v>1933</v>
      </c>
      <c r="V87" t="s">
        <v>1934</v>
      </c>
      <c r="W87" t="s">
        <v>1935</v>
      </c>
      <c r="X87" t="s">
        <v>1936</v>
      </c>
      <c r="Y87" t="s">
        <v>1937</v>
      </c>
      <c r="Z87" t="s">
        <v>1938</v>
      </c>
      <c r="AA87" t="s">
        <v>1939</v>
      </c>
      <c r="AB87" t="s">
        <v>1940</v>
      </c>
      <c r="AC87" t="s">
        <v>1941</v>
      </c>
      <c r="AD87" t="s">
        <v>1942</v>
      </c>
      <c r="AE87" t="s">
        <v>1943</v>
      </c>
      <c r="AF87" t="s">
        <v>74</v>
      </c>
      <c r="AG87">
        <v>50</v>
      </c>
      <c r="AH87">
        <v>17</v>
      </c>
      <c r="AI87">
        <v>18</v>
      </c>
      <c r="AJ87">
        <v>0</v>
      </c>
      <c r="AK87">
        <v>46</v>
      </c>
      <c r="AL87" t="s">
        <v>1829</v>
      </c>
      <c r="AM87" t="s">
        <v>679</v>
      </c>
      <c r="AN87" t="s">
        <v>1830</v>
      </c>
      <c r="AO87" t="s">
        <v>1858</v>
      </c>
      <c r="AP87" t="s">
        <v>1859</v>
      </c>
      <c r="AQ87" t="s">
        <v>74</v>
      </c>
      <c r="AR87" t="s">
        <v>1860</v>
      </c>
      <c r="AS87" t="s">
        <v>1861</v>
      </c>
      <c r="AT87" t="s">
        <v>1835</v>
      </c>
      <c r="AU87">
        <v>2016</v>
      </c>
      <c r="AV87">
        <v>119</v>
      </c>
      <c r="AW87" t="s">
        <v>74</v>
      </c>
      <c r="AX87" t="s">
        <v>74</v>
      </c>
      <c r="AY87" t="s">
        <v>74</v>
      </c>
      <c r="AZ87" t="s">
        <v>74</v>
      </c>
      <c r="BA87" t="s">
        <v>74</v>
      </c>
      <c r="BB87">
        <v>1</v>
      </c>
      <c r="BC87">
        <v>13</v>
      </c>
      <c r="BD87" t="s">
        <v>74</v>
      </c>
      <c r="BE87" t="s">
        <v>1944</v>
      </c>
      <c r="BF87" t="str">
        <f>HYPERLINK("http://dx.doi.org/10.1016/j.csr.2016.03.004","http://dx.doi.org/10.1016/j.csr.2016.03.004")</f>
        <v>http://dx.doi.org/10.1016/j.csr.2016.03.004</v>
      </c>
      <c r="BG87" t="s">
        <v>74</v>
      </c>
      <c r="BH87" t="s">
        <v>74</v>
      </c>
      <c r="BI87">
        <v>13</v>
      </c>
      <c r="BJ87" t="s">
        <v>361</v>
      </c>
      <c r="BK87" t="s">
        <v>102</v>
      </c>
      <c r="BL87" t="s">
        <v>361</v>
      </c>
      <c r="BM87" t="s">
        <v>1863</v>
      </c>
      <c r="BN87" t="s">
        <v>74</v>
      </c>
      <c r="BO87" t="s">
        <v>1191</v>
      </c>
      <c r="BP87" t="s">
        <v>74</v>
      </c>
      <c r="BQ87" t="s">
        <v>74</v>
      </c>
      <c r="BR87" t="s">
        <v>106</v>
      </c>
      <c r="BS87" t="s">
        <v>1945</v>
      </c>
      <c r="BT87" t="str">
        <f>HYPERLINK("https%3A%2F%2Fwww.webofscience.com%2Fwos%2Fwoscc%2Ffull-record%2FWOS:000375166300001","View Full Record in Web of Science")</f>
        <v>View Full Record in Web of Science</v>
      </c>
    </row>
    <row r="88" spans="1:72" x14ac:dyDescent="0.15">
      <c r="A88" t="s">
        <v>72</v>
      </c>
      <c r="B88" t="s">
        <v>1946</v>
      </c>
      <c r="C88" t="s">
        <v>74</v>
      </c>
      <c r="D88" t="s">
        <v>74</v>
      </c>
      <c r="E88" t="s">
        <v>74</v>
      </c>
      <c r="F88" t="s">
        <v>1947</v>
      </c>
      <c r="G88" t="s">
        <v>74</v>
      </c>
      <c r="H88" t="s">
        <v>74</v>
      </c>
      <c r="I88" t="s">
        <v>1948</v>
      </c>
      <c r="J88" t="s">
        <v>1911</v>
      </c>
      <c r="K88" t="s">
        <v>74</v>
      </c>
      <c r="L88" t="s">
        <v>74</v>
      </c>
      <c r="M88" t="s">
        <v>78</v>
      </c>
      <c r="N88" t="s">
        <v>79</v>
      </c>
      <c r="O88" t="s">
        <v>74</v>
      </c>
      <c r="P88" t="s">
        <v>74</v>
      </c>
      <c r="Q88" t="s">
        <v>74</v>
      </c>
      <c r="R88" t="s">
        <v>74</v>
      </c>
      <c r="S88" t="s">
        <v>74</v>
      </c>
      <c r="T88" t="s">
        <v>1949</v>
      </c>
      <c r="U88" t="s">
        <v>1950</v>
      </c>
      <c r="V88" t="s">
        <v>1951</v>
      </c>
      <c r="W88" t="s">
        <v>1952</v>
      </c>
      <c r="X88" t="s">
        <v>1953</v>
      </c>
      <c r="Y88" t="s">
        <v>1954</v>
      </c>
      <c r="Z88" t="s">
        <v>1955</v>
      </c>
      <c r="AA88" t="s">
        <v>1956</v>
      </c>
      <c r="AB88" t="s">
        <v>1957</v>
      </c>
      <c r="AC88" t="s">
        <v>1958</v>
      </c>
      <c r="AD88" t="s">
        <v>1959</v>
      </c>
      <c r="AE88" t="s">
        <v>1960</v>
      </c>
      <c r="AF88" t="s">
        <v>74</v>
      </c>
      <c r="AG88">
        <v>62</v>
      </c>
      <c r="AH88">
        <v>34</v>
      </c>
      <c r="AI88">
        <v>35</v>
      </c>
      <c r="AJ88">
        <v>1</v>
      </c>
      <c r="AK88">
        <v>23</v>
      </c>
      <c r="AL88" t="s">
        <v>626</v>
      </c>
      <c r="AM88" t="s">
        <v>583</v>
      </c>
      <c r="AN88" t="s">
        <v>627</v>
      </c>
      <c r="AO88" t="s">
        <v>1923</v>
      </c>
      <c r="AP88" t="s">
        <v>1924</v>
      </c>
      <c r="AQ88" t="s">
        <v>74</v>
      </c>
      <c r="AR88" t="s">
        <v>1911</v>
      </c>
      <c r="AS88" t="s">
        <v>1925</v>
      </c>
      <c r="AT88" t="s">
        <v>1835</v>
      </c>
      <c r="AU88">
        <v>2016</v>
      </c>
      <c r="AV88">
        <v>261</v>
      </c>
      <c r="AW88" t="s">
        <v>74</v>
      </c>
      <c r="AX88" t="s">
        <v>74</v>
      </c>
      <c r="AY88" t="s">
        <v>74</v>
      </c>
      <c r="AZ88" t="s">
        <v>74</v>
      </c>
      <c r="BA88" t="s">
        <v>74</v>
      </c>
      <c r="BB88">
        <v>89</v>
      </c>
      <c r="BC88">
        <v>102</v>
      </c>
      <c r="BD88" t="s">
        <v>74</v>
      </c>
      <c r="BE88" t="s">
        <v>1961</v>
      </c>
      <c r="BF88" t="str">
        <f>HYPERLINK("http://dx.doi.org/10.1016/j.geomorph.2016.02.029","http://dx.doi.org/10.1016/j.geomorph.2016.02.029")</f>
        <v>http://dx.doi.org/10.1016/j.geomorph.2016.02.029</v>
      </c>
      <c r="BG88" t="s">
        <v>74</v>
      </c>
      <c r="BH88" t="s">
        <v>74</v>
      </c>
      <c r="BI88">
        <v>14</v>
      </c>
      <c r="BJ88" t="s">
        <v>1904</v>
      </c>
      <c r="BK88" t="s">
        <v>102</v>
      </c>
      <c r="BL88" t="s">
        <v>1905</v>
      </c>
      <c r="BM88" t="s">
        <v>1927</v>
      </c>
      <c r="BN88" t="s">
        <v>74</v>
      </c>
      <c r="BO88" t="s">
        <v>74</v>
      </c>
      <c r="BP88" t="s">
        <v>74</v>
      </c>
      <c r="BQ88" t="s">
        <v>74</v>
      </c>
      <c r="BR88" t="s">
        <v>106</v>
      </c>
      <c r="BS88" t="s">
        <v>1962</v>
      </c>
      <c r="BT88" t="str">
        <f>HYPERLINK("https%3A%2F%2Fwww.webofscience.com%2Fwos%2Fwoscc%2Ffull-record%2FWOS:000374624300007","View Full Record in Web of Science")</f>
        <v>View Full Record in Web of Science</v>
      </c>
    </row>
    <row r="89" spans="1:72" x14ac:dyDescent="0.15">
      <c r="A89" t="s">
        <v>72</v>
      </c>
      <c r="B89" t="s">
        <v>1963</v>
      </c>
      <c r="C89" t="s">
        <v>74</v>
      </c>
      <c r="D89" t="s">
        <v>74</v>
      </c>
      <c r="E89" t="s">
        <v>74</v>
      </c>
      <c r="F89" t="s">
        <v>1964</v>
      </c>
      <c r="G89" t="s">
        <v>74</v>
      </c>
      <c r="H89" t="s">
        <v>74</v>
      </c>
      <c r="I89" t="s">
        <v>1965</v>
      </c>
      <c r="J89" t="s">
        <v>1817</v>
      </c>
      <c r="K89" t="s">
        <v>74</v>
      </c>
      <c r="L89" t="s">
        <v>74</v>
      </c>
      <c r="M89" t="s">
        <v>78</v>
      </c>
      <c r="N89" t="s">
        <v>79</v>
      </c>
      <c r="O89" t="s">
        <v>74</v>
      </c>
      <c r="P89" t="s">
        <v>74</v>
      </c>
      <c r="Q89" t="s">
        <v>74</v>
      </c>
      <c r="R89" t="s">
        <v>74</v>
      </c>
      <c r="S89" t="s">
        <v>74</v>
      </c>
      <c r="T89" t="s">
        <v>1966</v>
      </c>
      <c r="U89" t="s">
        <v>1967</v>
      </c>
      <c r="V89" t="s">
        <v>1968</v>
      </c>
      <c r="W89" t="s">
        <v>1969</v>
      </c>
      <c r="X89" t="s">
        <v>1970</v>
      </c>
      <c r="Y89" t="s">
        <v>1971</v>
      </c>
      <c r="Z89" t="s">
        <v>1972</v>
      </c>
      <c r="AA89" t="s">
        <v>1973</v>
      </c>
      <c r="AB89" t="s">
        <v>1974</v>
      </c>
      <c r="AC89" t="s">
        <v>1975</v>
      </c>
      <c r="AD89" t="s">
        <v>1976</v>
      </c>
      <c r="AE89" t="s">
        <v>1977</v>
      </c>
      <c r="AF89" t="s">
        <v>74</v>
      </c>
      <c r="AG89">
        <v>55</v>
      </c>
      <c r="AH89">
        <v>27</v>
      </c>
      <c r="AI89">
        <v>30</v>
      </c>
      <c r="AJ89">
        <v>5</v>
      </c>
      <c r="AK89">
        <v>19</v>
      </c>
      <c r="AL89" t="s">
        <v>1829</v>
      </c>
      <c r="AM89" t="s">
        <v>679</v>
      </c>
      <c r="AN89" t="s">
        <v>1830</v>
      </c>
      <c r="AO89" t="s">
        <v>1831</v>
      </c>
      <c r="AP89" t="s">
        <v>1832</v>
      </c>
      <c r="AQ89" t="s">
        <v>74</v>
      </c>
      <c r="AR89" t="s">
        <v>1833</v>
      </c>
      <c r="AS89" t="s">
        <v>1834</v>
      </c>
      <c r="AT89" t="s">
        <v>1835</v>
      </c>
      <c r="AU89">
        <v>2016</v>
      </c>
      <c r="AV89">
        <v>106</v>
      </c>
      <c r="AW89" t="s">
        <v>1836</v>
      </c>
      <c r="AX89" t="s">
        <v>74</v>
      </c>
      <c r="AY89" t="s">
        <v>74</v>
      </c>
      <c r="AZ89" t="s">
        <v>74</v>
      </c>
      <c r="BA89" t="s">
        <v>74</v>
      </c>
      <c r="BB89">
        <v>377</v>
      </c>
      <c r="BC89">
        <v>382</v>
      </c>
      <c r="BD89" t="s">
        <v>74</v>
      </c>
      <c r="BE89" t="s">
        <v>1978</v>
      </c>
      <c r="BF89" t="str">
        <f>HYPERLINK("http://dx.doi.org/10.1016/j.marpolbul.2016.02.047","http://dx.doi.org/10.1016/j.marpolbul.2016.02.047")</f>
        <v>http://dx.doi.org/10.1016/j.marpolbul.2016.02.047</v>
      </c>
      <c r="BG89" t="s">
        <v>74</v>
      </c>
      <c r="BH89" t="s">
        <v>74</v>
      </c>
      <c r="BI89">
        <v>6</v>
      </c>
      <c r="BJ89" t="s">
        <v>1838</v>
      </c>
      <c r="BK89" t="s">
        <v>102</v>
      </c>
      <c r="BL89" t="s">
        <v>1839</v>
      </c>
      <c r="BM89" t="s">
        <v>1840</v>
      </c>
      <c r="BN89">
        <v>26952994</v>
      </c>
      <c r="BO89" t="s">
        <v>74</v>
      </c>
      <c r="BP89" t="s">
        <v>74</v>
      </c>
      <c r="BQ89" t="s">
        <v>74</v>
      </c>
      <c r="BR89" t="s">
        <v>106</v>
      </c>
      <c r="BS89" t="s">
        <v>1979</v>
      </c>
      <c r="BT89" t="str">
        <f>HYPERLINK("https%3A%2F%2Fwww.webofscience.com%2Fwos%2Fwoscc%2Ffull-record%2FWOS:000376545900057","View Full Record in Web of Science")</f>
        <v>View Full Record in Web of Science</v>
      </c>
    </row>
    <row r="90" spans="1:72" x14ac:dyDescent="0.15">
      <c r="A90" t="s">
        <v>72</v>
      </c>
      <c r="B90" t="s">
        <v>1980</v>
      </c>
      <c r="C90" t="s">
        <v>74</v>
      </c>
      <c r="D90" t="s">
        <v>74</v>
      </c>
      <c r="E90" t="s">
        <v>74</v>
      </c>
      <c r="F90" t="s">
        <v>1981</v>
      </c>
      <c r="G90" t="s">
        <v>74</v>
      </c>
      <c r="H90" t="s">
        <v>74</v>
      </c>
      <c r="I90" t="s">
        <v>1982</v>
      </c>
      <c r="J90" t="s">
        <v>1888</v>
      </c>
      <c r="K90" t="s">
        <v>74</v>
      </c>
      <c r="L90" t="s">
        <v>74</v>
      </c>
      <c r="M90" t="s">
        <v>78</v>
      </c>
      <c r="N90" t="s">
        <v>79</v>
      </c>
      <c r="O90" t="s">
        <v>74</v>
      </c>
      <c r="P90" t="s">
        <v>74</v>
      </c>
      <c r="Q90" t="s">
        <v>74</v>
      </c>
      <c r="R90" t="s">
        <v>74</v>
      </c>
      <c r="S90" t="s">
        <v>74</v>
      </c>
      <c r="T90" t="s">
        <v>1983</v>
      </c>
      <c r="U90" t="s">
        <v>1984</v>
      </c>
      <c r="V90" t="s">
        <v>1985</v>
      </c>
      <c r="W90" t="s">
        <v>1986</v>
      </c>
      <c r="X90" t="s">
        <v>1987</v>
      </c>
      <c r="Y90" t="s">
        <v>1988</v>
      </c>
      <c r="Z90" t="s">
        <v>1989</v>
      </c>
      <c r="AA90" t="s">
        <v>1990</v>
      </c>
      <c r="AB90" t="s">
        <v>1991</v>
      </c>
      <c r="AC90" t="s">
        <v>1992</v>
      </c>
      <c r="AD90" t="s">
        <v>1993</v>
      </c>
      <c r="AE90" t="s">
        <v>1994</v>
      </c>
      <c r="AF90" t="s">
        <v>74</v>
      </c>
      <c r="AG90">
        <v>110</v>
      </c>
      <c r="AH90">
        <v>27</v>
      </c>
      <c r="AI90">
        <v>28</v>
      </c>
      <c r="AJ90">
        <v>1</v>
      </c>
      <c r="AK90">
        <v>24</v>
      </c>
      <c r="AL90" t="s">
        <v>1829</v>
      </c>
      <c r="AM90" t="s">
        <v>679</v>
      </c>
      <c r="AN90" t="s">
        <v>1830</v>
      </c>
      <c r="AO90" t="s">
        <v>1900</v>
      </c>
      <c r="AP90" t="s">
        <v>74</v>
      </c>
      <c r="AQ90" t="s">
        <v>74</v>
      </c>
      <c r="AR90" t="s">
        <v>1901</v>
      </c>
      <c r="AS90" t="s">
        <v>1902</v>
      </c>
      <c r="AT90" t="s">
        <v>1835</v>
      </c>
      <c r="AU90">
        <v>2016</v>
      </c>
      <c r="AV90">
        <v>140</v>
      </c>
      <c r="AW90" t="s">
        <v>74</v>
      </c>
      <c r="AX90" t="s">
        <v>74</v>
      </c>
      <c r="AY90" t="s">
        <v>74</v>
      </c>
      <c r="AZ90" t="s">
        <v>74</v>
      </c>
      <c r="BA90" t="s">
        <v>74</v>
      </c>
      <c r="BB90">
        <v>101</v>
      </c>
      <c r="BC90">
        <v>124</v>
      </c>
      <c r="BD90" t="s">
        <v>74</v>
      </c>
      <c r="BE90" t="s">
        <v>1995</v>
      </c>
      <c r="BF90" t="str">
        <f>HYPERLINK("http://dx.doi.org/10.1016/j.quascirev.2016.03.012","http://dx.doi.org/10.1016/j.quascirev.2016.03.012")</f>
        <v>http://dx.doi.org/10.1016/j.quascirev.2016.03.012</v>
      </c>
      <c r="BG90" t="s">
        <v>74</v>
      </c>
      <c r="BH90" t="s">
        <v>74</v>
      </c>
      <c r="BI90">
        <v>24</v>
      </c>
      <c r="BJ90" t="s">
        <v>1904</v>
      </c>
      <c r="BK90" t="s">
        <v>102</v>
      </c>
      <c r="BL90" t="s">
        <v>1905</v>
      </c>
      <c r="BM90" t="s">
        <v>1906</v>
      </c>
      <c r="BN90" t="s">
        <v>74</v>
      </c>
      <c r="BO90" t="s">
        <v>380</v>
      </c>
      <c r="BP90" t="s">
        <v>74</v>
      </c>
      <c r="BQ90" t="s">
        <v>74</v>
      </c>
      <c r="BR90" t="s">
        <v>106</v>
      </c>
      <c r="BS90" t="s">
        <v>1996</v>
      </c>
      <c r="BT90" t="str">
        <f>HYPERLINK("https%3A%2F%2Fwww.webofscience.com%2Fwos%2Fwoscc%2Ffull-record%2FWOS:000375509100007","View Full Record in Web of Science")</f>
        <v>View Full Record in Web of Science</v>
      </c>
    </row>
    <row r="91" spans="1:72" x14ac:dyDescent="0.15">
      <c r="A91" t="s">
        <v>72</v>
      </c>
      <c r="B91" t="s">
        <v>1997</v>
      </c>
      <c r="C91" t="s">
        <v>74</v>
      </c>
      <c r="D91" t="s">
        <v>74</v>
      </c>
      <c r="E91" t="s">
        <v>74</v>
      </c>
      <c r="F91" t="s">
        <v>1998</v>
      </c>
      <c r="G91" t="s">
        <v>74</v>
      </c>
      <c r="H91" t="s">
        <v>74</v>
      </c>
      <c r="I91" t="s">
        <v>1999</v>
      </c>
      <c r="J91" t="s">
        <v>2000</v>
      </c>
      <c r="K91" t="s">
        <v>74</v>
      </c>
      <c r="L91" t="s">
        <v>74</v>
      </c>
      <c r="M91" t="s">
        <v>78</v>
      </c>
      <c r="N91" t="s">
        <v>79</v>
      </c>
      <c r="O91" t="s">
        <v>74</v>
      </c>
      <c r="P91" t="s">
        <v>74</v>
      </c>
      <c r="Q91" t="s">
        <v>74</v>
      </c>
      <c r="R91" t="s">
        <v>74</v>
      </c>
      <c r="S91" t="s">
        <v>74</v>
      </c>
      <c r="T91" t="s">
        <v>2001</v>
      </c>
      <c r="U91" t="s">
        <v>2002</v>
      </c>
      <c r="V91" t="s">
        <v>2003</v>
      </c>
      <c r="W91" t="s">
        <v>2004</v>
      </c>
      <c r="X91" t="s">
        <v>2005</v>
      </c>
      <c r="Y91" t="s">
        <v>2006</v>
      </c>
      <c r="Z91" t="s">
        <v>2007</v>
      </c>
      <c r="AA91" t="s">
        <v>74</v>
      </c>
      <c r="AB91" t="s">
        <v>74</v>
      </c>
      <c r="AC91" t="s">
        <v>2008</v>
      </c>
      <c r="AD91" t="s">
        <v>2009</v>
      </c>
      <c r="AE91" t="s">
        <v>2010</v>
      </c>
      <c r="AF91" t="s">
        <v>74</v>
      </c>
      <c r="AG91">
        <v>38</v>
      </c>
      <c r="AH91">
        <v>5</v>
      </c>
      <c r="AI91">
        <v>6</v>
      </c>
      <c r="AJ91">
        <v>1</v>
      </c>
      <c r="AK91">
        <v>75</v>
      </c>
      <c r="AL91" t="s">
        <v>582</v>
      </c>
      <c r="AM91" t="s">
        <v>583</v>
      </c>
      <c r="AN91" t="s">
        <v>584</v>
      </c>
      <c r="AO91" t="s">
        <v>2011</v>
      </c>
      <c r="AP91" t="s">
        <v>2012</v>
      </c>
      <c r="AQ91" t="s">
        <v>74</v>
      </c>
      <c r="AR91" t="s">
        <v>2013</v>
      </c>
      <c r="AS91" t="s">
        <v>2014</v>
      </c>
      <c r="AT91" t="s">
        <v>1835</v>
      </c>
      <c r="AU91">
        <v>2016</v>
      </c>
      <c r="AV91">
        <v>553</v>
      </c>
      <c r="AW91" t="s">
        <v>74</v>
      </c>
      <c r="AX91" t="s">
        <v>74</v>
      </c>
      <c r="AY91" t="s">
        <v>74</v>
      </c>
      <c r="AZ91" t="s">
        <v>74</v>
      </c>
      <c r="BA91" t="s">
        <v>74</v>
      </c>
      <c r="BB91">
        <v>466</v>
      </c>
      <c r="BC91">
        <v>473</v>
      </c>
      <c r="BD91" t="s">
        <v>74</v>
      </c>
      <c r="BE91" t="s">
        <v>2015</v>
      </c>
      <c r="BF91" t="str">
        <f>HYPERLINK("http://dx.doi.org/10.1016/j.scitotenv.2016.02.053","http://dx.doi.org/10.1016/j.scitotenv.2016.02.053")</f>
        <v>http://dx.doi.org/10.1016/j.scitotenv.2016.02.053</v>
      </c>
      <c r="BG91" t="s">
        <v>74</v>
      </c>
      <c r="BH91" t="s">
        <v>74</v>
      </c>
      <c r="BI91">
        <v>8</v>
      </c>
      <c r="BJ91" t="s">
        <v>464</v>
      </c>
      <c r="BK91" t="s">
        <v>102</v>
      </c>
      <c r="BL91" t="s">
        <v>465</v>
      </c>
      <c r="BM91" t="s">
        <v>2016</v>
      </c>
      <c r="BN91">
        <v>26930318</v>
      </c>
      <c r="BO91" t="s">
        <v>222</v>
      </c>
      <c r="BP91" t="s">
        <v>74</v>
      </c>
      <c r="BQ91" t="s">
        <v>74</v>
      </c>
      <c r="BR91" t="s">
        <v>106</v>
      </c>
      <c r="BS91" t="s">
        <v>2017</v>
      </c>
      <c r="BT91" t="str">
        <f>HYPERLINK("https%3A%2F%2Fwww.webofscience.com%2Fwos%2Fwoscc%2Ffull-record%2FWOS:000373220700047","View Full Record in Web of Science")</f>
        <v>View Full Record in Web of Science</v>
      </c>
    </row>
    <row r="92" spans="1:72" x14ac:dyDescent="0.15">
      <c r="A92" t="s">
        <v>72</v>
      </c>
      <c r="B92" t="s">
        <v>2018</v>
      </c>
      <c r="C92" t="s">
        <v>74</v>
      </c>
      <c r="D92" t="s">
        <v>74</v>
      </c>
      <c r="E92" t="s">
        <v>74</v>
      </c>
      <c r="F92" t="s">
        <v>2019</v>
      </c>
      <c r="G92" t="s">
        <v>74</v>
      </c>
      <c r="H92" t="s">
        <v>74</v>
      </c>
      <c r="I92" t="s">
        <v>2020</v>
      </c>
      <c r="J92" t="s">
        <v>2021</v>
      </c>
      <c r="K92" t="s">
        <v>74</v>
      </c>
      <c r="L92" t="s">
        <v>74</v>
      </c>
      <c r="M92" t="s">
        <v>78</v>
      </c>
      <c r="N92" t="s">
        <v>79</v>
      </c>
      <c r="O92" t="s">
        <v>74</v>
      </c>
      <c r="P92" t="s">
        <v>74</v>
      </c>
      <c r="Q92" t="s">
        <v>74</v>
      </c>
      <c r="R92" t="s">
        <v>74</v>
      </c>
      <c r="S92" t="s">
        <v>74</v>
      </c>
      <c r="T92" t="s">
        <v>2022</v>
      </c>
      <c r="U92" t="s">
        <v>2023</v>
      </c>
      <c r="V92" t="s">
        <v>2024</v>
      </c>
      <c r="W92" t="s">
        <v>2025</v>
      </c>
      <c r="X92" t="s">
        <v>2026</v>
      </c>
      <c r="Y92" t="s">
        <v>2027</v>
      </c>
      <c r="Z92" t="s">
        <v>2028</v>
      </c>
      <c r="AA92" t="s">
        <v>2029</v>
      </c>
      <c r="AB92" t="s">
        <v>2030</v>
      </c>
      <c r="AC92" t="s">
        <v>2031</v>
      </c>
      <c r="AD92" t="s">
        <v>2032</v>
      </c>
      <c r="AE92" t="s">
        <v>2033</v>
      </c>
      <c r="AF92" t="s">
        <v>74</v>
      </c>
      <c r="AG92">
        <v>40</v>
      </c>
      <c r="AH92">
        <v>7</v>
      </c>
      <c r="AI92">
        <v>7</v>
      </c>
      <c r="AJ92">
        <v>0</v>
      </c>
      <c r="AK92">
        <v>23</v>
      </c>
      <c r="AL92" t="s">
        <v>2034</v>
      </c>
      <c r="AM92" t="s">
        <v>262</v>
      </c>
      <c r="AN92" t="s">
        <v>2035</v>
      </c>
      <c r="AO92" t="s">
        <v>2036</v>
      </c>
      <c r="AP92" t="s">
        <v>2037</v>
      </c>
      <c r="AQ92" t="s">
        <v>74</v>
      </c>
      <c r="AR92" t="s">
        <v>2038</v>
      </c>
      <c r="AS92" t="s">
        <v>2039</v>
      </c>
      <c r="AT92" t="s">
        <v>1835</v>
      </c>
      <c r="AU92">
        <v>2016</v>
      </c>
      <c r="AV92">
        <v>172</v>
      </c>
      <c r="AW92" t="s">
        <v>74</v>
      </c>
      <c r="AX92" t="s">
        <v>74</v>
      </c>
      <c r="AY92" t="s">
        <v>74</v>
      </c>
      <c r="AZ92" t="s">
        <v>74</v>
      </c>
      <c r="BA92" t="s">
        <v>74</v>
      </c>
      <c r="BB92">
        <v>126</v>
      </c>
      <c r="BC92">
        <v>135</v>
      </c>
      <c r="BD92" t="s">
        <v>74</v>
      </c>
      <c r="BE92" t="s">
        <v>2040</v>
      </c>
      <c r="BF92" t="str">
        <f>HYPERLINK("http://dx.doi.org/10.1016/j.atmosres.2016.01.005","http://dx.doi.org/10.1016/j.atmosres.2016.01.005")</f>
        <v>http://dx.doi.org/10.1016/j.atmosres.2016.01.005</v>
      </c>
      <c r="BG92" t="s">
        <v>74</v>
      </c>
      <c r="BH92" t="s">
        <v>74</v>
      </c>
      <c r="BI92">
        <v>10</v>
      </c>
      <c r="BJ92" t="s">
        <v>1726</v>
      </c>
      <c r="BK92" t="s">
        <v>102</v>
      </c>
      <c r="BL92" t="s">
        <v>1726</v>
      </c>
      <c r="BM92" t="s">
        <v>2041</v>
      </c>
      <c r="BN92" t="s">
        <v>74</v>
      </c>
      <c r="BO92" t="s">
        <v>74</v>
      </c>
      <c r="BP92" t="s">
        <v>74</v>
      </c>
      <c r="BQ92" t="s">
        <v>74</v>
      </c>
      <c r="BR92" t="s">
        <v>106</v>
      </c>
      <c r="BS92" t="s">
        <v>2042</v>
      </c>
      <c r="BT92" t="str">
        <f>HYPERLINK("https%3A%2F%2Fwww.webofscience.com%2Fwos%2Fwoscc%2Ffull-record%2FWOS:000371651200013","View Full Record in Web of Science")</f>
        <v>View Full Record in Web of Science</v>
      </c>
    </row>
    <row r="93" spans="1:72" x14ac:dyDescent="0.15">
      <c r="A93" t="s">
        <v>72</v>
      </c>
      <c r="B93" t="s">
        <v>2043</v>
      </c>
      <c r="C93" t="s">
        <v>74</v>
      </c>
      <c r="D93" t="s">
        <v>74</v>
      </c>
      <c r="E93" t="s">
        <v>74</v>
      </c>
      <c r="F93" t="s">
        <v>2044</v>
      </c>
      <c r="G93" t="s">
        <v>74</v>
      </c>
      <c r="H93" t="s">
        <v>74</v>
      </c>
      <c r="I93" t="s">
        <v>2045</v>
      </c>
      <c r="J93" t="s">
        <v>2046</v>
      </c>
      <c r="K93" t="s">
        <v>74</v>
      </c>
      <c r="L93" t="s">
        <v>74</v>
      </c>
      <c r="M93" t="s">
        <v>78</v>
      </c>
      <c r="N93" t="s">
        <v>79</v>
      </c>
      <c r="O93" t="s">
        <v>74</v>
      </c>
      <c r="P93" t="s">
        <v>74</v>
      </c>
      <c r="Q93" t="s">
        <v>74</v>
      </c>
      <c r="R93" t="s">
        <v>74</v>
      </c>
      <c r="S93" t="s">
        <v>74</v>
      </c>
      <c r="T93" t="s">
        <v>2047</v>
      </c>
      <c r="U93" t="s">
        <v>2048</v>
      </c>
      <c r="V93" t="s">
        <v>2049</v>
      </c>
      <c r="W93" t="s">
        <v>2050</v>
      </c>
      <c r="X93" t="s">
        <v>2051</v>
      </c>
      <c r="Y93" t="s">
        <v>2052</v>
      </c>
      <c r="Z93" t="s">
        <v>74</v>
      </c>
      <c r="AA93" t="s">
        <v>2053</v>
      </c>
      <c r="AB93" t="s">
        <v>2054</v>
      </c>
      <c r="AC93" t="s">
        <v>2055</v>
      </c>
      <c r="AD93" t="s">
        <v>2056</v>
      </c>
      <c r="AE93" t="s">
        <v>2057</v>
      </c>
      <c r="AF93" t="s">
        <v>74</v>
      </c>
      <c r="AG93">
        <v>27</v>
      </c>
      <c r="AH93">
        <v>56</v>
      </c>
      <c r="AI93">
        <v>61</v>
      </c>
      <c r="AJ93">
        <v>1</v>
      </c>
      <c r="AK93">
        <v>7</v>
      </c>
      <c r="AL93" t="s">
        <v>2058</v>
      </c>
      <c r="AM93" t="s">
        <v>2059</v>
      </c>
      <c r="AN93" t="s">
        <v>2060</v>
      </c>
      <c r="AO93" t="s">
        <v>2061</v>
      </c>
      <c r="AP93" t="s">
        <v>2062</v>
      </c>
      <c r="AQ93" t="s">
        <v>74</v>
      </c>
      <c r="AR93" t="s">
        <v>2063</v>
      </c>
      <c r="AS93" t="s">
        <v>2064</v>
      </c>
      <c r="AT93" t="s">
        <v>2065</v>
      </c>
      <c r="AU93">
        <v>2016</v>
      </c>
      <c r="AV93">
        <v>822</v>
      </c>
      <c r="AW93">
        <v>2</v>
      </c>
      <c r="AX93" t="s">
        <v>74</v>
      </c>
      <c r="AY93" t="s">
        <v>74</v>
      </c>
      <c r="AZ93" t="s">
        <v>74</v>
      </c>
      <c r="BA93" t="s">
        <v>74</v>
      </c>
      <c r="BB93" t="s">
        <v>74</v>
      </c>
      <c r="BC93" t="s">
        <v>74</v>
      </c>
      <c r="BD93">
        <v>65</v>
      </c>
      <c r="BE93" t="s">
        <v>2066</v>
      </c>
      <c r="BF93" t="str">
        <f>HYPERLINK("http://dx.doi.org/10.3847/0004-637X/822/2/65","http://dx.doi.org/10.3847/0004-637X/822/2/65")</f>
        <v>http://dx.doi.org/10.3847/0004-637X/822/2/65</v>
      </c>
      <c r="BG93" t="s">
        <v>74</v>
      </c>
      <c r="BH93" t="s">
        <v>74</v>
      </c>
      <c r="BI93">
        <v>16</v>
      </c>
      <c r="BJ93" t="s">
        <v>248</v>
      </c>
      <c r="BK93" t="s">
        <v>102</v>
      </c>
      <c r="BL93" t="s">
        <v>248</v>
      </c>
      <c r="BM93" t="s">
        <v>2067</v>
      </c>
      <c r="BN93">
        <v>32713958</v>
      </c>
      <c r="BO93" t="s">
        <v>2068</v>
      </c>
      <c r="BP93" t="s">
        <v>74</v>
      </c>
      <c r="BQ93" t="s">
        <v>74</v>
      </c>
      <c r="BR93" t="s">
        <v>106</v>
      </c>
      <c r="BS93" t="s">
        <v>2069</v>
      </c>
      <c r="BT93" t="str">
        <f>HYPERLINK("https%3A%2F%2Fwww.webofscience.com%2Fwos%2Fwoscc%2Ffull-record%2FWOS:000377204900008","View Full Record in Web of Science")</f>
        <v>View Full Record in Web of Science</v>
      </c>
    </row>
    <row r="94" spans="1:72" x14ac:dyDescent="0.15">
      <c r="A94" t="s">
        <v>72</v>
      </c>
      <c r="B94" t="s">
        <v>2070</v>
      </c>
      <c r="C94" t="s">
        <v>74</v>
      </c>
      <c r="D94" t="s">
        <v>74</v>
      </c>
      <c r="E94" t="s">
        <v>74</v>
      </c>
      <c r="F94" t="s">
        <v>2071</v>
      </c>
      <c r="G94" t="s">
        <v>74</v>
      </c>
      <c r="H94" t="s">
        <v>74</v>
      </c>
      <c r="I94" t="s">
        <v>2072</v>
      </c>
      <c r="J94" t="s">
        <v>1387</v>
      </c>
      <c r="K94" t="s">
        <v>74</v>
      </c>
      <c r="L94" t="s">
        <v>74</v>
      </c>
      <c r="M94" t="s">
        <v>78</v>
      </c>
      <c r="N94" t="s">
        <v>79</v>
      </c>
      <c r="O94" t="s">
        <v>74</v>
      </c>
      <c r="P94" t="s">
        <v>74</v>
      </c>
      <c r="Q94" t="s">
        <v>74</v>
      </c>
      <c r="R94" t="s">
        <v>74</v>
      </c>
      <c r="S94" t="s">
        <v>74</v>
      </c>
      <c r="T94" t="s">
        <v>2073</v>
      </c>
      <c r="U94" t="s">
        <v>2074</v>
      </c>
      <c r="V94" t="s">
        <v>2075</v>
      </c>
      <c r="W94" t="s">
        <v>2076</v>
      </c>
      <c r="X94" t="s">
        <v>2077</v>
      </c>
      <c r="Y94" t="s">
        <v>2078</v>
      </c>
      <c r="Z94" t="s">
        <v>2079</v>
      </c>
      <c r="AA94" t="s">
        <v>2080</v>
      </c>
      <c r="AB94" t="s">
        <v>2081</v>
      </c>
      <c r="AC94" t="s">
        <v>2082</v>
      </c>
      <c r="AD94" t="s">
        <v>2083</v>
      </c>
      <c r="AE94" t="s">
        <v>2084</v>
      </c>
      <c r="AF94" t="s">
        <v>74</v>
      </c>
      <c r="AG94">
        <v>75</v>
      </c>
      <c r="AH94">
        <v>20</v>
      </c>
      <c r="AI94">
        <v>20</v>
      </c>
      <c r="AJ94">
        <v>4</v>
      </c>
      <c r="AK94">
        <v>67</v>
      </c>
      <c r="AL94" t="s">
        <v>1400</v>
      </c>
      <c r="AM94" t="s">
        <v>1401</v>
      </c>
      <c r="AN94" t="s">
        <v>1402</v>
      </c>
      <c r="AO94" t="s">
        <v>1403</v>
      </c>
      <c r="AP94" t="s">
        <v>1404</v>
      </c>
      <c r="AQ94" t="s">
        <v>74</v>
      </c>
      <c r="AR94" t="s">
        <v>1405</v>
      </c>
      <c r="AS94" t="s">
        <v>1406</v>
      </c>
      <c r="AT94" t="s">
        <v>2065</v>
      </c>
      <c r="AU94">
        <v>2016</v>
      </c>
      <c r="AV94">
        <v>549</v>
      </c>
      <c r="AW94" t="s">
        <v>74</v>
      </c>
      <c r="AX94" t="s">
        <v>74</v>
      </c>
      <c r="AY94" t="s">
        <v>74</v>
      </c>
      <c r="AZ94" t="s">
        <v>74</v>
      </c>
      <c r="BA94" t="s">
        <v>74</v>
      </c>
      <c r="BB94">
        <v>263</v>
      </c>
      <c r="BC94">
        <v>274</v>
      </c>
      <c r="BD94" t="s">
        <v>74</v>
      </c>
      <c r="BE94" t="s">
        <v>2085</v>
      </c>
      <c r="BF94" t="str">
        <f>HYPERLINK("http://dx.doi.org/10.3354/meps11676","http://dx.doi.org/10.3354/meps11676")</f>
        <v>http://dx.doi.org/10.3354/meps11676</v>
      </c>
      <c r="BG94" t="s">
        <v>74</v>
      </c>
      <c r="BH94" t="s">
        <v>74</v>
      </c>
      <c r="BI94">
        <v>12</v>
      </c>
      <c r="BJ94" t="s">
        <v>1409</v>
      </c>
      <c r="BK94" t="s">
        <v>102</v>
      </c>
      <c r="BL94" t="s">
        <v>1410</v>
      </c>
      <c r="BM94" t="s">
        <v>2086</v>
      </c>
      <c r="BN94" t="s">
        <v>74</v>
      </c>
      <c r="BO94" t="s">
        <v>1045</v>
      </c>
      <c r="BP94" t="s">
        <v>74</v>
      </c>
      <c r="BQ94" t="s">
        <v>74</v>
      </c>
      <c r="BR94" t="s">
        <v>106</v>
      </c>
      <c r="BS94" t="s">
        <v>2087</v>
      </c>
      <c r="BT94" t="str">
        <f>HYPERLINK("https%3A%2F%2Fwww.webofscience.com%2Fwos%2Fwoscc%2Ffull-record%2FWOS:000376376200020","View Full Record in Web of Science")</f>
        <v>View Full Record in Web of Science</v>
      </c>
    </row>
    <row r="95" spans="1:72" x14ac:dyDescent="0.15">
      <c r="A95" t="s">
        <v>72</v>
      </c>
      <c r="B95" t="s">
        <v>2088</v>
      </c>
      <c r="C95" t="s">
        <v>74</v>
      </c>
      <c r="D95" t="s">
        <v>74</v>
      </c>
      <c r="E95" t="s">
        <v>74</v>
      </c>
      <c r="F95" t="s">
        <v>2089</v>
      </c>
      <c r="G95" t="s">
        <v>74</v>
      </c>
      <c r="H95" t="s">
        <v>74</v>
      </c>
      <c r="I95" t="s">
        <v>2090</v>
      </c>
      <c r="J95" t="s">
        <v>1387</v>
      </c>
      <c r="K95" t="s">
        <v>74</v>
      </c>
      <c r="L95" t="s">
        <v>74</v>
      </c>
      <c r="M95" t="s">
        <v>78</v>
      </c>
      <c r="N95" t="s">
        <v>79</v>
      </c>
      <c r="O95" t="s">
        <v>74</v>
      </c>
      <c r="P95" t="s">
        <v>74</v>
      </c>
      <c r="Q95" t="s">
        <v>74</v>
      </c>
      <c r="R95" t="s">
        <v>74</v>
      </c>
      <c r="S95" t="s">
        <v>74</v>
      </c>
      <c r="T95" t="s">
        <v>2091</v>
      </c>
      <c r="U95" t="s">
        <v>2092</v>
      </c>
      <c r="V95" t="s">
        <v>2093</v>
      </c>
      <c r="W95" t="s">
        <v>2094</v>
      </c>
      <c r="X95" t="s">
        <v>2095</v>
      </c>
      <c r="Y95" t="s">
        <v>2096</v>
      </c>
      <c r="Z95" t="s">
        <v>2097</v>
      </c>
      <c r="AA95" t="s">
        <v>2098</v>
      </c>
      <c r="AB95" t="s">
        <v>2099</v>
      </c>
      <c r="AC95" t="s">
        <v>2100</v>
      </c>
      <c r="AD95" t="s">
        <v>2101</v>
      </c>
      <c r="AE95" t="s">
        <v>2102</v>
      </c>
      <c r="AF95" t="s">
        <v>74</v>
      </c>
      <c r="AG95">
        <v>57</v>
      </c>
      <c r="AH95">
        <v>27</v>
      </c>
      <c r="AI95">
        <v>29</v>
      </c>
      <c r="AJ95">
        <v>0</v>
      </c>
      <c r="AK95">
        <v>73</v>
      </c>
      <c r="AL95" t="s">
        <v>1400</v>
      </c>
      <c r="AM95" t="s">
        <v>1401</v>
      </c>
      <c r="AN95" t="s">
        <v>1402</v>
      </c>
      <c r="AO95" t="s">
        <v>1403</v>
      </c>
      <c r="AP95" t="s">
        <v>1404</v>
      </c>
      <c r="AQ95" t="s">
        <v>74</v>
      </c>
      <c r="AR95" t="s">
        <v>1405</v>
      </c>
      <c r="AS95" t="s">
        <v>1406</v>
      </c>
      <c r="AT95" t="s">
        <v>2065</v>
      </c>
      <c r="AU95">
        <v>2016</v>
      </c>
      <c r="AV95">
        <v>549</v>
      </c>
      <c r="AW95" t="s">
        <v>74</v>
      </c>
      <c r="AX95" t="s">
        <v>74</v>
      </c>
      <c r="AY95" t="s">
        <v>74</v>
      </c>
      <c r="AZ95" t="s">
        <v>74</v>
      </c>
      <c r="BA95" t="s">
        <v>74</v>
      </c>
      <c r="BB95">
        <v>217</v>
      </c>
      <c r="BC95">
        <v>229</v>
      </c>
      <c r="BD95" t="s">
        <v>74</v>
      </c>
      <c r="BE95" t="s">
        <v>2103</v>
      </c>
      <c r="BF95" t="str">
        <f>HYPERLINK("http://dx.doi.org/10.3354/meps11707","http://dx.doi.org/10.3354/meps11707")</f>
        <v>http://dx.doi.org/10.3354/meps11707</v>
      </c>
      <c r="BG95" t="s">
        <v>74</v>
      </c>
      <c r="BH95" t="s">
        <v>74</v>
      </c>
      <c r="BI95">
        <v>13</v>
      </c>
      <c r="BJ95" t="s">
        <v>1409</v>
      </c>
      <c r="BK95" t="s">
        <v>102</v>
      </c>
      <c r="BL95" t="s">
        <v>1410</v>
      </c>
      <c r="BM95" t="s">
        <v>2086</v>
      </c>
      <c r="BN95" t="s">
        <v>74</v>
      </c>
      <c r="BO95" t="s">
        <v>380</v>
      </c>
      <c r="BP95" t="s">
        <v>74</v>
      </c>
      <c r="BQ95" t="s">
        <v>74</v>
      </c>
      <c r="BR95" t="s">
        <v>106</v>
      </c>
      <c r="BS95" t="s">
        <v>2104</v>
      </c>
      <c r="BT95" t="str">
        <f>HYPERLINK("https%3A%2F%2Fwww.webofscience.com%2Fwos%2Fwoscc%2Ffull-record%2FWOS:000376376200017","View Full Record in Web of Science")</f>
        <v>View Full Record in Web of Science</v>
      </c>
    </row>
    <row r="96" spans="1:72" x14ac:dyDescent="0.15">
      <c r="A96" t="s">
        <v>72</v>
      </c>
      <c r="B96" t="s">
        <v>2105</v>
      </c>
      <c r="C96" t="s">
        <v>74</v>
      </c>
      <c r="D96" t="s">
        <v>74</v>
      </c>
      <c r="E96" t="s">
        <v>74</v>
      </c>
      <c r="F96" t="s">
        <v>2106</v>
      </c>
      <c r="G96" t="s">
        <v>74</v>
      </c>
      <c r="H96" t="s">
        <v>74</v>
      </c>
      <c r="I96" t="s">
        <v>2107</v>
      </c>
      <c r="J96" t="s">
        <v>1350</v>
      </c>
      <c r="K96" t="s">
        <v>74</v>
      </c>
      <c r="L96" t="s">
        <v>74</v>
      </c>
      <c r="M96" t="s">
        <v>78</v>
      </c>
      <c r="N96" t="s">
        <v>79</v>
      </c>
      <c r="O96" t="s">
        <v>74</v>
      </c>
      <c r="P96" t="s">
        <v>74</v>
      </c>
      <c r="Q96" t="s">
        <v>74</v>
      </c>
      <c r="R96" t="s">
        <v>74</v>
      </c>
      <c r="S96" t="s">
        <v>74</v>
      </c>
      <c r="T96" t="s">
        <v>74</v>
      </c>
      <c r="U96" t="s">
        <v>2108</v>
      </c>
      <c r="V96" t="s">
        <v>2109</v>
      </c>
      <c r="W96" t="s">
        <v>2110</v>
      </c>
      <c r="X96" t="s">
        <v>2111</v>
      </c>
      <c r="Y96" t="s">
        <v>2112</v>
      </c>
      <c r="Z96" t="s">
        <v>2113</v>
      </c>
      <c r="AA96" t="s">
        <v>2114</v>
      </c>
      <c r="AB96" t="s">
        <v>2115</v>
      </c>
      <c r="AC96" t="s">
        <v>2116</v>
      </c>
      <c r="AD96" t="s">
        <v>2117</v>
      </c>
      <c r="AE96" t="s">
        <v>2118</v>
      </c>
      <c r="AF96" t="s">
        <v>74</v>
      </c>
      <c r="AG96">
        <v>56</v>
      </c>
      <c r="AH96">
        <v>28</v>
      </c>
      <c r="AI96">
        <v>31</v>
      </c>
      <c r="AJ96">
        <v>6</v>
      </c>
      <c r="AK96">
        <v>67</v>
      </c>
      <c r="AL96" t="s">
        <v>746</v>
      </c>
      <c r="AM96" t="s">
        <v>747</v>
      </c>
      <c r="AN96" t="s">
        <v>748</v>
      </c>
      <c r="AO96" t="s">
        <v>1362</v>
      </c>
      <c r="AP96" t="s">
        <v>74</v>
      </c>
      <c r="AQ96" t="s">
        <v>74</v>
      </c>
      <c r="AR96" t="s">
        <v>1363</v>
      </c>
      <c r="AS96" t="s">
        <v>1364</v>
      </c>
      <c r="AT96" t="s">
        <v>2065</v>
      </c>
      <c r="AU96">
        <v>2016</v>
      </c>
      <c r="AV96">
        <v>6</v>
      </c>
      <c r="AW96" t="s">
        <v>74</v>
      </c>
      <c r="AX96" t="s">
        <v>74</v>
      </c>
      <c r="AY96" t="s">
        <v>74</v>
      </c>
      <c r="AZ96" t="s">
        <v>74</v>
      </c>
      <c r="BA96" t="s">
        <v>74</v>
      </c>
      <c r="BB96" t="s">
        <v>74</v>
      </c>
      <c r="BC96" t="s">
        <v>74</v>
      </c>
      <c r="BD96">
        <v>25712</v>
      </c>
      <c r="BE96" t="s">
        <v>2119</v>
      </c>
      <c r="BF96" t="str">
        <f>HYPERLINK("http://dx.doi.org/10.1038/srep25712","http://dx.doi.org/10.1038/srep25712")</f>
        <v>http://dx.doi.org/10.1038/srep25712</v>
      </c>
      <c r="BG96" t="s">
        <v>74</v>
      </c>
      <c r="BH96" t="s">
        <v>74</v>
      </c>
      <c r="BI96">
        <v>8</v>
      </c>
      <c r="BJ96" t="s">
        <v>753</v>
      </c>
      <c r="BK96" t="s">
        <v>102</v>
      </c>
      <c r="BL96" t="s">
        <v>754</v>
      </c>
      <c r="BM96" t="s">
        <v>2120</v>
      </c>
      <c r="BN96">
        <v>27162086</v>
      </c>
      <c r="BO96" t="s">
        <v>2121</v>
      </c>
      <c r="BP96" t="s">
        <v>74</v>
      </c>
      <c r="BQ96" t="s">
        <v>74</v>
      </c>
      <c r="BR96" t="s">
        <v>106</v>
      </c>
      <c r="BS96" t="s">
        <v>2122</v>
      </c>
      <c r="BT96" t="str">
        <f>HYPERLINK("https%3A%2F%2Fwww.webofscience.com%2Fwos%2Fwoscc%2Ffull-record%2FWOS:000375489800002","View Full Record in Web of Science")</f>
        <v>View Full Record in Web of Science</v>
      </c>
    </row>
    <row r="97" spans="1:72" x14ac:dyDescent="0.15">
      <c r="A97" t="s">
        <v>72</v>
      </c>
      <c r="B97" t="s">
        <v>2123</v>
      </c>
      <c r="C97" t="s">
        <v>74</v>
      </c>
      <c r="D97" t="s">
        <v>74</v>
      </c>
      <c r="E97" t="s">
        <v>74</v>
      </c>
      <c r="F97" t="s">
        <v>2124</v>
      </c>
      <c r="G97" t="s">
        <v>74</v>
      </c>
      <c r="H97" t="s">
        <v>74</v>
      </c>
      <c r="I97" t="s">
        <v>2125</v>
      </c>
      <c r="J97" t="s">
        <v>1467</v>
      </c>
      <c r="K97" t="s">
        <v>74</v>
      </c>
      <c r="L97" t="s">
        <v>74</v>
      </c>
      <c r="M97" t="s">
        <v>78</v>
      </c>
      <c r="N97" t="s">
        <v>79</v>
      </c>
      <c r="O97" t="s">
        <v>74</v>
      </c>
      <c r="P97" t="s">
        <v>74</v>
      </c>
      <c r="Q97" t="s">
        <v>74</v>
      </c>
      <c r="R97" t="s">
        <v>74</v>
      </c>
      <c r="S97" t="s">
        <v>74</v>
      </c>
      <c r="T97" t="s">
        <v>2126</v>
      </c>
      <c r="U97" t="s">
        <v>2127</v>
      </c>
      <c r="V97" t="s">
        <v>2128</v>
      </c>
      <c r="W97" t="s">
        <v>2129</v>
      </c>
      <c r="X97" t="s">
        <v>1471</v>
      </c>
      <c r="Y97" t="s">
        <v>1472</v>
      </c>
      <c r="Z97" t="s">
        <v>1473</v>
      </c>
      <c r="AA97" t="s">
        <v>2130</v>
      </c>
      <c r="AB97" t="s">
        <v>2131</v>
      </c>
      <c r="AC97" t="s">
        <v>2132</v>
      </c>
      <c r="AD97" t="s">
        <v>2133</v>
      </c>
      <c r="AE97" t="s">
        <v>2134</v>
      </c>
      <c r="AF97" t="s">
        <v>74</v>
      </c>
      <c r="AG97">
        <v>11</v>
      </c>
      <c r="AH97">
        <v>6</v>
      </c>
      <c r="AI97">
        <v>6</v>
      </c>
      <c r="AJ97">
        <v>0</v>
      </c>
      <c r="AK97">
        <v>11</v>
      </c>
      <c r="AL97" t="s">
        <v>582</v>
      </c>
      <c r="AM97" t="s">
        <v>583</v>
      </c>
      <c r="AN97" t="s">
        <v>584</v>
      </c>
      <c r="AO97" t="s">
        <v>1478</v>
      </c>
      <c r="AP97" t="s">
        <v>1479</v>
      </c>
      <c r="AQ97" t="s">
        <v>74</v>
      </c>
      <c r="AR97" t="s">
        <v>1480</v>
      </c>
      <c r="AS97" t="s">
        <v>1481</v>
      </c>
      <c r="AT97" t="s">
        <v>2065</v>
      </c>
      <c r="AU97">
        <v>2016</v>
      </c>
      <c r="AV97">
        <v>225</v>
      </c>
      <c r="AW97" t="s">
        <v>74</v>
      </c>
      <c r="AX97" t="s">
        <v>74</v>
      </c>
      <c r="AY97" t="s">
        <v>74</v>
      </c>
      <c r="AZ97" t="s">
        <v>74</v>
      </c>
      <c r="BA97" t="s">
        <v>74</v>
      </c>
      <c r="BB97">
        <v>46</v>
      </c>
      <c r="BC97">
        <v>47</v>
      </c>
      <c r="BD97" t="s">
        <v>74</v>
      </c>
      <c r="BE97" t="s">
        <v>2135</v>
      </c>
      <c r="BF97" t="str">
        <f>HYPERLINK("http://dx.doi.org/10.1016/j.jbiotec.2016.03.042","http://dx.doi.org/10.1016/j.jbiotec.2016.03.042")</f>
        <v>http://dx.doi.org/10.1016/j.jbiotec.2016.03.042</v>
      </c>
      <c r="BG97" t="s">
        <v>74</v>
      </c>
      <c r="BH97" t="s">
        <v>74</v>
      </c>
      <c r="BI97">
        <v>2</v>
      </c>
      <c r="BJ97" t="s">
        <v>1484</v>
      </c>
      <c r="BK97" t="s">
        <v>102</v>
      </c>
      <c r="BL97" t="s">
        <v>1484</v>
      </c>
      <c r="BM97" t="s">
        <v>2136</v>
      </c>
      <c r="BN97">
        <v>27034019</v>
      </c>
      <c r="BO97" t="s">
        <v>74</v>
      </c>
      <c r="BP97" t="s">
        <v>74</v>
      </c>
      <c r="BQ97" t="s">
        <v>74</v>
      </c>
      <c r="BR97" t="s">
        <v>106</v>
      </c>
      <c r="BS97" t="s">
        <v>2137</v>
      </c>
      <c r="BT97" t="str">
        <f>HYPERLINK("https%3A%2F%2Fwww.webofscience.com%2Fwos%2Fwoscc%2Ffull-record%2FWOS:000373562100008","View Full Record in Web of Science")</f>
        <v>View Full Record in Web of Science</v>
      </c>
    </row>
    <row r="98" spans="1:72" x14ac:dyDescent="0.15">
      <c r="A98" t="s">
        <v>72</v>
      </c>
      <c r="B98" t="s">
        <v>2138</v>
      </c>
      <c r="C98" t="s">
        <v>74</v>
      </c>
      <c r="D98" t="s">
        <v>74</v>
      </c>
      <c r="E98" t="s">
        <v>74</v>
      </c>
      <c r="F98" t="s">
        <v>2139</v>
      </c>
      <c r="G98" t="s">
        <v>74</v>
      </c>
      <c r="H98" t="s">
        <v>74</v>
      </c>
      <c r="I98" t="s">
        <v>2140</v>
      </c>
      <c r="J98" t="s">
        <v>2141</v>
      </c>
      <c r="K98" t="s">
        <v>74</v>
      </c>
      <c r="L98" t="s">
        <v>74</v>
      </c>
      <c r="M98" t="s">
        <v>78</v>
      </c>
      <c r="N98" t="s">
        <v>2142</v>
      </c>
      <c r="O98" t="s">
        <v>74</v>
      </c>
      <c r="P98" t="s">
        <v>74</v>
      </c>
      <c r="Q98" t="s">
        <v>74</v>
      </c>
      <c r="R98" t="s">
        <v>74</v>
      </c>
      <c r="S98" t="s">
        <v>74</v>
      </c>
      <c r="T98" t="s">
        <v>74</v>
      </c>
      <c r="U98" t="s">
        <v>74</v>
      </c>
      <c r="V98" t="s">
        <v>74</v>
      </c>
      <c r="W98" t="s">
        <v>74</v>
      </c>
      <c r="X98" t="s">
        <v>74</v>
      </c>
      <c r="Y98" t="s">
        <v>74</v>
      </c>
      <c r="Z98" t="s">
        <v>74</v>
      </c>
      <c r="AA98" t="s">
        <v>74</v>
      </c>
      <c r="AB98" t="s">
        <v>74</v>
      </c>
      <c r="AC98" t="s">
        <v>74</v>
      </c>
      <c r="AD98" t="s">
        <v>74</v>
      </c>
      <c r="AE98" t="s">
        <v>74</v>
      </c>
      <c r="AF98" t="s">
        <v>74</v>
      </c>
      <c r="AG98">
        <v>1</v>
      </c>
      <c r="AH98">
        <v>0</v>
      </c>
      <c r="AI98">
        <v>0</v>
      </c>
      <c r="AJ98">
        <v>0</v>
      </c>
      <c r="AK98">
        <v>0</v>
      </c>
      <c r="AL98" t="s">
        <v>2143</v>
      </c>
      <c r="AM98" t="s">
        <v>262</v>
      </c>
      <c r="AN98" t="s">
        <v>2144</v>
      </c>
      <c r="AO98" t="s">
        <v>2145</v>
      </c>
      <c r="AP98" t="s">
        <v>74</v>
      </c>
      <c r="AQ98" t="s">
        <v>74</v>
      </c>
      <c r="AR98" t="s">
        <v>2146</v>
      </c>
      <c r="AS98" t="s">
        <v>2147</v>
      </c>
      <c r="AT98" t="s">
        <v>2148</v>
      </c>
      <c r="AU98">
        <v>2016</v>
      </c>
      <c r="AV98">
        <v>121</v>
      </c>
      <c r="AW98">
        <v>19</v>
      </c>
      <c r="AX98" t="s">
        <v>74</v>
      </c>
      <c r="AY98" t="s">
        <v>74</v>
      </c>
      <c r="AZ98" t="s">
        <v>74</v>
      </c>
      <c r="BA98" t="s">
        <v>74</v>
      </c>
      <c r="BB98">
        <v>42</v>
      </c>
      <c r="BC98">
        <v>42</v>
      </c>
      <c r="BD98" t="s">
        <v>74</v>
      </c>
      <c r="BE98" t="s">
        <v>74</v>
      </c>
      <c r="BF98" t="s">
        <v>74</v>
      </c>
      <c r="BG98" t="s">
        <v>74</v>
      </c>
      <c r="BH98" t="s">
        <v>74</v>
      </c>
      <c r="BI98">
        <v>1</v>
      </c>
      <c r="BJ98" t="s">
        <v>2149</v>
      </c>
      <c r="BK98" t="s">
        <v>2150</v>
      </c>
      <c r="BL98" t="s">
        <v>2151</v>
      </c>
      <c r="BM98" t="s">
        <v>2152</v>
      </c>
      <c r="BN98" t="s">
        <v>74</v>
      </c>
      <c r="BO98" t="s">
        <v>74</v>
      </c>
      <c r="BP98" t="s">
        <v>74</v>
      </c>
      <c r="BQ98" t="s">
        <v>74</v>
      </c>
      <c r="BR98" t="s">
        <v>106</v>
      </c>
      <c r="BS98" t="s">
        <v>2153</v>
      </c>
      <c r="BT98" t="str">
        <f>HYPERLINK("https%3A%2F%2Fwww.webofscience.com%2Fwos%2Fwoscc%2Ffull-record%2FWOS:000375369100048","View Full Record in Web of Science")</f>
        <v>View Full Record in Web of Science</v>
      </c>
    </row>
    <row r="99" spans="1:72" x14ac:dyDescent="0.15">
      <c r="A99" t="s">
        <v>72</v>
      </c>
      <c r="B99" t="s">
        <v>2154</v>
      </c>
      <c r="C99" t="s">
        <v>74</v>
      </c>
      <c r="D99" t="s">
        <v>74</v>
      </c>
      <c r="E99" t="s">
        <v>74</v>
      </c>
      <c r="F99" t="s">
        <v>2155</v>
      </c>
      <c r="G99" t="s">
        <v>74</v>
      </c>
      <c r="H99" t="s">
        <v>74</v>
      </c>
      <c r="I99" t="s">
        <v>2156</v>
      </c>
      <c r="J99" t="s">
        <v>2157</v>
      </c>
      <c r="K99" t="s">
        <v>74</v>
      </c>
      <c r="L99" t="s">
        <v>74</v>
      </c>
      <c r="M99" t="s">
        <v>78</v>
      </c>
      <c r="N99" t="s">
        <v>79</v>
      </c>
      <c r="O99" t="s">
        <v>74</v>
      </c>
      <c r="P99" t="s">
        <v>74</v>
      </c>
      <c r="Q99" t="s">
        <v>74</v>
      </c>
      <c r="R99" t="s">
        <v>74</v>
      </c>
      <c r="S99" t="s">
        <v>74</v>
      </c>
      <c r="T99" t="s">
        <v>2158</v>
      </c>
      <c r="U99" t="s">
        <v>2159</v>
      </c>
      <c r="V99" t="s">
        <v>2160</v>
      </c>
      <c r="W99" t="s">
        <v>2161</v>
      </c>
      <c r="X99" t="s">
        <v>2162</v>
      </c>
      <c r="Y99" t="s">
        <v>2163</v>
      </c>
      <c r="Z99" t="s">
        <v>2164</v>
      </c>
      <c r="AA99" t="s">
        <v>2165</v>
      </c>
      <c r="AB99" t="s">
        <v>2166</v>
      </c>
      <c r="AC99" t="s">
        <v>2167</v>
      </c>
      <c r="AD99" t="s">
        <v>2168</v>
      </c>
      <c r="AE99" t="s">
        <v>2169</v>
      </c>
      <c r="AF99" t="s">
        <v>74</v>
      </c>
      <c r="AG99">
        <v>77</v>
      </c>
      <c r="AH99">
        <v>49</v>
      </c>
      <c r="AI99">
        <v>51</v>
      </c>
      <c r="AJ99">
        <v>1</v>
      </c>
      <c r="AK99">
        <v>49</v>
      </c>
      <c r="AL99" t="s">
        <v>1337</v>
      </c>
      <c r="AM99" t="s">
        <v>773</v>
      </c>
      <c r="AN99" t="s">
        <v>1338</v>
      </c>
      <c r="AO99" t="s">
        <v>74</v>
      </c>
      <c r="AP99" t="s">
        <v>2170</v>
      </c>
      <c r="AQ99" t="s">
        <v>74</v>
      </c>
      <c r="AR99" t="s">
        <v>2171</v>
      </c>
      <c r="AS99" t="s">
        <v>2172</v>
      </c>
      <c r="AT99" t="s">
        <v>2173</v>
      </c>
      <c r="AU99">
        <v>2016</v>
      </c>
      <c r="AV99">
        <v>15</v>
      </c>
      <c r="AW99" t="s">
        <v>74</v>
      </c>
      <c r="AX99" t="s">
        <v>74</v>
      </c>
      <c r="AY99" t="s">
        <v>74</v>
      </c>
      <c r="AZ99" t="s">
        <v>74</v>
      </c>
      <c r="BA99" t="s">
        <v>74</v>
      </c>
      <c r="BB99" t="s">
        <v>74</v>
      </c>
      <c r="BC99" t="s">
        <v>74</v>
      </c>
      <c r="BD99">
        <v>76</v>
      </c>
      <c r="BE99" t="s">
        <v>2174</v>
      </c>
      <c r="BF99" t="str">
        <f>HYPERLINK("http://dx.doi.org/10.1186/s12934-016-0477-8","http://dx.doi.org/10.1186/s12934-016-0477-8")</f>
        <v>http://dx.doi.org/10.1186/s12934-016-0477-8</v>
      </c>
      <c r="BG99" t="s">
        <v>74</v>
      </c>
      <c r="BH99" t="s">
        <v>74</v>
      </c>
      <c r="BI99">
        <v>11</v>
      </c>
      <c r="BJ99" t="s">
        <v>1484</v>
      </c>
      <c r="BK99" t="s">
        <v>102</v>
      </c>
      <c r="BL99" t="s">
        <v>1484</v>
      </c>
      <c r="BM99" t="s">
        <v>2175</v>
      </c>
      <c r="BN99">
        <v>27154202</v>
      </c>
      <c r="BO99" t="s">
        <v>2176</v>
      </c>
      <c r="BP99" t="s">
        <v>74</v>
      </c>
      <c r="BQ99" t="s">
        <v>74</v>
      </c>
      <c r="BR99" t="s">
        <v>106</v>
      </c>
      <c r="BS99" t="s">
        <v>2177</v>
      </c>
      <c r="BT99" t="str">
        <f>HYPERLINK("https%3A%2F%2Fwww.webofscience.com%2Fwos%2Fwoscc%2Ffull-record%2FWOS:000375657100001","View Full Record in Web of Science")</f>
        <v>View Full Record in Web of Science</v>
      </c>
    </row>
    <row r="100" spans="1:72" x14ac:dyDescent="0.15">
      <c r="A100" t="s">
        <v>72</v>
      </c>
      <c r="B100" t="s">
        <v>2178</v>
      </c>
      <c r="C100" t="s">
        <v>74</v>
      </c>
      <c r="D100" t="s">
        <v>74</v>
      </c>
      <c r="E100" t="s">
        <v>74</v>
      </c>
      <c r="F100" t="s">
        <v>2179</v>
      </c>
      <c r="G100" t="s">
        <v>74</v>
      </c>
      <c r="H100" t="s">
        <v>74</v>
      </c>
      <c r="I100" t="s">
        <v>2180</v>
      </c>
      <c r="J100" t="s">
        <v>1196</v>
      </c>
      <c r="K100" t="s">
        <v>74</v>
      </c>
      <c r="L100" t="s">
        <v>74</v>
      </c>
      <c r="M100" t="s">
        <v>78</v>
      </c>
      <c r="N100" t="s">
        <v>79</v>
      </c>
      <c r="O100" t="s">
        <v>74</v>
      </c>
      <c r="P100" t="s">
        <v>74</v>
      </c>
      <c r="Q100" t="s">
        <v>74</v>
      </c>
      <c r="R100" t="s">
        <v>74</v>
      </c>
      <c r="S100" t="s">
        <v>74</v>
      </c>
      <c r="T100" t="s">
        <v>74</v>
      </c>
      <c r="U100" t="s">
        <v>2181</v>
      </c>
      <c r="V100" t="s">
        <v>2182</v>
      </c>
      <c r="W100" t="s">
        <v>2183</v>
      </c>
      <c r="X100" t="s">
        <v>2184</v>
      </c>
      <c r="Y100" t="s">
        <v>2185</v>
      </c>
      <c r="Z100" t="s">
        <v>2186</v>
      </c>
      <c r="AA100" t="s">
        <v>74</v>
      </c>
      <c r="AB100" t="s">
        <v>2187</v>
      </c>
      <c r="AC100" t="s">
        <v>2188</v>
      </c>
      <c r="AD100" t="s">
        <v>2189</v>
      </c>
      <c r="AE100" t="s">
        <v>2190</v>
      </c>
      <c r="AF100" t="s">
        <v>74</v>
      </c>
      <c r="AG100">
        <v>62</v>
      </c>
      <c r="AH100">
        <v>18</v>
      </c>
      <c r="AI100">
        <v>18</v>
      </c>
      <c r="AJ100">
        <v>1</v>
      </c>
      <c r="AK100">
        <v>30</v>
      </c>
      <c r="AL100" t="s">
        <v>1207</v>
      </c>
      <c r="AM100" t="s">
        <v>1208</v>
      </c>
      <c r="AN100" t="s">
        <v>1209</v>
      </c>
      <c r="AO100" t="s">
        <v>1210</v>
      </c>
      <c r="AP100" t="s">
        <v>74</v>
      </c>
      <c r="AQ100" t="s">
        <v>74</v>
      </c>
      <c r="AR100" t="s">
        <v>1196</v>
      </c>
      <c r="AS100" t="s">
        <v>1211</v>
      </c>
      <c r="AT100" t="s">
        <v>2191</v>
      </c>
      <c r="AU100">
        <v>2016</v>
      </c>
      <c r="AV100">
        <v>11</v>
      </c>
      <c r="AW100">
        <v>5</v>
      </c>
      <c r="AX100" t="s">
        <v>74</v>
      </c>
      <c r="AY100" t="s">
        <v>74</v>
      </c>
      <c r="AZ100" t="s">
        <v>74</v>
      </c>
      <c r="BA100" t="s">
        <v>74</v>
      </c>
      <c r="BB100" t="s">
        <v>74</v>
      </c>
      <c r="BC100" t="s">
        <v>74</v>
      </c>
      <c r="BD100" t="s">
        <v>2192</v>
      </c>
      <c r="BE100" t="s">
        <v>2193</v>
      </c>
      <c r="BF100" t="str">
        <f>HYPERLINK("http://dx.doi.org/10.1371/journal.pone.0154887","http://dx.doi.org/10.1371/journal.pone.0154887")</f>
        <v>http://dx.doi.org/10.1371/journal.pone.0154887</v>
      </c>
      <c r="BG100" t="s">
        <v>74</v>
      </c>
      <c r="BH100" t="s">
        <v>74</v>
      </c>
      <c r="BI100">
        <v>25</v>
      </c>
      <c r="BJ100" t="s">
        <v>753</v>
      </c>
      <c r="BK100" t="s">
        <v>102</v>
      </c>
      <c r="BL100" t="s">
        <v>754</v>
      </c>
      <c r="BM100" t="s">
        <v>2194</v>
      </c>
      <c r="BN100">
        <v>27144454</v>
      </c>
      <c r="BO100" t="s">
        <v>1684</v>
      </c>
      <c r="BP100" t="s">
        <v>74</v>
      </c>
      <c r="BQ100" t="s">
        <v>74</v>
      </c>
      <c r="BR100" t="s">
        <v>106</v>
      </c>
      <c r="BS100" t="s">
        <v>2195</v>
      </c>
      <c r="BT100" t="str">
        <f>HYPERLINK("https%3A%2F%2Fwww.webofscience.com%2Fwos%2Fwoscc%2Ffull-record%2FWOS:000375676400092","View Full Record in Web of Science")</f>
        <v>View Full Record in Web of Science</v>
      </c>
    </row>
    <row r="101" spans="1:72" x14ac:dyDescent="0.15">
      <c r="A101" t="s">
        <v>72</v>
      </c>
      <c r="B101" t="s">
        <v>2196</v>
      </c>
      <c r="C101" t="s">
        <v>74</v>
      </c>
      <c r="D101" t="s">
        <v>74</v>
      </c>
      <c r="E101" t="s">
        <v>74</v>
      </c>
      <c r="F101" t="s">
        <v>2197</v>
      </c>
      <c r="G101" t="s">
        <v>74</v>
      </c>
      <c r="H101" t="s">
        <v>74</v>
      </c>
      <c r="I101" t="s">
        <v>2198</v>
      </c>
      <c r="J101" t="s">
        <v>2199</v>
      </c>
      <c r="K101" t="s">
        <v>74</v>
      </c>
      <c r="L101" t="s">
        <v>74</v>
      </c>
      <c r="M101" t="s">
        <v>78</v>
      </c>
      <c r="N101" t="s">
        <v>79</v>
      </c>
      <c r="O101" t="s">
        <v>74</v>
      </c>
      <c r="P101" t="s">
        <v>74</v>
      </c>
      <c r="Q101" t="s">
        <v>74</v>
      </c>
      <c r="R101" t="s">
        <v>74</v>
      </c>
      <c r="S101" t="s">
        <v>74</v>
      </c>
      <c r="T101" t="s">
        <v>74</v>
      </c>
      <c r="U101" t="s">
        <v>74</v>
      </c>
      <c r="V101" t="s">
        <v>2200</v>
      </c>
      <c r="W101" t="s">
        <v>2201</v>
      </c>
      <c r="X101" t="s">
        <v>2202</v>
      </c>
      <c r="Y101" t="s">
        <v>2203</v>
      </c>
      <c r="Z101" t="s">
        <v>2204</v>
      </c>
      <c r="AA101" t="s">
        <v>2205</v>
      </c>
      <c r="AB101" t="s">
        <v>2206</v>
      </c>
      <c r="AC101" t="s">
        <v>2207</v>
      </c>
      <c r="AD101" t="s">
        <v>2208</v>
      </c>
      <c r="AE101" t="s">
        <v>2209</v>
      </c>
      <c r="AF101" t="s">
        <v>74</v>
      </c>
      <c r="AG101">
        <v>10</v>
      </c>
      <c r="AH101">
        <v>7</v>
      </c>
      <c r="AI101">
        <v>7</v>
      </c>
      <c r="AJ101">
        <v>1</v>
      </c>
      <c r="AK101">
        <v>44</v>
      </c>
      <c r="AL101" t="s">
        <v>454</v>
      </c>
      <c r="AM101" t="s">
        <v>455</v>
      </c>
      <c r="AN101" t="s">
        <v>456</v>
      </c>
      <c r="AO101" t="s">
        <v>2210</v>
      </c>
      <c r="AP101" t="s">
        <v>2211</v>
      </c>
      <c r="AQ101" t="s">
        <v>74</v>
      </c>
      <c r="AR101" t="s">
        <v>2212</v>
      </c>
      <c r="AS101" t="s">
        <v>2213</v>
      </c>
      <c r="AT101" t="s">
        <v>2214</v>
      </c>
      <c r="AU101">
        <v>2016</v>
      </c>
      <c r="AV101">
        <v>7</v>
      </c>
      <c r="AW101">
        <v>5</v>
      </c>
      <c r="AX101" t="s">
        <v>74</v>
      </c>
      <c r="AY101" t="s">
        <v>74</v>
      </c>
      <c r="AZ101" t="s">
        <v>74</v>
      </c>
      <c r="BA101" t="s">
        <v>74</v>
      </c>
      <c r="BB101">
        <v>437</v>
      </c>
      <c r="BC101">
        <v>445</v>
      </c>
      <c r="BD101" t="s">
        <v>74</v>
      </c>
      <c r="BE101" t="s">
        <v>2215</v>
      </c>
      <c r="BF101" t="str">
        <f>HYPERLINK("http://dx.doi.org/10.1080/2150704X.2016.1149252","http://dx.doi.org/10.1080/2150704X.2016.1149252")</f>
        <v>http://dx.doi.org/10.1080/2150704X.2016.1149252</v>
      </c>
      <c r="BG101" t="s">
        <v>74</v>
      </c>
      <c r="BH101" t="s">
        <v>74</v>
      </c>
      <c r="BI101">
        <v>9</v>
      </c>
      <c r="BJ101" t="s">
        <v>2216</v>
      </c>
      <c r="BK101" t="s">
        <v>102</v>
      </c>
      <c r="BL101" t="s">
        <v>2216</v>
      </c>
      <c r="BM101" t="s">
        <v>2217</v>
      </c>
      <c r="BN101" t="s">
        <v>74</v>
      </c>
      <c r="BO101" t="s">
        <v>74</v>
      </c>
      <c r="BP101" t="s">
        <v>74</v>
      </c>
      <c r="BQ101" t="s">
        <v>74</v>
      </c>
      <c r="BR101" t="s">
        <v>106</v>
      </c>
      <c r="BS101" t="s">
        <v>2218</v>
      </c>
      <c r="BT101" t="str">
        <f>HYPERLINK("https%3A%2F%2Fwww.webofscience.com%2Fwos%2Fwoscc%2Ffull-record%2FWOS:000370314000004","View Full Record in Web of Science")</f>
        <v>View Full Record in Web of Science</v>
      </c>
    </row>
    <row r="102" spans="1:72" x14ac:dyDescent="0.15">
      <c r="A102" t="s">
        <v>72</v>
      </c>
      <c r="B102" t="s">
        <v>2219</v>
      </c>
      <c r="C102" t="s">
        <v>74</v>
      </c>
      <c r="D102" t="s">
        <v>74</v>
      </c>
      <c r="E102" t="s">
        <v>74</v>
      </c>
      <c r="F102" t="s">
        <v>2220</v>
      </c>
      <c r="G102" t="s">
        <v>74</v>
      </c>
      <c r="H102" t="s">
        <v>74</v>
      </c>
      <c r="I102" t="s">
        <v>2221</v>
      </c>
      <c r="J102" t="s">
        <v>2222</v>
      </c>
      <c r="K102" t="s">
        <v>74</v>
      </c>
      <c r="L102" t="s">
        <v>74</v>
      </c>
      <c r="M102" t="s">
        <v>78</v>
      </c>
      <c r="N102" t="s">
        <v>79</v>
      </c>
      <c r="O102" t="s">
        <v>74</v>
      </c>
      <c r="P102" t="s">
        <v>74</v>
      </c>
      <c r="Q102" t="s">
        <v>74</v>
      </c>
      <c r="R102" t="s">
        <v>74</v>
      </c>
      <c r="S102" t="s">
        <v>74</v>
      </c>
      <c r="T102" t="s">
        <v>74</v>
      </c>
      <c r="U102" t="s">
        <v>2223</v>
      </c>
      <c r="V102" t="s">
        <v>2224</v>
      </c>
      <c r="W102" t="s">
        <v>2225</v>
      </c>
      <c r="X102" t="s">
        <v>2226</v>
      </c>
      <c r="Y102" t="s">
        <v>2227</v>
      </c>
      <c r="Z102" t="s">
        <v>2228</v>
      </c>
      <c r="AA102" t="s">
        <v>74</v>
      </c>
      <c r="AB102" t="s">
        <v>74</v>
      </c>
      <c r="AC102" t="s">
        <v>2229</v>
      </c>
      <c r="AD102" t="s">
        <v>2230</v>
      </c>
      <c r="AE102" t="s">
        <v>2231</v>
      </c>
      <c r="AF102" t="s">
        <v>74</v>
      </c>
      <c r="AG102">
        <v>79</v>
      </c>
      <c r="AH102">
        <v>24</v>
      </c>
      <c r="AI102">
        <v>25</v>
      </c>
      <c r="AJ102">
        <v>2</v>
      </c>
      <c r="AK102">
        <v>20</v>
      </c>
      <c r="AL102" t="s">
        <v>2232</v>
      </c>
      <c r="AM102" t="s">
        <v>2233</v>
      </c>
      <c r="AN102" t="s">
        <v>2234</v>
      </c>
      <c r="AO102" t="s">
        <v>2235</v>
      </c>
      <c r="AP102" t="s">
        <v>2236</v>
      </c>
      <c r="AQ102" t="s">
        <v>74</v>
      </c>
      <c r="AR102" t="s">
        <v>2237</v>
      </c>
      <c r="AS102" t="s">
        <v>2238</v>
      </c>
      <c r="AT102" t="s">
        <v>2239</v>
      </c>
      <c r="AU102">
        <v>2016</v>
      </c>
      <c r="AV102">
        <v>128</v>
      </c>
      <c r="AW102" t="s">
        <v>2240</v>
      </c>
      <c r="AX102" t="s">
        <v>74</v>
      </c>
      <c r="AY102" t="s">
        <v>74</v>
      </c>
      <c r="AZ102" t="s">
        <v>74</v>
      </c>
      <c r="BA102" t="s">
        <v>74</v>
      </c>
      <c r="BB102">
        <v>719</v>
      </c>
      <c r="BC102">
        <v>738</v>
      </c>
      <c r="BD102" t="s">
        <v>74</v>
      </c>
      <c r="BE102" t="s">
        <v>2241</v>
      </c>
      <c r="BF102" t="str">
        <f>HYPERLINK("http://dx.doi.org/10.1130/B31319.1","http://dx.doi.org/10.1130/B31319.1")</f>
        <v>http://dx.doi.org/10.1130/B31319.1</v>
      </c>
      <c r="BG102" t="s">
        <v>74</v>
      </c>
      <c r="BH102" t="s">
        <v>74</v>
      </c>
      <c r="BI102">
        <v>20</v>
      </c>
      <c r="BJ102" t="s">
        <v>269</v>
      </c>
      <c r="BK102" t="s">
        <v>102</v>
      </c>
      <c r="BL102" t="s">
        <v>270</v>
      </c>
      <c r="BM102" t="s">
        <v>2242</v>
      </c>
      <c r="BN102" t="s">
        <v>74</v>
      </c>
      <c r="BO102" t="s">
        <v>74</v>
      </c>
      <c r="BP102" t="s">
        <v>74</v>
      </c>
      <c r="BQ102" t="s">
        <v>74</v>
      </c>
      <c r="BR102" t="s">
        <v>106</v>
      </c>
      <c r="BS102" t="s">
        <v>2243</v>
      </c>
      <c r="BT102" t="str">
        <f>HYPERLINK("https%3A%2F%2Fwww.webofscience.com%2Fwos%2Fwoscc%2Ffull-record%2FWOS:000375212200002","View Full Record in Web of Science")</f>
        <v>View Full Record in Web of Science</v>
      </c>
    </row>
    <row r="103" spans="1:72" x14ac:dyDescent="0.15">
      <c r="A103" t="s">
        <v>72</v>
      </c>
      <c r="B103" t="s">
        <v>2244</v>
      </c>
      <c r="C103" t="s">
        <v>74</v>
      </c>
      <c r="D103" t="s">
        <v>74</v>
      </c>
      <c r="E103" t="s">
        <v>74</v>
      </c>
      <c r="F103" t="s">
        <v>2245</v>
      </c>
      <c r="G103" t="s">
        <v>74</v>
      </c>
      <c r="H103" t="s">
        <v>74</v>
      </c>
      <c r="I103" t="s">
        <v>2246</v>
      </c>
      <c r="J103" t="s">
        <v>2247</v>
      </c>
      <c r="K103" t="s">
        <v>74</v>
      </c>
      <c r="L103" t="s">
        <v>74</v>
      </c>
      <c r="M103" t="s">
        <v>2248</v>
      </c>
      <c r="N103" t="s">
        <v>79</v>
      </c>
      <c r="O103" t="s">
        <v>74</v>
      </c>
      <c r="P103" t="s">
        <v>74</v>
      </c>
      <c r="Q103" t="s">
        <v>74</v>
      </c>
      <c r="R103" t="s">
        <v>74</v>
      </c>
      <c r="S103" t="s">
        <v>74</v>
      </c>
      <c r="T103" t="s">
        <v>2249</v>
      </c>
      <c r="U103" t="s">
        <v>2250</v>
      </c>
      <c r="V103" t="s">
        <v>2251</v>
      </c>
      <c r="W103" t="s">
        <v>2252</v>
      </c>
      <c r="X103" t="s">
        <v>2253</v>
      </c>
      <c r="Y103" t="s">
        <v>2254</v>
      </c>
      <c r="Z103" t="s">
        <v>2255</v>
      </c>
      <c r="AA103" t="s">
        <v>74</v>
      </c>
      <c r="AB103" t="s">
        <v>74</v>
      </c>
      <c r="AC103" t="s">
        <v>74</v>
      </c>
      <c r="AD103" t="s">
        <v>74</v>
      </c>
      <c r="AE103" t="s">
        <v>74</v>
      </c>
      <c r="AF103" t="s">
        <v>74</v>
      </c>
      <c r="AG103">
        <v>112</v>
      </c>
      <c r="AH103">
        <v>5</v>
      </c>
      <c r="AI103">
        <v>5</v>
      </c>
      <c r="AJ103">
        <v>0</v>
      </c>
      <c r="AK103">
        <v>3</v>
      </c>
      <c r="AL103" t="s">
        <v>2256</v>
      </c>
      <c r="AM103" t="s">
        <v>2257</v>
      </c>
      <c r="AN103" t="s">
        <v>2258</v>
      </c>
      <c r="AO103" t="s">
        <v>2259</v>
      </c>
      <c r="AP103" t="s">
        <v>2260</v>
      </c>
      <c r="AQ103" t="s">
        <v>74</v>
      </c>
      <c r="AR103" t="s">
        <v>2261</v>
      </c>
      <c r="AS103" t="s">
        <v>2262</v>
      </c>
      <c r="AT103" t="s">
        <v>2263</v>
      </c>
      <c r="AU103">
        <v>2016</v>
      </c>
      <c r="AV103">
        <v>19</v>
      </c>
      <c r="AW103">
        <v>2</v>
      </c>
      <c r="AX103" t="s">
        <v>74</v>
      </c>
      <c r="AY103" t="s">
        <v>74</v>
      </c>
      <c r="AZ103" t="s">
        <v>74</v>
      </c>
      <c r="BA103" t="s">
        <v>74</v>
      </c>
      <c r="BB103">
        <v>283</v>
      </c>
      <c r="BC103">
        <v>302</v>
      </c>
      <c r="BD103" t="s">
        <v>74</v>
      </c>
      <c r="BE103" t="s">
        <v>2264</v>
      </c>
      <c r="BF103" t="str">
        <f>HYPERLINK("http://dx.doi.org/10.4072/rbp.2016.2.11","http://dx.doi.org/10.4072/rbp.2016.2.11")</f>
        <v>http://dx.doi.org/10.4072/rbp.2016.2.11</v>
      </c>
      <c r="BG103" t="s">
        <v>74</v>
      </c>
      <c r="BH103" t="s">
        <v>74</v>
      </c>
      <c r="BI103">
        <v>20</v>
      </c>
      <c r="BJ103" t="s">
        <v>2265</v>
      </c>
      <c r="BK103" t="s">
        <v>102</v>
      </c>
      <c r="BL103" t="s">
        <v>2265</v>
      </c>
      <c r="BM103" t="s">
        <v>2266</v>
      </c>
      <c r="BN103" t="s">
        <v>74</v>
      </c>
      <c r="BO103" t="s">
        <v>842</v>
      </c>
      <c r="BP103" t="s">
        <v>74</v>
      </c>
      <c r="BQ103" t="s">
        <v>74</v>
      </c>
      <c r="BR103" t="s">
        <v>106</v>
      </c>
      <c r="BS103" t="s">
        <v>2267</v>
      </c>
      <c r="BT103" t="str">
        <f>HYPERLINK("https%3A%2F%2Fwww.webofscience.com%2Fwos%2Fwoscc%2Ffull-record%2FWOS:000385471900011","View Full Record in Web of Science")</f>
        <v>View Full Record in Web of Science</v>
      </c>
    </row>
    <row r="104" spans="1:72" x14ac:dyDescent="0.15">
      <c r="A104" t="s">
        <v>72</v>
      </c>
      <c r="B104" t="s">
        <v>2268</v>
      </c>
      <c r="C104" t="s">
        <v>74</v>
      </c>
      <c r="D104" t="s">
        <v>74</v>
      </c>
      <c r="E104" t="s">
        <v>74</v>
      </c>
      <c r="F104" t="s">
        <v>2269</v>
      </c>
      <c r="G104" t="s">
        <v>74</v>
      </c>
      <c r="H104" t="s">
        <v>74</v>
      </c>
      <c r="I104" t="s">
        <v>2270</v>
      </c>
      <c r="J104" t="s">
        <v>2271</v>
      </c>
      <c r="K104" t="s">
        <v>74</v>
      </c>
      <c r="L104" t="s">
        <v>74</v>
      </c>
      <c r="M104" t="s">
        <v>78</v>
      </c>
      <c r="N104" t="s">
        <v>949</v>
      </c>
      <c r="O104" t="s">
        <v>74</v>
      </c>
      <c r="P104" t="s">
        <v>74</v>
      </c>
      <c r="Q104" t="s">
        <v>74</v>
      </c>
      <c r="R104" t="s">
        <v>74</v>
      </c>
      <c r="S104" t="s">
        <v>74</v>
      </c>
      <c r="T104" t="s">
        <v>74</v>
      </c>
      <c r="U104" t="s">
        <v>74</v>
      </c>
      <c r="V104" t="s">
        <v>2272</v>
      </c>
      <c r="W104" t="s">
        <v>2273</v>
      </c>
      <c r="X104" t="s">
        <v>74</v>
      </c>
      <c r="Y104" t="s">
        <v>2274</v>
      </c>
      <c r="Z104" t="s">
        <v>2275</v>
      </c>
      <c r="AA104" t="s">
        <v>74</v>
      </c>
      <c r="AB104" t="s">
        <v>2276</v>
      </c>
      <c r="AC104" t="s">
        <v>74</v>
      </c>
      <c r="AD104" t="s">
        <v>74</v>
      </c>
      <c r="AE104" t="s">
        <v>74</v>
      </c>
      <c r="AF104" t="s">
        <v>74</v>
      </c>
      <c r="AG104">
        <v>34</v>
      </c>
      <c r="AH104">
        <v>6</v>
      </c>
      <c r="AI104">
        <v>6</v>
      </c>
      <c r="AJ104">
        <v>0</v>
      </c>
      <c r="AK104">
        <v>7</v>
      </c>
      <c r="AL104" t="s">
        <v>1657</v>
      </c>
      <c r="AM104" t="s">
        <v>679</v>
      </c>
      <c r="AN104" t="s">
        <v>1658</v>
      </c>
      <c r="AO104" t="s">
        <v>2277</v>
      </c>
      <c r="AP104" t="s">
        <v>2278</v>
      </c>
      <c r="AQ104" t="s">
        <v>74</v>
      </c>
      <c r="AR104" t="s">
        <v>2279</v>
      </c>
      <c r="AS104" t="s">
        <v>2280</v>
      </c>
      <c r="AT104" t="s">
        <v>2239</v>
      </c>
      <c r="AU104">
        <v>2016</v>
      </c>
      <c r="AV104">
        <v>27</v>
      </c>
      <c r="AW104">
        <v>2</v>
      </c>
      <c r="AX104" t="s">
        <v>74</v>
      </c>
      <c r="AY104" t="s">
        <v>74</v>
      </c>
      <c r="AZ104" t="s">
        <v>74</v>
      </c>
      <c r="BA104" t="s">
        <v>74</v>
      </c>
      <c r="BB104">
        <v>497</v>
      </c>
      <c r="BC104">
        <v>518</v>
      </c>
      <c r="BD104" t="s">
        <v>74</v>
      </c>
      <c r="BE104" t="s">
        <v>2281</v>
      </c>
      <c r="BF104" t="str">
        <f>HYPERLINK("http://dx.doi.org/10.1093/ejil/chw013","http://dx.doi.org/10.1093/ejil/chw013")</f>
        <v>http://dx.doi.org/10.1093/ejil/chw013</v>
      </c>
      <c r="BG104" t="s">
        <v>74</v>
      </c>
      <c r="BH104" t="s">
        <v>74</v>
      </c>
      <c r="BI104">
        <v>22</v>
      </c>
      <c r="BJ104" t="s">
        <v>2282</v>
      </c>
      <c r="BK104" t="s">
        <v>687</v>
      </c>
      <c r="BL104" t="s">
        <v>2283</v>
      </c>
      <c r="BM104" t="s">
        <v>2284</v>
      </c>
      <c r="BN104" t="s">
        <v>74</v>
      </c>
      <c r="BO104" t="s">
        <v>222</v>
      </c>
      <c r="BP104" t="s">
        <v>74</v>
      </c>
      <c r="BQ104" t="s">
        <v>74</v>
      </c>
      <c r="BR104" t="s">
        <v>106</v>
      </c>
      <c r="BS104" t="s">
        <v>2285</v>
      </c>
      <c r="BT104" t="str">
        <f>HYPERLINK("https%3A%2F%2Fwww.webofscience.com%2Fwos%2Fwoscc%2Ffull-record%2FWOS:000383156700012","View Full Record in Web of Science")</f>
        <v>View Full Record in Web of Science</v>
      </c>
    </row>
    <row r="105" spans="1:72" x14ac:dyDescent="0.15">
      <c r="A105" t="s">
        <v>72</v>
      </c>
      <c r="B105" t="s">
        <v>2286</v>
      </c>
      <c r="C105" t="s">
        <v>74</v>
      </c>
      <c r="D105" t="s">
        <v>74</v>
      </c>
      <c r="E105" t="s">
        <v>74</v>
      </c>
      <c r="F105" t="s">
        <v>2287</v>
      </c>
      <c r="G105" t="s">
        <v>74</v>
      </c>
      <c r="H105" t="s">
        <v>74</v>
      </c>
      <c r="I105" t="s">
        <v>2288</v>
      </c>
      <c r="J105" t="s">
        <v>344</v>
      </c>
      <c r="K105" t="s">
        <v>74</v>
      </c>
      <c r="L105" t="s">
        <v>74</v>
      </c>
      <c r="M105" t="s">
        <v>78</v>
      </c>
      <c r="N105" t="s">
        <v>79</v>
      </c>
      <c r="O105" t="s">
        <v>74</v>
      </c>
      <c r="P105" t="s">
        <v>74</v>
      </c>
      <c r="Q105" t="s">
        <v>74</v>
      </c>
      <c r="R105" t="s">
        <v>74</v>
      </c>
      <c r="S105" t="s">
        <v>74</v>
      </c>
      <c r="T105" t="s">
        <v>74</v>
      </c>
      <c r="U105" t="s">
        <v>2289</v>
      </c>
      <c r="V105" t="s">
        <v>2290</v>
      </c>
      <c r="W105" t="s">
        <v>2291</v>
      </c>
      <c r="X105" t="s">
        <v>2292</v>
      </c>
      <c r="Y105" t="s">
        <v>2293</v>
      </c>
      <c r="Z105" t="s">
        <v>2294</v>
      </c>
      <c r="AA105" t="s">
        <v>74</v>
      </c>
      <c r="AB105" t="s">
        <v>74</v>
      </c>
      <c r="AC105" t="s">
        <v>2295</v>
      </c>
      <c r="AD105" t="s">
        <v>2296</v>
      </c>
      <c r="AE105" t="s">
        <v>2297</v>
      </c>
      <c r="AF105" t="s">
        <v>74</v>
      </c>
      <c r="AG105">
        <v>50</v>
      </c>
      <c r="AH105">
        <v>10</v>
      </c>
      <c r="AI105">
        <v>10</v>
      </c>
      <c r="AJ105">
        <v>0</v>
      </c>
      <c r="AK105">
        <v>6</v>
      </c>
      <c r="AL105" t="s">
        <v>92</v>
      </c>
      <c r="AM105" t="s">
        <v>93</v>
      </c>
      <c r="AN105" t="s">
        <v>94</v>
      </c>
      <c r="AO105" t="s">
        <v>356</v>
      </c>
      <c r="AP105" t="s">
        <v>357</v>
      </c>
      <c r="AQ105" t="s">
        <v>74</v>
      </c>
      <c r="AR105" t="s">
        <v>358</v>
      </c>
      <c r="AS105" t="s">
        <v>359</v>
      </c>
      <c r="AT105" t="s">
        <v>2239</v>
      </c>
      <c r="AU105">
        <v>2016</v>
      </c>
      <c r="AV105">
        <v>121</v>
      </c>
      <c r="AW105">
        <v>5</v>
      </c>
      <c r="AX105" t="s">
        <v>74</v>
      </c>
      <c r="AY105" t="s">
        <v>74</v>
      </c>
      <c r="AZ105" t="s">
        <v>74</v>
      </c>
      <c r="BA105" t="s">
        <v>74</v>
      </c>
      <c r="BB105">
        <v>2874</v>
      </c>
      <c r="BC105">
        <v>2886</v>
      </c>
      <c r="BD105" t="s">
        <v>74</v>
      </c>
      <c r="BE105" t="s">
        <v>2298</v>
      </c>
      <c r="BF105" t="str">
        <f>HYPERLINK("http://dx.doi.org/10.1002/2015JC011488","http://dx.doi.org/10.1002/2015JC011488")</f>
        <v>http://dx.doi.org/10.1002/2015JC011488</v>
      </c>
      <c r="BG105" t="s">
        <v>74</v>
      </c>
      <c r="BH105" t="s">
        <v>74</v>
      </c>
      <c r="BI105">
        <v>13</v>
      </c>
      <c r="BJ105" t="s">
        <v>361</v>
      </c>
      <c r="BK105" t="s">
        <v>102</v>
      </c>
      <c r="BL105" t="s">
        <v>361</v>
      </c>
      <c r="BM105" t="s">
        <v>2299</v>
      </c>
      <c r="BN105" t="s">
        <v>74</v>
      </c>
      <c r="BO105" t="s">
        <v>420</v>
      </c>
      <c r="BP105" t="s">
        <v>74</v>
      </c>
      <c r="BQ105" t="s">
        <v>74</v>
      </c>
      <c r="BR105" t="s">
        <v>106</v>
      </c>
      <c r="BS105" t="s">
        <v>2300</v>
      </c>
      <c r="BT105" t="str">
        <f>HYPERLINK("https%3A%2F%2Fwww.webofscience.com%2Fwos%2Fwoscc%2Ffull-record%2FWOS:000383466500003","View Full Record in Web of Science")</f>
        <v>View Full Record in Web of Science</v>
      </c>
    </row>
    <row r="106" spans="1:72" x14ac:dyDescent="0.15">
      <c r="A106" t="s">
        <v>72</v>
      </c>
      <c r="B106" t="s">
        <v>2301</v>
      </c>
      <c r="C106" t="s">
        <v>74</v>
      </c>
      <c r="D106" t="s">
        <v>74</v>
      </c>
      <c r="E106" t="s">
        <v>74</v>
      </c>
      <c r="F106" t="s">
        <v>2302</v>
      </c>
      <c r="G106" t="s">
        <v>74</v>
      </c>
      <c r="H106" t="s">
        <v>74</v>
      </c>
      <c r="I106" t="s">
        <v>2303</v>
      </c>
      <c r="J106" t="s">
        <v>344</v>
      </c>
      <c r="K106" t="s">
        <v>74</v>
      </c>
      <c r="L106" t="s">
        <v>74</v>
      </c>
      <c r="M106" t="s">
        <v>78</v>
      </c>
      <c r="N106" t="s">
        <v>79</v>
      </c>
      <c r="O106" t="s">
        <v>74</v>
      </c>
      <c r="P106" t="s">
        <v>74</v>
      </c>
      <c r="Q106" t="s">
        <v>74</v>
      </c>
      <c r="R106" t="s">
        <v>74</v>
      </c>
      <c r="S106" t="s">
        <v>74</v>
      </c>
      <c r="T106" t="s">
        <v>74</v>
      </c>
      <c r="U106" t="s">
        <v>2304</v>
      </c>
      <c r="V106" t="s">
        <v>2305</v>
      </c>
      <c r="W106" t="s">
        <v>2306</v>
      </c>
      <c r="X106" t="s">
        <v>2307</v>
      </c>
      <c r="Y106" t="s">
        <v>2308</v>
      </c>
      <c r="Z106" t="s">
        <v>2309</v>
      </c>
      <c r="AA106" t="s">
        <v>2310</v>
      </c>
      <c r="AB106" t="s">
        <v>2311</v>
      </c>
      <c r="AC106" t="s">
        <v>2312</v>
      </c>
      <c r="AD106" t="s">
        <v>2313</v>
      </c>
      <c r="AE106" t="s">
        <v>2314</v>
      </c>
      <c r="AF106" t="s">
        <v>74</v>
      </c>
      <c r="AG106">
        <v>44</v>
      </c>
      <c r="AH106">
        <v>17</v>
      </c>
      <c r="AI106">
        <v>22</v>
      </c>
      <c r="AJ106">
        <v>1</v>
      </c>
      <c r="AK106">
        <v>6</v>
      </c>
      <c r="AL106" t="s">
        <v>92</v>
      </c>
      <c r="AM106" t="s">
        <v>93</v>
      </c>
      <c r="AN106" t="s">
        <v>94</v>
      </c>
      <c r="AO106" t="s">
        <v>356</v>
      </c>
      <c r="AP106" t="s">
        <v>357</v>
      </c>
      <c r="AQ106" t="s">
        <v>74</v>
      </c>
      <c r="AR106" t="s">
        <v>358</v>
      </c>
      <c r="AS106" t="s">
        <v>359</v>
      </c>
      <c r="AT106" t="s">
        <v>2239</v>
      </c>
      <c r="AU106">
        <v>2016</v>
      </c>
      <c r="AV106">
        <v>121</v>
      </c>
      <c r="AW106">
        <v>5</v>
      </c>
      <c r="AX106" t="s">
        <v>74</v>
      </c>
      <c r="AY106" t="s">
        <v>74</v>
      </c>
      <c r="AZ106" t="s">
        <v>74</v>
      </c>
      <c r="BA106" t="s">
        <v>74</v>
      </c>
      <c r="BB106">
        <v>3141</v>
      </c>
      <c r="BC106">
        <v>3158</v>
      </c>
      <c r="BD106" t="s">
        <v>74</v>
      </c>
      <c r="BE106" t="s">
        <v>2315</v>
      </c>
      <c r="BF106" t="str">
        <f>HYPERLINK("http://dx.doi.org/10.1002/2016JC011638","http://dx.doi.org/10.1002/2016JC011638")</f>
        <v>http://dx.doi.org/10.1002/2016JC011638</v>
      </c>
      <c r="BG106" t="s">
        <v>74</v>
      </c>
      <c r="BH106" t="s">
        <v>74</v>
      </c>
      <c r="BI106">
        <v>18</v>
      </c>
      <c r="BJ106" t="s">
        <v>361</v>
      </c>
      <c r="BK106" t="s">
        <v>102</v>
      </c>
      <c r="BL106" t="s">
        <v>361</v>
      </c>
      <c r="BM106" t="s">
        <v>2299</v>
      </c>
      <c r="BN106" t="s">
        <v>74</v>
      </c>
      <c r="BO106" t="s">
        <v>842</v>
      </c>
      <c r="BP106" t="s">
        <v>74</v>
      </c>
      <c r="BQ106" t="s">
        <v>74</v>
      </c>
      <c r="BR106" t="s">
        <v>106</v>
      </c>
      <c r="BS106" t="s">
        <v>2316</v>
      </c>
      <c r="BT106" t="str">
        <f>HYPERLINK("https%3A%2F%2Fwww.webofscience.com%2Fwos%2Fwoscc%2Ffull-record%2FWOS:000383466500018","View Full Record in Web of Science")</f>
        <v>View Full Record in Web of Science</v>
      </c>
    </row>
    <row r="107" spans="1:72" x14ac:dyDescent="0.15">
      <c r="A107" t="s">
        <v>72</v>
      </c>
      <c r="B107" t="s">
        <v>2317</v>
      </c>
      <c r="C107" t="s">
        <v>74</v>
      </c>
      <c r="D107" t="s">
        <v>74</v>
      </c>
      <c r="E107" t="s">
        <v>74</v>
      </c>
      <c r="F107" t="s">
        <v>2318</v>
      </c>
      <c r="G107" t="s">
        <v>74</v>
      </c>
      <c r="H107" t="s">
        <v>74</v>
      </c>
      <c r="I107" t="s">
        <v>2319</v>
      </c>
      <c r="J107" t="s">
        <v>344</v>
      </c>
      <c r="K107" t="s">
        <v>74</v>
      </c>
      <c r="L107" t="s">
        <v>74</v>
      </c>
      <c r="M107" t="s">
        <v>78</v>
      </c>
      <c r="N107" t="s">
        <v>79</v>
      </c>
      <c r="O107" t="s">
        <v>74</v>
      </c>
      <c r="P107" t="s">
        <v>74</v>
      </c>
      <c r="Q107" t="s">
        <v>74</v>
      </c>
      <c r="R107" t="s">
        <v>74</v>
      </c>
      <c r="S107" t="s">
        <v>74</v>
      </c>
      <c r="T107" t="s">
        <v>74</v>
      </c>
      <c r="U107" t="s">
        <v>2320</v>
      </c>
      <c r="V107" t="s">
        <v>2321</v>
      </c>
      <c r="W107" t="s">
        <v>2322</v>
      </c>
      <c r="X107" t="s">
        <v>2323</v>
      </c>
      <c r="Y107" t="s">
        <v>2324</v>
      </c>
      <c r="Z107" t="s">
        <v>2325</v>
      </c>
      <c r="AA107" t="s">
        <v>2326</v>
      </c>
      <c r="AB107" t="s">
        <v>2327</v>
      </c>
      <c r="AC107" t="s">
        <v>2328</v>
      </c>
      <c r="AD107" t="s">
        <v>2329</v>
      </c>
      <c r="AE107" t="s">
        <v>2330</v>
      </c>
      <c r="AF107" t="s">
        <v>74</v>
      </c>
      <c r="AG107">
        <v>47</v>
      </c>
      <c r="AH107">
        <v>15</v>
      </c>
      <c r="AI107">
        <v>15</v>
      </c>
      <c r="AJ107">
        <v>0</v>
      </c>
      <c r="AK107">
        <v>3</v>
      </c>
      <c r="AL107" t="s">
        <v>92</v>
      </c>
      <c r="AM107" t="s">
        <v>93</v>
      </c>
      <c r="AN107" t="s">
        <v>94</v>
      </c>
      <c r="AO107" t="s">
        <v>356</v>
      </c>
      <c r="AP107" t="s">
        <v>357</v>
      </c>
      <c r="AQ107" t="s">
        <v>74</v>
      </c>
      <c r="AR107" t="s">
        <v>358</v>
      </c>
      <c r="AS107" t="s">
        <v>359</v>
      </c>
      <c r="AT107" t="s">
        <v>2239</v>
      </c>
      <c r="AU107">
        <v>2016</v>
      </c>
      <c r="AV107">
        <v>121</v>
      </c>
      <c r="AW107">
        <v>5</v>
      </c>
      <c r="AX107" t="s">
        <v>74</v>
      </c>
      <c r="AY107" t="s">
        <v>74</v>
      </c>
      <c r="AZ107" t="s">
        <v>74</v>
      </c>
      <c r="BA107" t="s">
        <v>74</v>
      </c>
      <c r="BB107">
        <v>3337</v>
      </c>
      <c r="BC107">
        <v>3349</v>
      </c>
      <c r="BD107" t="s">
        <v>74</v>
      </c>
      <c r="BE107" t="s">
        <v>2331</v>
      </c>
      <c r="BF107" t="str">
        <f>HYPERLINK("http://dx.doi.org/10.1002/2015JC011402","http://dx.doi.org/10.1002/2015JC011402")</f>
        <v>http://dx.doi.org/10.1002/2015JC011402</v>
      </c>
      <c r="BG107" t="s">
        <v>74</v>
      </c>
      <c r="BH107" t="s">
        <v>74</v>
      </c>
      <c r="BI107">
        <v>13</v>
      </c>
      <c r="BJ107" t="s">
        <v>361</v>
      </c>
      <c r="BK107" t="s">
        <v>102</v>
      </c>
      <c r="BL107" t="s">
        <v>361</v>
      </c>
      <c r="BM107" t="s">
        <v>2299</v>
      </c>
      <c r="BN107" t="s">
        <v>74</v>
      </c>
      <c r="BO107" t="s">
        <v>293</v>
      </c>
      <c r="BP107" t="s">
        <v>74</v>
      </c>
      <c r="BQ107" t="s">
        <v>74</v>
      </c>
      <c r="BR107" t="s">
        <v>106</v>
      </c>
      <c r="BS107" t="s">
        <v>2332</v>
      </c>
      <c r="BT107" t="str">
        <f>HYPERLINK("https%3A%2F%2Fwww.webofscience.com%2Fwos%2Fwoscc%2Ffull-record%2FWOS:000383466500030","View Full Record in Web of Science")</f>
        <v>View Full Record in Web of Science</v>
      </c>
    </row>
    <row r="108" spans="1:72" x14ac:dyDescent="0.15">
      <c r="A108" t="s">
        <v>72</v>
      </c>
      <c r="B108" t="s">
        <v>2333</v>
      </c>
      <c r="C108" t="s">
        <v>74</v>
      </c>
      <c r="D108" t="s">
        <v>74</v>
      </c>
      <c r="E108" t="s">
        <v>74</v>
      </c>
      <c r="F108" t="s">
        <v>2334</v>
      </c>
      <c r="G108" t="s">
        <v>74</v>
      </c>
      <c r="H108" t="s">
        <v>74</v>
      </c>
      <c r="I108" t="s">
        <v>2335</v>
      </c>
      <c r="J108" t="s">
        <v>344</v>
      </c>
      <c r="K108" t="s">
        <v>74</v>
      </c>
      <c r="L108" t="s">
        <v>74</v>
      </c>
      <c r="M108" t="s">
        <v>78</v>
      </c>
      <c r="N108" t="s">
        <v>79</v>
      </c>
      <c r="O108" t="s">
        <v>74</v>
      </c>
      <c r="P108" t="s">
        <v>74</v>
      </c>
      <c r="Q108" t="s">
        <v>74</v>
      </c>
      <c r="R108" t="s">
        <v>74</v>
      </c>
      <c r="S108" t="s">
        <v>74</v>
      </c>
      <c r="T108" t="s">
        <v>74</v>
      </c>
      <c r="U108" t="s">
        <v>2336</v>
      </c>
      <c r="V108" t="s">
        <v>2337</v>
      </c>
      <c r="W108" t="s">
        <v>2338</v>
      </c>
      <c r="X108" t="s">
        <v>2339</v>
      </c>
      <c r="Y108" t="s">
        <v>2340</v>
      </c>
      <c r="Z108" t="s">
        <v>2341</v>
      </c>
      <c r="AA108" t="s">
        <v>2342</v>
      </c>
      <c r="AB108" t="s">
        <v>2343</v>
      </c>
      <c r="AC108" t="s">
        <v>2344</v>
      </c>
      <c r="AD108" t="s">
        <v>2345</v>
      </c>
      <c r="AE108" t="s">
        <v>2346</v>
      </c>
      <c r="AF108" t="s">
        <v>74</v>
      </c>
      <c r="AG108">
        <v>63</v>
      </c>
      <c r="AH108">
        <v>18</v>
      </c>
      <c r="AI108">
        <v>18</v>
      </c>
      <c r="AJ108">
        <v>1</v>
      </c>
      <c r="AK108">
        <v>15</v>
      </c>
      <c r="AL108" t="s">
        <v>92</v>
      </c>
      <c r="AM108" t="s">
        <v>93</v>
      </c>
      <c r="AN108" t="s">
        <v>94</v>
      </c>
      <c r="AO108" t="s">
        <v>356</v>
      </c>
      <c r="AP108" t="s">
        <v>357</v>
      </c>
      <c r="AQ108" t="s">
        <v>74</v>
      </c>
      <c r="AR108" t="s">
        <v>358</v>
      </c>
      <c r="AS108" t="s">
        <v>359</v>
      </c>
      <c r="AT108" t="s">
        <v>2239</v>
      </c>
      <c r="AU108">
        <v>2016</v>
      </c>
      <c r="AV108">
        <v>121</v>
      </c>
      <c r="AW108">
        <v>5</v>
      </c>
      <c r="AX108" t="s">
        <v>74</v>
      </c>
      <c r="AY108" t="s">
        <v>74</v>
      </c>
      <c r="AZ108" t="s">
        <v>74</v>
      </c>
      <c r="BA108" t="s">
        <v>74</v>
      </c>
      <c r="BB108">
        <v>3465</v>
      </c>
      <c r="BC108">
        <v>3487</v>
      </c>
      <c r="BD108" t="s">
        <v>74</v>
      </c>
      <c r="BE108" t="s">
        <v>2347</v>
      </c>
      <c r="BF108" t="str">
        <f>HYPERLINK("http://dx.doi.org/10.1002/2015JC011417","http://dx.doi.org/10.1002/2015JC011417")</f>
        <v>http://dx.doi.org/10.1002/2015JC011417</v>
      </c>
      <c r="BG108" t="s">
        <v>74</v>
      </c>
      <c r="BH108" t="s">
        <v>74</v>
      </c>
      <c r="BI108">
        <v>23</v>
      </c>
      <c r="BJ108" t="s">
        <v>361</v>
      </c>
      <c r="BK108" t="s">
        <v>102</v>
      </c>
      <c r="BL108" t="s">
        <v>361</v>
      </c>
      <c r="BM108" t="s">
        <v>2299</v>
      </c>
      <c r="BN108" t="s">
        <v>74</v>
      </c>
      <c r="BO108" t="s">
        <v>2348</v>
      </c>
      <c r="BP108" t="s">
        <v>74</v>
      </c>
      <c r="BQ108" t="s">
        <v>74</v>
      </c>
      <c r="BR108" t="s">
        <v>106</v>
      </c>
      <c r="BS108" t="s">
        <v>2349</v>
      </c>
      <c r="BT108" t="str">
        <f>HYPERLINK("https%3A%2F%2Fwww.webofscience.com%2Fwos%2Fwoscc%2Ffull-record%2FWOS:000383466500039","View Full Record in Web of Science")</f>
        <v>View Full Record in Web of Science</v>
      </c>
    </row>
    <row r="109" spans="1:72" x14ac:dyDescent="0.15">
      <c r="A109" t="s">
        <v>72</v>
      </c>
      <c r="B109" t="s">
        <v>2350</v>
      </c>
      <c r="C109" t="s">
        <v>74</v>
      </c>
      <c r="D109" t="s">
        <v>74</v>
      </c>
      <c r="E109" t="s">
        <v>74</v>
      </c>
      <c r="F109" t="s">
        <v>2351</v>
      </c>
      <c r="G109" t="s">
        <v>74</v>
      </c>
      <c r="H109" t="s">
        <v>74</v>
      </c>
      <c r="I109" t="s">
        <v>2352</v>
      </c>
      <c r="J109" t="s">
        <v>2353</v>
      </c>
      <c r="K109" t="s">
        <v>74</v>
      </c>
      <c r="L109" t="s">
        <v>74</v>
      </c>
      <c r="M109" t="s">
        <v>78</v>
      </c>
      <c r="N109" t="s">
        <v>79</v>
      </c>
      <c r="O109" t="s">
        <v>74</v>
      </c>
      <c r="P109" t="s">
        <v>74</v>
      </c>
      <c r="Q109" t="s">
        <v>74</v>
      </c>
      <c r="R109" t="s">
        <v>74</v>
      </c>
      <c r="S109" t="s">
        <v>74</v>
      </c>
      <c r="T109" t="s">
        <v>2354</v>
      </c>
      <c r="U109" t="s">
        <v>74</v>
      </c>
      <c r="V109" t="s">
        <v>2355</v>
      </c>
      <c r="W109" t="s">
        <v>2356</v>
      </c>
      <c r="X109" t="s">
        <v>2357</v>
      </c>
      <c r="Y109" t="s">
        <v>2358</v>
      </c>
      <c r="Z109" t="s">
        <v>2359</v>
      </c>
      <c r="AA109" t="s">
        <v>2360</v>
      </c>
      <c r="AB109" t="s">
        <v>74</v>
      </c>
      <c r="AC109" t="s">
        <v>74</v>
      </c>
      <c r="AD109" t="s">
        <v>74</v>
      </c>
      <c r="AE109" t="s">
        <v>74</v>
      </c>
      <c r="AF109" t="s">
        <v>74</v>
      </c>
      <c r="AG109">
        <v>21</v>
      </c>
      <c r="AH109">
        <v>3</v>
      </c>
      <c r="AI109">
        <v>4</v>
      </c>
      <c r="AJ109">
        <v>1</v>
      </c>
      <c r="AK109">
        <v>3</v>
      </c>
      <c r="AL109" t="s">
        <v>2361</v>
      </c>
      <c r="AM109" t="s">
        <v>262</v>
      </c>
      <c r="AN109" t="s">
        <v>2362</v>
      </c>
      <c r="AO109" t="s">
        <v>2363</v>
      </c>
      <c r="AP109" t="s">
        <v>2364</v>
      </c>
      <c r="AQ109" t="s">
        <v>74</v>
      </c>
      <c r="AR109" t="s">
        <v>2365</v>
      </c>
      <c r="AS109" t="s">
        <v>2366</v>
      </c>
      <c r="AT109" t="s">
        <v>2239</v>
      </c>
      <c r="AU109">
        <v>2016</v>
      </c>
      <c r="AV109">
        <v>43</v>
      </c>
      <c r="AW109">
        <v>3</v>
      </c>
      <c r="AX109" t="s">
        <v>74</v>
      </c>
      <c r="AY109" t="s">
        <v>74</v>
      </c>
      <c r="AZ109" t="s">
        <v>74</v>
      </c>
      <c r="BA109" t="s">
        <v>74</v>
      </c>
      <c r="BB109">
        <v>533</v>
      </c>
      <c r="BC109">
        <v>538</v>
      </c>
      <c r="BD109" t="s">
        <v>74</v>
      </c>
      <c r="BE109" t="s">
        <v>2367</v>
      </c>
      <c r="BF109" t="str">
        <f>HYPERLINK("http://dx.doi.org/10.1134/S0097807816030039","http://dx.doi.org/10.1134/S0097807816030039")</f>
        <v>http://dx.doi.org/10.1134/S0097807816030039</v>
      </c>
      <c r="BG109" t="s">
        <v>74</v>
      </c>
      <c r="BH109" t="s">
        <v>74</v>
      </c>
      <c r="BI109">
        <v>6</v>
      </c>
      <c r="BJ109" t="s">
        <v>2368</v>
      </c>
      <c r="BK109" t="s">
        <v>102</v>
      </c>
      <c r="BL109" t="s">
        <v>2368</v>
      </c>
      <c r="BM109" t="s">
        <v>2369</v>
      </c>
      <c r="BN109" t="s">
        <v>74</v>
      </c>
      <c r="BO109" t="s">
        <v>74</v>
      </c>
      <c r="BP109" t="s">
        <v>74</v>
      </c>
      <c r="BQ109" t="s">
        <v>74</v>
      </c>
      <c r="BR109" t="s">
        <v>106</v>
      </c>
      <c r="BS109" t="s">
        <v>2370</v>
      </c>
      <c r="BT109" t="str">
        <f>HYPERLINK("https%3A%2F%2Fwww.webofscience.com%2Fwos%2Fwoscc%2Ffull-record%2FWOS:000384141600012","View Full Record in Web of Science")</f>
        <v>View Full Record in Web of Science</v>
      </c>
    </row>
    <row r="110" spans="1:72" x14ac:dyDescent="0.15">
      <c r="A110" t="s">
        <v>72</v>
      </c>
      <c r="B110" t="s">
        <v>2371</v>
      </c>
      <c r="C110" t="s">
        <v>74</v>
      </c>
      <c r="D110" t="s">
        <v>74</v>
      </c>
      <c r="E110" t="s">
        <v>74</v>
      </c>
      <c r="F110" t="s">
        <v>2372</v>
      </c>
      <c r="G110" t="s">
        <v>74</v>
      </c>
      <c r="H110" t="s">
        <v>74</v>
      </c>
      <c r="I110" t="s">
        <v>2373</v>
      </c>
      <c r="J110" t="s">
        <v>2374</v>
      </c>
      <c r="K110" t="s">
        <v>74</v>
      </c>
      <c r="L110" t="s">
        <v>74</v>
      </c>
      <c r="M110" t="s">
        <v>78</v>
      </c>
      <c r="N110" t="s">
        <v>79</v>
      </c>
      <c r="O110" t="s">
        <v>74</v>
      </c>
      <c r="P110" t="s">
        <v>74</v>
      </c>
      <c r="Q110" t="s">
        <v>74</v>
      </c>
      <c r="R110" t="s">
        <v>74</v>
      </c>
      <c r="S110" t="s">
        <v>74</v>
      </c>
      <c r="T110" t="s">
        <v>2375</v>
      </c>
      <c r="U110" t="s">
        <v>74</v>
      </c>
      <c r="V110" t="s">
        <v>2376</v>
      </c>
      <c r="W110" t="s">
        <v>2377</v>
      </c>
      <c r="X110" t="s">
        <v>2378</v>
      </c>
      <c r="Y110" t="s">
        <v>2379</v>
      </c>
      <c r="Z110" t="s">
        <v>2380</v>
      </c>
      <c r="AA110" t="s">
        <v>2381</v>
      </c>
      <c r="AB110" t="s">
        <v>2382</v>
      </c>
      <c r="AC110" t="s">
        <v>74</v>
      </c>
      <c r="AD110" t="s">
        <v>74</v>
      </c>
      <c r="AE110" t="s">
        <v>74</v>
      </c>
      <c r="AF110" t="s">
        <v>74</v>
      </c>
      <c r="AG110">
        <v>16</v>
      </c>
      <c r="AH110">
        <v>4</v>
      </c>
      <c r="AI110">
        <v>4</v>
      </c>
      <c r="AJ110">
        <v>0</v>
      </c>
      <c r="AK110">
        <v>6</v>
      </c>
      <c r="AL110" t="s">
        <v>194</v>
      </c>
      <c r="AM110" t="s">
        <v>262</v>
      </c>
      <c r="AN110" t="s">
        <v>263</v>
      </c>
      <c r="AO110" t="s">
        <v>2383</v>
      </c>
      <c r="AP110" t="s">
        <v>2384</v>
      </c>
      <c r="AQ110" t="s">
        <v>74</v>
      </c>
      <c r="AR110" t="s">
        <v>2385</v>
      </c>
      <c r="AS110" t="s">
        <v>2386</v>
      </c>
      <c r="AT110" t="s">
        <v>2239</v>
      </c>
      <c r="AU110">
        <v>2016</v>
      </c>
      <c r="AV110">
        <v>48</v>
      </c>
      <c r="AW110">
        <v>3</v>
      </c>
      <c r="AX110" t="s">
        <v>74</v>
      </c>
      <c r="AY110" t="s">
        <v>74</v>
      </c>
      <c r="AZ110" t="s">
        <v>74</v>
      </c>
      <c r="BA110" t="s">
        <v>74</v>
      </c>
      <c r="BB110">
        <v>401</v>
      </c>
      <c r="BC110">
        <v>410</v>
      </c>
      <c r="BD110" t="s">
        <v>74</v>
      </c>
      <c r="BE110" t="s">
        <v>2387</v>
      </c>
      <c r="BF110" t="str">
        <f>HYPERLINK("http://dx.doi.org/10.1007/s11223-016-9778-8","http://dx.doi.org/10.1007/s11223-016-9778-8")</f>
        <v>http://dx.doi.org/10.1007/s11223-016-9778-8</v>
      </c>
      <c r="BG110" t="s">
        <v>74</v>
      </c>
      <c r="BH110" t="s">
        <v>74</v>
      </c>
      <c r="BI110">
        <v>10</v>
      </c>
      <c r="BJ110" t="s">
        <v>2388</v>
      </c>
      <c r="BK110" t="s">
        <v>102</v>
      </c>
      <c r="BL110" t="s">
        <v>2389</v>
      </c>
      <c r="BM110" t="s">
        <v>2390</v>
      </c>
      <c r="BN110" t="s">
        <v>74</v>
      </c>
      <c r="BO110" t="s">
        <v>74</v>
      </c>
      <c r="BP110" t="s">
        <v>74</v>
      </c>
      <c r="BQ110" t="s">
        <v>74</v>
      </c>
      <c r="BR110" t="s">
        <v>106</v>
      </c>
      <c r="BS110" t="s">
        <v>2391</v>
      </c>
      <c r="BT110" t="str">
        <f>HYPERLINK("https%3A%2F%2Fwww.webofscience.com%2Fwos%2Fwoscc%2Ffull-record%2FWOS:000382014900010","View Full Record in Web of Science")</f>
        <v>View Full Record in Web of Science</v>
      </c>
    </row>
    <row r="111" spans="1:72" x14ac:dyDescent="0.15">
      <c r="A111" t="s">
        <v>72</v>
      </c>
      <c r="B111" t="s">
        <v>2392</v>
      </c>
      <c r="C111" t="s">
        <v>74</v>
      </c>
      <c r="D111" t="s">
        <v>74</v>
      </c>
      <c r="E111" t="s">
        <v>74</v>
      </c>
      <c r="F111" t="s">
        <v>2393</v>
      </c>
      <c r="G111" t="s">
        <v>74</v>
      </c>
      <c r="H111" t="s">
        <v>74</v>
      </c>
      <c r="I111" t="s">
        <v>2394</v>
      </c>
      <c r="J111" t="s">
        <v>2395</v>
      </c>
      <c r="K111" t="s">
        <v>74</v>
      </c>
      <c r="L111" t="s">
        <v>74</v>
      </c>
      <c r="M111" t="s">
        <v>78</v>
      </c>
      <c r="N111" t="s">
        <v>79</v>
      </c>
      <c r="O111" t="s">
        <v>74</v>
      </c>
      <c r="P111" t="s">
        <v>74</v>
      </c>
      <c r="Q111" t="s">
        <v>74</v>
      </c>
      <c r="R111" t="s">
        <v>74</v>
      </c>
      <c r="S111" t="s">
        <v>74</v>
      </c>
      <c r="T111" t="s">
        <v>74</v>
      </c>
      <c r="U111" t="s">
        <v>2396</v>
      </c>
      <c r="V111" t="s">
        <v>2397</v>
      </c>
      <c r="W111" t="s">
        <v>2398</v>
      </c>
      <c r="X111" t="s">
        <v>2399</v>
      </c>
      <c r="Y111" t="s">
        <v>2400</v>
      </c>
      <c r="Z111" t="s">
        <v>2401</v>
      </c>
      <c r="AA111" t="s">
        <v>2402</v>
      </c>
      <c r="AB111" t="s">
        <v>2403</v>
      </c>
      <c r="AC111" t="s">
        <v>2404</v>
      </c>
      <c r="AD111" t="s">
        <v>2405</v>
      </c>
      <c r="AE111" t="s">
        <v>2406</v>
      </c>
      <c r="AF111" t="s">
        <v>74</v>
      </c>
      <c r="AG111">
        <v>70</v>
      </c>
      <c r="AH111">
        <v>30</v>
      </c>
      <c r="AI111">
        <v>34</v>
      </c>
      <c r="AJ111">
        <v>1</v>
      </c>
      <c r="AK111">
        <v>15</v>
      </c>
      <c r="AL111" t="s">
        <v>92</v>
      </c>
      <c r="AM111" t="s">
        <v>93</v>
      </c>
      <c r="AN111" t="s">
        <v>94</v>
      </c>
      <c r="AO111" t="s">
        <v>2407</v>
      </c>
      <c r="AP111" t="s">
        <v>2408</v>
      </c>
      <c r="AQ111" t="s">
        <v>74</v>
      </c>
      <c r="AR111" t="s">
        <v>2409</v>
      </c>
      <c r="AS111" t="s">
        <v>2410</v>
      </c>
      <c r="AT111" t="s">
        <v>2239</v>
      </c>
      <c r="AU111">
        <v>2016</v>
      </c>
      <c r="AV111">
        <v>121</v>
      </c>
      <c r="AW111">
        <v>5</v>
      </c>
      <c r="AX111" t="s">
        <v>74</v>
      </c>
      <c r="AY111" t="s">
        <v>74</v>
      </c>
      <c r="AZ111" t="s">
        <v>74</v>
      </c>
      <c r="BA111" t="s">
        <v>74</v>
      </c>
      <c r="BB111">
        <v>907</v>
      </c>
      <c r="BC111">
        <v>924</v>
      </c>
      <c r="BD111" t="s">
        <v>74</v>
      </c>
      <c r="BE111" t="s">
        <v>2411</v>
      </c>
      <c r="BF111" t="str">
        <f>HYPERLINK("http://dx.doi.org/10.1002/2015JF003668","http://dx.doi.org/10.1002/2015JF003668")</f>
        <v>http://dx.doi.org/10.1002/2015JF003668</v>
      </c>
      <c r="BG111" t="s">
        <v>74</v>
      </c>
      <c r="BH111" t="s">
        <v>74</v>
      </c>
      <c r="BI111">
        <v>18</v>
      </c>
      <c r="BJ111" t="s">
        <v>269</v>
      </c>
      <c r="BK111" t="s">
        <v>102</v>
      </c>
      <c r="BL111" t="s">
        <v>270</v>
      </c>
      <c r="BM111" t="s">
        <v>2412</v>
      </c>
      <c r="BN111" t="s">
        <v>74</v>
      </c>
      <c r="BO111" t="s">
        <v>420</v>
      </c>
      <c r="BP111" t="s">
        <v>74</v>
      </c>
      <c r="BQ111" t="s">
        <v>74</v>
      </c>
      <c r="BR111" t="s">
        <v>106</v>
      </c>
      <c r="BS111" t="s">
        <v>2413</v>
      </c>
      <c r="BT111" t="str">
        <f>HYPERLINK("https%3A%2F%2Fwww.webofscience.com%2Fwos%2Fwoscc%2Ffull-record%2FWOS:000382580100006","View Full Record in Web of Science")</f>
        <v>View Full Record in Web of Science</v>
      </c>
    </row>
    <row r="112" spans="1:72" x14ac:dyDescent="0.15">
      <c r="A112" t="s">
        <v>72</v>
      </c>
      <c r="B112" t="s">
        <v>2414</v>
      </c>
      <c r="C112" t="s">
        <v>74</v>
      </c>
      <c r="D112" t="s">
        <v>74</v>
      </c>
      <c r="E112" t="s">
        <v>74</v>
      </c>
      <c r="F112" t="s">
        <v>2415</v>
      </c>
      <c r="G112" t="s">
        <v>74</v>
      </c>
      <c r="H112" t="s">
        <v>74</v>
      </c>
      <c r="I112" t="s">
        <v>2416</v>
      </c>
      <c r="J112" t="s">
        <v>2395</v>
      </c>
      <c r="K112" t="s">
        <v>74</v>
      </c>
      <c r="L112" t="s">
        <v>74</v>
      </c>
      <c r="M112" t="s">
        <v>78</v>
      </c>
      <c r="N112" t="s">
        <v>79</v>
      </c>
      <c r="O112" t="s">
        <v>74</v>
      </c>
      <c r="P112" t="s">
        <v>74</v>
      </c>
      <c r="Q112" t="s">
        <v>74</v>
      </c>
      <c r="R112" t="s">
        <v>74</v>
      </c>
      <c r="S112" t="s">
        <v>74</v>
      </c>
      <c r="T112" t="s">
        <v>74</v>
      </c>
      <c r="U112" t="s">
        <v>2417</v>
      </c>
      <c r="V112" t="s">
        <v>2418</v>
      </c>
      <c r="W112" t="s">
        <v>2419</v>
      </c>
      <c r="X112" t="s">
        <v>2420</v>
      </c>
      <c r="Y112" t="s">
        <v>2421</v>
      </c>
      <c r="Z112" t="s">
        <v>2422</v>
      </c>
      <c r="AA112" t="s">
        <v>2423</v>
      </c>
      <c r="AB112" t="s">
        <v>2424</v>
      </c>
      <c r="AC112" t="s">
        <v>2425</v>
      </c>
      <c r="AD112" t="s">
        <v>2426</v>
      </c>
      <c r="AE112" t="s">
        <v>2427</v>
      </c>
      <c r="AF112" t="s">
        <v>74</v>
      </c>
      <c r="AG112">
        <v>37</v>
      </c>
      <c r="AH112">
        <v>14</v>
      </c>
      <c r="AI112">
        <v>17</v>
      </c>
      <c r="AJ112">
        <v>1</v>
      </c>
      <c r="AK112">
        <v>17</v>
      </c>
      <c r="AL112" t="s">
        <v>92</v>
      </c>
      <c r="AM112" t="s">
        <v>93</v>
      </c>
      <c r="AN112" t="s">
        <v>94</v>
      </c>
      <c r="AO112" t="s">
        <v>2407</v>
      </c>
      <c r="AP112" t="s">
        <v>2408</v>
      </c>
      <c r="AQ112" t="s">
        <v>74</v>
      </c>
      <c r="AR112" t="s">
        <v>2409</v>
      </c>
      <c r="AS112" t="s">
        <v>2410</v>
      </c>
      <c r="AT112" t="s">
        <v>2239</v>
      </c>
      <c r="AU112">
        <v>2016</v>
      </c>
      <c r="AV112">
        <v>121</v>
      </c>
      <c r="AW112">
        <v>5</v>
      </c>
      <c r="AX112" t="s">
        <v>74</v>
      </c>
      <c r="AY112" t="s">
        <v>74</v>
      </c>
      <c r="AZ112" t="s">
        <v>74</v>
      </c>
      <c r="BA112" t="s">
        <v>74</v>
      </c>
      <c r="BB112">
        <v>1023</v>
      </c>
      <c r="BC112">
        <v>1048</v>
      </c>
      <c r="BD112" t="s">
        <v>74</v>
      </c>
      <c r="BE112" t="s">
        <v>2428</v>
      </c>
      <c r="BF112" t="str">
        <f>HYPERLINK("http://dx.doi.org/10.1002/2015JF003736","http://dx.doi.org/10.1002/2015JF003736")</f>
        <v>http://dx.doi.org/10.1002/2015JF003736</v>
      </c>
      <c r="BG112" t="s">
        <v>74</v>
      </c>
      <c r="BH112" t="s">
        <v>74</v>
      </c>
      <c r="BI112">
        <v>26</v>
      </c>
      <c r="BJ112" t="s">
        <v>269</v>
      </c>
      <c r="BK112" t="s">
        <v>102</v>
      </c>
      <c r="BL112" t="s">
        <v>270</v>
      </c>
      <c r="BM112" t="s">
        <v>2412</v>
      </c>
      <c r="BN112" t="s">
        <v>74</v>
      </c>
      <c r="BO112" t="s">
        <v>842</v>
      </c>
      <c r="BP112" t="s">
        <v>74</v>
      </c>
      <c r="BQ112" t="s">
        <v>74</v>
      </c>
      <c r="BR112" t="s">
        <v>106</v>
      </c>
      <c r="BS112" t="s">
        <v>2429</v>
      </c>
      <c r="BT112" t="str">
        <f>HYPERLINK("https%3A%2F%2Fwww.webofscience.com%2Fwos%2Fwoscc%2Ffull-record%2FWOS:000382580100012","View Full Record in Web of Science")</f>
        <v>View Full Record in Web of Science</v>
      </c>
    </row>
    <row r="113" spans="1:72" x14ac:dyDescent="0.15">
      <c r="A113" t="s">
        <v>72</v>
      </c>
      <c r="B113" t="s">
        <v>2430</v>
      </c>
      <c r="C113" t="s">
        <v>74</v>
      </c>
      <c r="D113" t="s">
        <v>74</v>
      </c>
      <c r="E113" t="s">
        <v>74</v>
      </c>
      <c r="F113" t="s">
        <v>2431</v>
      </c>
      <c r="G113" t="s">
        <v>74</v>
      </c>
      <c r="H113" t="s">
        <v>74</v>
      </c>
      <c r="I113" t="s">
        <v>2432</v>
      </c>
      <c r="J113" t="s">
        <v>2433</v>
      </c>
      <c r="K113" t="s">
        <v>74</v>
      </c>
      <c r="L113" t="s">
        <v>74</v>
      </c>
      <c r="M113" t="s">
        <v>78</v>
      </c>
      <c r="N113" t="s">
        <v>79</v>
      </c>
      <c r="O113" t="s">
        <v>74</v>
      </c>
      <c r="P113" t="s">
        <v>74</v>
      </c>
      <c r="Q113" t="s">
        <v>74</v>
      </c>
      <c r="R113" t="s">
        <v>74</v>
      </c>
      <c r="S113" t="s">
        <v>74</v>
      </c>
      <c r="T113" t="s">
        <v>74</v>
      </c>
      <c r="U113" t="s">
        <v>2434</v>
      </c>
      <c r="V113" t="s">
        <v>2435</v>
      </c>
      <c r="W113" t="s">
        <v>2436</v>
      </c>
      <c r="X113" t="s">
        <v>1153</v>
      </c>
      <c r="Y113" t="s">
        <v>2437</v>
      </c>
      <c r="Z113" t="s">
        <v>2438</v>
      </c>
      <c r="AA113" t="s">
        <v>2439</v>
      </c>
      <c r="AB113" t="s">
        <v>2440</v>
      </c>
      <c r="AC113" t="s">
        <v>2441</v>
      </c>
      <c r="AD113" t="s">
        <v>2442</v>
      </c>
      <c r="AE113" t="s">
        <v>2443</v>
      </c>
      <c r="AF113" t="s">
        <v>74</v>
      </c>
      <c r="AG113">
        <v>40</v>
      </c>
      <c r="AH113">
        <v>47</v>
      </c>
      <c r="AI113">
        <v>55</v>
      </c>
      <c r="AJ113">
        <v>1</v>
      </c>
      <c r="AK113">
        <v>9</v>
      </c>
      <c r="AL113" t="s">
        <v>92</v>
      </c>
      <c r="AM113" t="s">
        <v>93</v>
      </c>
      <c r="AN113" t="s">
        <v>94</v>
      </c>
      <c r="AO113" t="s">
        <v>2444</v>
      </c>
      <c r="AP113" t="s">
        <v>2445</v>
      </c>
      <c r="AQ113" t="s">
        <v>74</v>
      </c>
      <c r="AR113" t="s">
        <v>2446</v>
      </c>
      <c r="AS113" t="s">
        <v>2447</v>
      </c>
      <c r="AT113" t="s">
        <v>2239</v>
      </c>
      <c r="AU113">
        <v>2016</v>
      </c>
      <c r="AV113">
        <v>121</v>
      </c>
      <c r="AW113">
        <v>5</v>
      </c>
      <c r="AX113" t="s">
        <v>74</v>
      </c>
      <c r="AY113" t="s">
        <v>74</v>
      </c>
      <c r="AZ113" t="s">
        <v>74</v>
      </c>
      <c r="BA113" t="s">
        <v>74</v>
      </c>
      <c r="BB113">
        <v>3939</v>
      </c>
      <c r="BC113">
        <v>3950</v>
      </c>
      <c r="BD113" t="s">
        <v>74</v>
      </c>
      <c r="BE113" t="s">
        <v>2448</v>
      </c>
      <c r="BF113" t="str">
        <f>HYPERLINK("http://dx.doi.org/10.1002/2015JB012742","http://dx.doi.org/10.1002/2015JB012742")</f>
        <v>http://dx.doi.org/10.1002/2015JB012742</v>
      </c>
      <c r="BG113" t="s">
        <v>74</v>
      </c>
      <c r="BH113" t="s">
        <v>74</v>
      </c>
      <c r="BI113">
        <v>12</v>
      </c>
      <c r="BJ113" t="s">
        <v>727</v>
      </c>
      <c r="BK113" t="s">
        <v>102</v>
      </c>
      <c r="BL113" t="s">
        <v>727</v>
      </c>
      <c r="BM113" t="s">
        <v>2449</v>
      </c>
      <c r="BN113" t="s">
        <v>74</v>
      </c>
      <c r="BO113" t="s">
        <v>842</v>
      </c>
      <c r="BP113" t="s">
        <v>74</v>
      </c>
      <c r="BQ113" t="s">
        <v>74</v>
      </c>
      <c r="BR113" t="s">
        <v>106</v>
      </c>
      <c r="BS113" t="s">
        <v>2450</v>
      </c>
      <c r="BT113" t="str">
        <f>HYPERLINK("https%3A%2F%2Fwww.webofscience.com%2Fwos%2Fwoscc%2Ffull-record%2FWOS:000381626900041","View Full Record in Web of Science")</f>
        <v>View Full Record in Web of Science</v>
      </c>
    </row>
    <row r="114" spans="1:72" x14ac:dyDescent="0.15">
      <c r="A114" t="s">
        <v>72</v>
      </c>
      <c r="B114" t="s">
        <v>2451</v>
      </c>
      <c r="C114" t="s">
        <v>74</v>
      </c>
      <c r="D114" t="s">
        <v>74</v>
      </c>
      <c r="E114" t="s">
        <v>74</v>
      </c>
      <c r="F114" t="s">
        <v>2452</v>
      </c>
      <c r="G114" t="s">
        <v>74</v>
      </c>
      <c r="H114" t="s">
        <v>74</v>
      </c>
      <c r="I114" t="s">
        <v>2453</v>
      </c>
      <c r="J114" t="s">
        <v>385</v>
      </c>
      <c r="K114" t="s">
        <v>74</v>
      </c>
      <c r="L114" t="s">
        <v>74</v>
      </c>
      <c r="M114" t="s">
        <v>78</v>
      </c>
      <c r="N114" t="s">
        <v>79</v>
      </c>
      <c r="O114" t="s">
        <v>74</v>
      </c>
      <c r="P114" t="s">
        <v>74</v>
      </c>
      <c r="Q114" t="s">
        <v>74</v>
      </c>
      <c r="R114" t="s">
        <v>74</v>
      </c>
      <c r="S114" t="s">
        <v>74</v>
      </c>
      <c r="T114" t="s">
        <v>2454</v>
      </c>
      <c r="U114" t="s">
        <v>2455</v>
      </c>
      <c r="V114" t="s">
        <v>2456</v>
      </c>
      <c r="W114" t="s">
        <v>2457</v>
      </c>
      <c r="X114" t="s">
        <v>2458</v>
      </c>
      <c r="Y114" t="s">
        <v>2459</v>
      </c>
      <c r="Z114" t="s">
        <v>2460</v>
      </c>
      <c r="AA114" t="s">
        <v>2461</v>
      </c>
      <c r="AB114" t="s">
        <v>2462</v>
      </c>
      <c r="AC114" t="s">
        <v>2463</v>
      </c>
      <c r="AD114" t="s">
        <v>2464</v>
      </c>
      <c r="AE114" t="s">
        <v>2465</v>
      </c>
      <c r="AF114" t="s">
        <v>74</v>
      </c>
      <c r="AG114">
        <v>37</v>
      </c>
      <c r="AH114">
        <v>9</v>
      </c>
      <c r="AI114">
        <v>10</v>
      </c>
      <c r="AJ114">
        <v>1</v>
      </c>
      <c r="AK114">
        <v>8</v>
      </c>
      <c r="AL114" t="s">
        <v>92</v>
      </c>
      <c r="AM114" t="s">
        <v>93</v>
      </c>
      <c r="AN114" t="s">
        <v>94</v>
      </c>
      <c r="AO114" t="s">
        <v>397</v>
      </c>
      <c r="AP114" t="s">
        <v>398</v>
      </c>
      <c r="AQ114" t="s">
        <v>74</v>
      </c>
      <c r="AR114" t="s">
        <v>399</v>
      </c>
      <c r="AS114" t="s">
        <v>400</v>
      </c>
      <c r="AT114" t="s">
        <v>2239</v>
      </c>
      <c r="AU114">
        <v>2016</v>
      </c>
      <c r="AV114">
        <v>121</v>
      </c>
      <c r="AW114">
        <v>5</v>
      </c>
      <c r="AX114" t="s">
        <v>74</v>
      </c>
      <c r="AY114" t="s">
        <v>74</v>
      </c>
      <c r="AZ114" t="s">
        <v>74</v>
      </c>
      <c r="BA114" t="s">
        <v>74</v>
      </c>
      <c r="BB114">
        <v>4205</v>
      </c>
      <c r="BC114">
        <v>4216</v>
      </c>
      <c r="BD114" t="s">
        <v>74</v>
      </c>
      <c r="BE114" t="s">
        <v>2466</v>
      </c>
      <c r="BF114" t="str">
        <f>HYPERLINK("http://dx.doi.org/10.1002/2016JA022462","http://dx.doi.org/10.1002/2016JA022462")</f>
        <v>http://dx.doi.org/10.1002/2016JA022462</v>
      </c>
      <c r="BG114" t="s">
        <v>74</v>
      </c>
      <c r="BH114" t="s">
        <v>74</v>
      </c>
      <c r="BI114">
        <v>12</v>
      </c>
      <c r="BJ114" t="s">
        <v>248</v>
      </c>
      <c r="BK114" t="s">
        <v>102</v>
      </c>
      <c r="BL114" t="s">
        <v>248</v>
      </c>
      <c r="BM114" t="s">
        <v>2467</v>
      </c>
      <c r="BN114" t="s">
        <v>74</v>
      </c>
      <c r="BO114" t="s">
        <v>420</v>
      </c>
      <c r="BP114" t="s">
        <v>74</v>
      </c>
      <c r="BQ114" t="s">
        <v>74</v>
      </c>
      <c r="BR114" t="s">
        <v>106</v>
      </c>
      <c r="BS114" t="s">
        <v>2468</v>
      </c>
      <c r="BT114" t="str">
        <f>HYPERLINK("https%3A%2F%2Fwww.webofscience.com%2Fwos%2Fwoscc%2Ffull-record%2FWOS:000380025500024","View Full Record in Web of Science")</f>
        <v>View Full Record in Web of Science</v>
      </c>
    </row>
    <row r="115" spans="1:72" x14ac:dyDescent="0.15">
      <c r="A115" t="s">
        <v>72</v>
      </c>
      <c r="B115" t="s">
        <v>2469</v>
      </c>
      <c r="C115" t="s">
        <v>74</v>
      </c>
      <c r="D115" t="s">
        <v>74</v>
      </c>
      <c r="E115" t="s">
        <v>74</v>
      </c>
      <c r="F115" t="s">
        <v>2470</v>
      </c>
      <c r="G115" t="s">
        <v>74</v>
      </c>
      <c r="H115" t="s">
        <v>74</v>
      </c>
      <c r="I115" t="s">
        <v>2471</v>
      </c>
      <c r="J115" t="s">
        <v>2472</v>
      </c>
      <c r="K115" t="s">
        <v>74</v>
      </c>
      <c r="L115" t="s">
        <v>74</v>
      </c>
      <c r="M115" t="s">
        <v>78</v>
      </c>
      <c r="N115" t="s">
        <v>79</v>
      </c>
      <c r="O115" t="s">
        <v>74</v>
      </c>
      <c r="P115" t="s">
        <v>74</v>
      </c>
      <c r="Q115" t="s">
        <v>74</v>
      </c>
      <c r="R115" t="s">
        <v>74</v>
      </c>
      <c r="S115" t="s">
        <v>74</v>
      </c>
      <c r="T115" t="s">
        <v>74</v>
      </c>
      <c r="U115" t="s">
        <v>2473</v>
      </c>
      <c r="V115" t="s">
        <v>2474</v>
      </c>
      <c r="W115" t="s">
        <v>2475</v>
      </c>
      <c r="X115" t="s">
        <v>2476</v>
      </c>
      <c r="Y115" t="s">
        <v>2477</v>
      </c>
      <c r="Z115" t="s">
        <v>2478</v>
      </c>
      <c r="AA115" t="s">
        <v>2479</v>
      </c>
      <c r="AB115" t="s">
        <v>74</v>
      </c>
      <c r="AC115" t="s">
        <v>2480</v>
      </c>
      <c r="AD115" t="s">
        <v>2481</v>
      </c>
      <c r="AE115" t="s">
        <v>2482</v>
      </c>
      <c r="AF115" t="s">
        <v>74</v>
      </c>
      <c r="AG115">
        <v>55</v>
      </c>
      <c r="AH115">
        <v>1</v>
      </c>
      <c r="AI115">
        <v>1</v>
      </c>
      <c r="AJ115">
        <v>0</v>
      </c>
      <c r="AK115">
        <v>3</v>
      </c>
      <c r="AL115" t="s">
        <v>2361</v>
      </c>
      <c r="AM115" t="s">
        <v>262</v>
      </c>
      <c r="AN115" t="s">
        <v>2362</v>
      </c>
      <c r="AO115" t="s">
        <v>2483</v>
      </c>
      <c r="AP115" t="s">
        <v>2484</v>
      </c>
      <c r="AQ115" t="s">
        <v>74</v>
      </c>
      <c r="AR115" t="s">
        <v>2485</v>
      </c>
      <c r="AS115" t="s">
        <v>2486</v>
      </c>
      <c r="AT115" t="s">
        <v>2239</v>
      </c>
      <c r="AU115">
        <v>2016</v>
      </c>
      <c r="AV115">
        <v>56</v>
      </c>
      <c r="AW115">
        <v>3</v>
      </c>
      <c r="AX115" t="s">
        <v>74</v>
      </c>
      <c r="AY115" t="s">
        <v>74</v>
      </c>
      <c r="AZ115" t="s">
        <v>74</v>
      </c>
      <c r="BA115" t="s">
        <v>74</v>
      </c>
      <c r="BB115">
        <v>435</v>
      </c>
      <c r="BC115">
        <v>443</v>
      </c>
      <c r="BD115" t="s">
        <v>74</v>
      </c>
      <c r="BE115" t="s">
        <v>2487</v>
      </c>
      <c r="BF115" t="str">
        <f>HYPERLINK("http://dx.doi.org/10.1134/S000143701603005X","http://dx.doi.org/10.1134/S000143701603005X")</f>
        <v>http://dx.doi.org/10.1134/S000143701603005X</v>
      </c>
      <c r="BG115" t="s">
        <v>74</v>
      </c>
      <c r="BH115" t="s">
        <v>74</v>
      </c>
      <c r="BI115">
        <v>9</v>
      </c>
      <c r="BJ115" t="s">
        <v>361</v>
      </c>
      <c r="BK115" t="s">
        <v>102</v>
      </c>
      <c r="BL115" t="s">
        <v>361</v>
      </c>
      <c r="BM115" t="s">
        <v>2488</v>
      </c>
      <c r="BN115" t="s">
        <v>74</v>
      </c>
      <c r="BO115" t="s">
        <v>74</v>
      </c>
      <c r="BP115" t="s">
        <v>74</v>
      </c>
      <c r="BQ115" t="s">
        <v>74</v>
      </c>
      <c r="BR115" t="s">
        <v>106</v>
      </c>
      <c r="BS115" t="s">
        <v>2489</v>
      </c>
      <c r="BT115" t="str">
        <f>HYPERLINK("https%3A%2F%2Fwww.webofscience.com%2Fwos%2Fwoscc%2Ffull-record%2FWOS:000379735300014","View Full Record in Web of Science")</f>
        <v>View Full Record in Web of Science</v>
      </c>
    </row>
    <row r="116" spans="1:72" x14ac:dyDescent="0.15">
      <c r="A116" t="s">
        <v>72</v>
      </c>
      <c r="B116" t="s">
        <v>2490</v>
      </c>
      <c r="C116" t="s">
        <v>74</v>
      </c>
      <c r="D116" t="s">
        <v>74</v>
      </c>
      <c r="E116" t="s">
        <v>74</v>
      </c>
      <c r="F116" t="s">
        <v>2491</v>
      </c>
      <c r="G116" t="s">
        <v>74</v>
      </c>
      <c r="H116" t="s">
        <v>74</v>
      </c>
      <c r="I116" t="s">
        <v>2492</v>
      </c>
      <c r="J116" t="s">
        <v>2493</v>
      </c>
      <c r="K116" t="s">
        <v>74</v>
      </c>
      <c r="L116" t="s">
        <v>74</v>
      </c>
      <c r="M116" t="s">
        <v>78</v>
      </c>
      <c r="N116" t="s">
        <v>79</v>
      </c>
      <c r="O116" t="s">
        <v>74</v>
      </c>
      <c r="P116" t="s">
        <v>74</v>
      </c>
      <c r="Q116" t="s">
        <v>74</v>
      </c>
      <c r="R116" t="s">
        <v>74</v>
      </c>
      <c r="S116" t="s">
        <v>74</v>
      </c>
      <c r="T116" t="s">
        <v>2494</v>
      </c>
      <c r="U116" t="s">
        <v>2495</v>
      </c>
      <c r="V116" t="s">
        <v>2496</v>
      </c>
      <c r="W116" t="s">
        <v>2497</v>
      </c>
      <c r="X116" t="s">
        <v>2498</v>
      </c>
      <c r="Y116" t="s">
        <v>2499</v>
      </c>
      <c r="Z116" t="s">
        <v>2500</v>
      </c>
      <c r="AA116" t="s">
        <v>2501</v>
      </c>
      <c r="AB116" t="s">
        <v>2502</v>
      </c>
      <c r="AC116" t="s">
        <v>2503</v>
      </c>
      <c r="AD116" t="s">
        <v>2504</v>
      </c>
      <c r="AE116" t="s">
        <v>2505</v>
      </c>
      <c r="AF116" t="s">
        <v>74</v>
      </c>
      <c r="AG116">
        <v>22</v>
      </c>
      <c r="AH116">
        <v>2</v>
      </c>
      <c r="AI116">
        <v>2</v>
      </c>
      <c r="AJ116">
        <v>0</v>
      </c>
      <c r="AK116">
        <v>16</v>
      </c>
      <c r="AL116" t="s">
        <v>2506</v>
      </c>
      <c r="AM116" t="s">
        <v>2507</v>
      </c>
      <c r="AN116" t="s">
        <v>2508</v>
      </c>
      <c r="AO116" t="s">
        <v>2509</v>
      </c>
      <c r="AP116" t="s">
        <v>2510</v>
      </c>
      <c r="AQ116" t="s">
        <v>74</v>
      </c>
      <c r="AR116" t="s">
        <v>2511</v>
      </c>
      <c r="AS116" t="s">
        <v>2512</v>
      </c>
      <c r="AT116" t="s">
        <v>2513</v>
      </c>
      <c r="AU116">
        <v>2016</v>
      </c>
      <c r="AV116">
        <v>50</v>
      </c>
      <c r="AW116">
        <v>3</v>
      </c>
      <c r="AX116" t="s">
        <v>74</v>
      </c>
      <c r="AY116" t="s">
        <v>74</v>
      </c>
      <c r="AZ116" t="s">
        <v>74</v>
      </c>
      <c r="BA116" t="s">
        <v>74</v>
      </c>
      <c r="BB116">
        <v>63</v>
      </c>
      <c r="BC116">
        <v>68</v>
      </c>
      <c r="BD116" t="s">
        <v>74</v>
      </c>
      <c r="BE116" t="s">
        <v>2514</v>
      </c>
      <c r="BF116" t="str">
        <f>HYPERLINK("http://dx.doi.org/10.4031/MTSJ.50.3.8","http://dx.doi.org/10.4031/MTSJ.50.3.8")</f>
        <v>http://dx.doi.org/10.4031/MTSJ.50.3.8</v>
      </c>
      <c r="BG116" t="s">
        <v>74</v>
      </c>
      <c r="BH116" t="s">
        <v>74</v>
      </c>
      <c r="BI116">
        <v>6</v>
      </c>
      <c r="BJ116" t="s">
        <v>2515</v>
      </c>
      <c r="BK116" t="s">
        <v>102</v>
      </c>
      <c r="BL116" t="s">
        <v>2516</v>
      </c>
      <c r="BM116" t="s">
        <v>2517</v>
      </c>
      <c r="BN116" t="s">
        <v>74</v>
      </c>
      <c r="BO116" t="s">
        <v>74</v>
      </c>
      <c r="BP116" t="s">
        <v>74</v>
      </c>
      <c r="BQ116" t="s">
        <v>74</v>
      </c>
      <c r="BR116" t="s">
        <v>106</v>
      </c>
      <c r="BS116" t="s">
        <v>2518</v>
      </c>
      <c r="BT116" t="str">
        <f>HYPERLINK("https%3A%2F%2Fwww.webofscience.com%2Fwos%2Fwoscc%2Ffull-record%2FWOS:000379196300010","View Full Record in Web of Science")</f>
        <v>View Full Record in Web of Science</v>
      </c>
    </row>
    <row r="117" spans="1:72" x14ac:dyDescent="0.15">
      <c r="A117" t="s">
        <v>72</v>
      </c>
      <c r="B117" t="s">
        <v>2519</v>
      </c>
      <c r="C117" t="s">
        <v>74</v>
      </c>
      <c r="D117" t="s">
        <v>74</v>
      </c>
      <c r="E117" t="s">
        <v>74</v>
      </c>
      <c r="F117" t="s">
        <v>2520</v>
      </c>
      <c r="G117" t="s">
        <v>74</v>
      </c>
      <c r="H117" t="s">
        <v>74</v>
      </c>
      <c r="I117" t="s">
        <v>2521</v>
      </c>
      <c r="J117" t="s">
        <v>2522</v>
      </c>
      <c r="K117" t="s">
        <v>74</v>
      </c>
      <c r="L117" t="s">
        <v>74</v>
      </c>
      <c r="M117" t="s">
        <v>78</v>
      </c>
      <c r="N117" t="s">
        <v>79</v>
      </c>
      <c r="O117" t="s">
        <v>74</v>
      </c>
      <c r="P117" t="s">
        <v>74</v>
      </c>
      <c r="Q117" t="s">
        <v>74</v>
      </c>
      <c r="R117" t="s">
        <v>74</v>
      </c>
      <c r="S117" t="s">
        <v>74</v>
      </c>
      <c r="T117" t="s">
        <v>2523</v>
      </c>
      <c r="U117" t="s">
        <v>2524</v>
      </c>
      <c r="V117" t="s">
        <v>2525</v>
      </c>
      <c r="W117" t="s">
        <v>2526</v>
      </c>
      <c r="X117" t="s">
        <v>2527</v>
      </c>
      <c r="Y117" t="s">
        <v>2528</v>
      </c>
      <c r="Z117" t="s">
        <v>2529</v>
      </c>
      <c r="AA117" t="s">
        <v>2530</v>
      </c>
      <c r="AB117" t="s">
        <v>2531</v>
      </c>
      <c r="AC117" t="s">
        <v>2532</v>
      </c>
      <c r="AD117" t="s">
        <v>2533</v>
      </c>
      <c r="AE117" t="s">
        <v>2534</v>
      </c>
      <c r="AF117" t="s">
        <v>74</v>
      </c>
      <c r="AG117">
        <v>30</v>
      </c>
      <c r="AH117">
        <v>6</v>
      </c>
      <c r="AI117">
        <v>7</v>
      </c>
      <c r="AJ117">
        <v>2</v>
      </c>
      <c r="AK117">
        <v>25</v>
      </c>
      <c r="AL117" t="s">
        <v>2361</v>
      </c>
      <c r="AM117" t="s">
        <v>262</v>
      </c>
      <c r="AN117" t="s">
        <v>2362</v>
      </c>
      <c r="AO117" t="s">
        <v>2535</v>
      </c>
      <c r="AP117" t="s">
        <v>2536</v>
      </c>
      <c r="AQ117" t="s">
        <v>74</v>
      </c>
      <c r="AR117" t="s">
        <v>2537</v>
      </c>
      <c r="AS117" t="s">
        <v>2538</v>
      </c>
      <c r="AT117" t="s">
        <v>2239</v>
      </c>
      <c r="AU117">
        <v>2016</v>
      </c>
      <c r="AV117">
        <v>85</v>
      </c>
      <c r="AW117">
        <v>3</v>
      </c>
      <c r="AX117" t="s">
        <v>74</v>
      </c>
      <c r="AY117" t="s">
        <v>74</v>
      </c>
      <c r="AZ117" t="s">
        <v>74</v>
      </c>
      <c r="BA117" t="s">
        <v>74</v>
      </c>
      <c r="BB117">
        <v>359</v>
      </c>
      <c r="BC117">
        <v>366</v>
      </c>
      <c r="BD117" t="s">
        <v>74</v>
      </c>
      <c r="BE117" t="s">
        <v>2539</v>
      </c>
      <c r="BF117" t="str">
        <f>HYPERLINK("http://dx.doi.org/10.1134/S0026261716030048","http://dx.doi.org/10.1134/S0026261716030048")</f>
        <v>http://dx.doi.org/10.1134/S0026261716030048</v>
      </c>
      <c r="BG117" t="s">
        <v>74</v>
      </c>
      <c r="BH117" t="s">
        <v>74</v>
      </c>
      <c r="BI117">
        <v>8</v>
      </c>
      <c r="BJ117" t="s">
        <v>2538</v>
      </c>
      <c r="BK117" t="s">
        <v>102</v>
      </c>
      <c r="BL117" t="s">
        <v>2538</v>
      </c>
      <c r="BM117" t="s">
        <v>2540</v>
      </c>
      <c r="BN117" t="s">
        <v>74</v>
      </c>
      <c r="BO117" t="s">
        <v>74</v>
      </c>
      <c r="BP117" t="s">
        <v>74</v>
      </c>
      <c r="BQ117" t="s">
        <v>74</v>
      </c>
      <c r="BR117" t="s">
        <v>106</v>
      </c>
      <c r="BS117" t="s">
        <v>2541</v>
      </c>
      <c r="BT117" t="str">
        <f>HYPERLINK("https%3A%2F%2Fwww.webofscience.com%2Fwos%2Fwoscc%2Ffull-record%2FWOS:000378773600013","View Full Record in Web of Science")</f>
        <v>View Full Record in Web of Science</v>
      </c>
    </row>
    <row r="118" spans="1:72" x14ac:dyDescent="0.15">
      <c r="A118" t="s">
        <v>72</v>
      </c>
      <c r="B118" t="s">
        <v>2542</v>
      </c>
      <c r="C118" t="s">
        <v>74</v>
      </c>
      <c r="D118" t="s">
        <v>74</v>
      </c>
      <c r="E118" t="s">
        <v>74</v>
      </c>
      <c r="F118" t="s">
        <v>2543</v>
      </c>
      <c r="G118" t="s">
        <v>74</v>
      </c>
      <c r="H118" t="s">
        <v>74</v>
      </c>
      <c r="I118" t="s">
        <v>2544</v>
      </c>
      <c r="J118" t="s">
        <v>823</v>
      </c>
      <c r="K118" t="s">
        <v>74</v>
      </c>
      <c r="L118" t="s">
        <v>74</v>
      </c>
      <c r="M118" t="s">
        <v>78</v>
      </c>
      <c r="N118" t="s">
        <v>79</v>
      </c>
      <c r="O118" t="s">
        <v>74</v>
      </c>
      <c r="P118" t="s">
        <v>74</v>
      </c>
      <c r="Q118" t="s">
        <v>74</v>
      </c>
      <c r="R118" t="s">
        <v>74</v>
      </c>
      <c r="S118" t="s">
        <v>74</v>
      </c>
      <c r="T118" t="s">
        <v>2545</v>
      </c>
      <c r="U118" t="s">
        <v>2546</v>
      </c>
      <c r="V118" t="s">
        <v>2547</v>
      </c>
      <c r="W118" t="s">
        <v>2548</v>
      </c>
      <c r="X118" t="s">
        <v>2549</v>
      </c>
      <c r="Y118" t="s">
        <v>2550</v>
      </c>
      <c r="Z118" t="s">
        <v>2551</v>
      </c>
      <c r="AA118" t="s">
        <v>2552</v>
      </c>
      <c r="AB118" t="s">
        <v>2553</v>
      </c>
      <c r="AC118" t="s">
        <v>2554</v>
      </c>
      <c r="AD118" t="s">
        <v>2555</v>
      </c>
      <c r="AE118" t="s">
        <v>2556</v>
      </c>
      <c r="AF118" t="s">
        <v>74</v>
      </c>
      <c r="AG118">
        <v>98</v>
      </c>
      <c r="AH118">
        <v>20</v>
      </c>
      <c r="AI118">
        <v>21</v>
      </c>
      <c r="AJ118">
        <v>0</v>
      </c>
      <c r="AK118">
        <v>29</v>
      </c>
      <c r="AL118" t="s">
        <v>92</v>
      </c>
      <c r="AM118" t="s">
        <v>93</v>
      </c>
      <c r="AN118" t="s">
        <v>94</v>
      </c>
      <c r="AO118" t="s">
        <v>835</v>
      </c>
      <c r="AP118" t="s">
        <v>836</v>
      </c>
      <c r="AQ118" t="s">
        <v>74</v>
      </c>
      <c r="AR118" t="s">
        <v>823</v>
      </c>
      <c r="AS118" t="s">
        <v>837</v>
      </c>
      <c r="AT118" t="s">
        <v>2239</v>
      </c>
      <c r="AU118">
        <v>2016</v>
      </c>
      <c r="AV118">
        <v>31</v>
      </c>
      <c r="AW118">
        <v>5</v>
      </c>
      <c r="AX118" t="s">
        <v>74</v>
      </c>
      <c r="AY118" t="s">
        <v>74</v>
      </c>
      <c r="AZ118" t="s">
        <v>74</v>
      </c>
      <c r="BA118" t="s">
        <v>74</v>
      </c>
      <c r="BB118">
        <v>564</v>
      </c>
      <c r="BC118">
        <v>581</v>
      </c>
      <c r="BD118" t="s">
        <v>74</v>
      </c>
      <c r="BE118" t="s">
        <v>2557</v>
      </c>
      <c r="BF118" t="str">
        <f>HYPERLINK("http://dx.doi.org/10.1002/2015PA002888","http://dx.doi.org/10.1002/2015PA002888")</f>
        <v>http://dx.doi.org/10.1002/2015PA002888</v>
      </c>
      <c r="BG118" t="s">
        <v>74</v>
      </c>
      <c r="BH118" t="s">
        <v>74</v>
      </c>
      <c r="BI118">
        <v>18</v>
      </c>
      <c r="BJ118" t="s">
        <v>839</v>
      </c>
      <c r="BK118" t="s">
        <v>102</v>
      </c>
      <c r="BL118" t="s">
        <v>840</v>
      </c>
      <c r="BM118" t="s">
        <v>2558</v>
      </c>
      <c r="BN118" t="s">
        <v>74</v>
      </c>
      <c r="BO118" t="s">
        <v>2559</v>
      </c>
      <c r="BP118" t="s">
        <v>74</v>
      </c>
      <c r="BQ118" t="s">
        <v>74</v>
      </c>
      <c r="BR118" t="s">
        <v>106</v>
      </c>
      <c r="BS118" t="s">
        <v>2560</v>
      </c>
      <c r="BT118" t="str">
        <f>HYPERLINK("https%3A%2F%2Fwww.webofscience.com%2Fwos%2Fwoscc%2Ffull-record%2FWOS:000378699900005","View Full Record in Web of Science")</f>
        <v>View Full Record in Web of Science</v>
      </c>
    </row>
    <row r="119" spans="1:72" x14ac:dyDescent="0.15">
      <c r="A119" t="s">
        <v>72</v>
      </c>
      <c r="B119" t="s">
        <v>2561</v>
      </c>
      <c r="C119" t="s">
        <v>74</v>
      </c>
      <c r="D119" t="s">
        <v>74</v>
      </c>
      <c r="E119" t="s">
        <v>74</v>
      </c>
      <c r="F119" t="s">
        <v>2562</v>
      </c>
      <c r="G119" t="s">
        <v>74</v>
      </c>
      <c r="H119" t="s">
        <v>74</v>
      </c>
      <c r="I119" t="s">
        <v>2563</v>
      </c>
      <c r="J119" t="s">
        <v>2564</v>
      </c>
      <c r="K119" t="s">
        <v>74</v>
      </c>
      <c r="L119" t="s">
        <v>74</v>
      </c>
      <c r="M119" t="s">
        <v>78</v>
      </c>
      <c r="N119" t="s">
        <v>79</v>
      </c>
      <c r="O119" t="s">
        <v>74</v>
      </c>
      <c r="P119" t="s">
        <v>74</v>
      </c>
      <c r="Q119" t="s">
        <v>74</v>
      </c>
      <c r="R119" t="s">
        <v>74</v>
      </c>
      <c r="S119" t="s">
        <v>74</v>
      </c>
      <c r="T119" t="s">
        <v>2565</v>
      </c>
      <c r="U119" t="s">
        <v>2566</v>
      </c>
      <c r="V119" t="s">
        <v>2567</v>
      </c>
      <c r="W119" t="s">
        <v>2568</v>
      </c>
      <c r="X119" t="s">
        <v>2569</v>
      </c>
      <c r="Y119" t="s">
        <v>2570</v>
      </c>
      <c r="Z119" t="s">
        <v>2571</v>
      </c>
      <c r="AA119" t="s">
        <v>2572</v>
      </c>
      <c r="AB119" t="s">
        <v>2573</v>
      </c>
      <c r="AC119" t="s">
        <v>2574</v>
      </c>
      <c r="AD119" t="s">
        <v>2575</v>
      </c>
      <c r="AE119" t="s">
        <v>2576</v>
      </c>
      <c r="AF119" t="s">
        <v>74</v>
      </c>
      <c r="AG119">
        <v>32</v>
      </c>
      <c r="AH119">
        <v>17</v>
      </c>
      <c r="AI119">
        <v>21</v>
      </c>
      <c r="AJ119">
        <v>3</v>
      </c>
      <c r="AK119">
        <v>36</v>
      </c>
      <c r="AL119" t="s">
        <v>2577</v>
      </c>
      <c r="AM119" t="s">
        <v>2578</v>
      </c>
      <c r="AN119" t="s">
        <v>2579</v>
      </c>
      <c r="AO119" t="s">
        <v>2580</v>
      </c>
      <c r="AP119" t="s">
        <v>74</v>
      </c>
      <c r="AQ119" t="s">
        <v>74</v>
      </c>
      <c r="AR119" t="s">
        <v>2581</v>
      </c>
      <c r="AS119" t="s">
        <v>2582</v>
      </c>
      <c r="AT119" t="s">
        <v>2239</v>
      </c>
      <c r="AU119">
        <v>2016</v>
      </c>
      <c r="AV119">
        <v>8</v>
      </c>
      <c r="AW119">
        <v>5</v>
      </c>
      <c r="AX119" t="s">
        <v>74</v>
      </c>
      <c r="AY119" t="s">
        <v>74</v>
      </c>
      <c r="AZ119" t="s">
        <v>74</v>
      </c>
      <c r="BA119" t="s">
        <v>74</v>
      </c>
      <c r="BB119" t="s">
        <v>74</v>
      </c>
      <c r="BC119" t="s">
        <v>74</v>
      </c>
      <c r="BD119">
        <v>411</v>
      </c>
      <c r="BE119" t="s">
        <v>2583</v>
      </c>
      <c r="BF119" t="str">
        <f>HYPERLINK("http://dx.doi.org/10.3390/rs8050411","http://dx.doi.org/10.3390/rs8050411")</f>
        <v>http://dx.doi.org/10.3390/rs8050411</v>
      </c>
      <c r="BG119" t="s">
        <v>74</v>
      </c>
      <c r="BH119" t="s">
        <v>74</v>
      </c>
      <c r="BI119">
        <v>19</v>
      </c>
      <c r="BJ119" t="s">
        <v>2584</v>
      </c>
      <c r="BK119" t="s">
        <v>102</v>
      </c>
      <c r="BL119" t="s">
        <v>2585</v>
      </c>
      <c r="BM119" t="s">
        <v>2586</v>
      </c>
      <c r="BN119" t="s">
        <v>74</v>
      </c>
      <c r="BO119" t="s">
        <v>2587</v>
      </c>
      <c r="BP119" t="s">
        <v>74</v>
      </c>
      <c r="BQ119" t="s">
        <v>74</v>
      </c>
      <c r="BR119" t="s">
        <v>106</v>
      </c>
      <c r="BS119" t="s">
        <v>2588</v>
      </c>
      <c r="BT119" t="str">
        <f>HYPERLINK("https%3A%2F%2Fwww.webofscience.com%2Fwos%2Fwoscc%2Ffull-record%2FWOS:000378406400055","View Full Record in Web of Science")</f>
        <v>View Full Record in Web of Science</v>
      </c>
    </row>
    <row r="120" spans="1:72" x14ac:dyDescent="0.15">
      <c r="A120" t="s">
        <v>72</v>
      </c>
      <c r="B120" t="s">
        <v>2589</v>
      </c>
      <c r="C120" t="s">
        <v>74</v>
      </c>
      <c r="D120" t="s">
        <v>74</v>
      </c>
      <c r="E120" t="s">
        <v>74</v>
      </c>
      <c r="F120" t="s">
        <v>2590</v>
      </c>
      <c r="G120" t="s">
        <v>74</v>
      </c>
      <c r="H120" t="s">
        <v>74</v>
      </c>
      <c r="I120" t="s">
        <v>2591</v>
      </c>
      <c r="J120" t="s">
        <v>2564</v>
      </c>
      <c r="K120" t="s">
        <v>74</v>
      </c>
      <c r="L120" t="s">
        <v>74</v>
      </c>
      <c r="M120" t="s">
        <v>78</v>
      </c>
      <c r="N120" t="s">
        <v>79</v>
      </c>
      <c r="O120" t="s">
        <v>74</v>
      </c>
      <c r="P120" t="s">
        <v>74</v>
      </c>
      <c r="Q120" t="s">
        <v>74</v>
      </c>
      <c r="R120" t="s">
        <v>74</v>
      </c>
      <c r="S120" t="s">
        <v>74</v>
      </c>
      <c r="T120" t="s">
        <v>2592</v>
      </c>
      <c r="U120" t="s">
        <v>2593</v>
      </c>
      <c r="V120" t="s">
        <v>2594</v>
      </c>
      <c r="W120" t="s">
        <v>2595</v>
      </c>
      <c r="X120" t="s">
        <v>2596</v>
      </c>
      <c r="Y120" t="s">
        <v>2597</v>
      </c>
      <c r="Z120" t="s">
        <v>2598</v>
      </c>
      <c r="AA120" t="s">
        <v>2599</v>
      </c>
      <c r="AB120" t="s">
        <v>2600</v>
      </c>
      <c r="AC120" t="s">
        <v>2601</v>
      </c>
      <c r="AD120" t="s">
        <v>2602</v>
      </c>
      <c r="AE120" t="s">
        <v>2603</v>
      </c>
      <c r="AF120" t="s">
        <v>74</v>
      </c>
      <c r="AG120">
        <v>31</v>
      </c>
      <c r="AH120">
        <v>13</v>
      </c>
      <c r="AI120">
        <v>13</v>
      </c>
      <c r="AJ120">
        <v>0</v>
      </c>
      <c r="AK120">
        <v>7</v>
      </c>
      <c r="AL120" t="s">
        <v>2604</v>
      </c>
      <c r="AM120" t="s">
        <v>2578</v>
      </c>
      <c r="AN120" t="s">
        <v>2579</v>
      </c>
      <c r="AO120" t="s">
        <v>2580</v>
      </c>
      <c r="AP120" t="s">
        <v>74</v>
      </c>
      <c r="AQ120" t="s">
        <v>74</v>
      </c>
      <c r="AR120" t="s">
        <v>2581</v>
      </c>
      <c r="AS120" t="s">
        <v>2582</v>
      </c>
      <c r="AT120" t="s">
        <v>2239</v>
      </c>
      <c r="AU120">
        <v>2016</v>
      </c>
      <c r="AV120">
        <v>8</v>
      </c>
      <c r="AW120">
        <v>5</v>
      </c>
      <c r="AX120" t="s">
        <v>74</v>
      </c>
      <c r="AY120" t="s">
        <v>74</v>
      </c>
      <c r="AZ120" t="s">
        <v>74</v>
      </c>
      <c r="BA120" t="s">
        <v>74</v>
      </c>
      <c r="BB120" t="s">
        <v>74</v>
      </c>
      <c r="BC120" t="s">
        <v>74</v>
      </c>
      <c r="BD120">
        <v>380</v>
      </c>
      <c r="BE120" t="s">
        <v>2605</v>
      </c>
      <c r="BF120" t="str">
        <f>HYPERLINK("http://dx.doi.org/10.3390/rs8050380","http://dx.doi.org/10.3390/rs8050380")</f>
        <v>http://dx.doi.org/10.3390/rs8050380</v>
      </c>
      <c r="BG120" t="s">
        <v>74</v>
      </c>
      <c r="BH120" t="s">
        <v>74</v>
      </c>
      <c r="BI120">
        <v>21</v>
      </c>
      <c r="BJ120" t="s">
        <v>2584</v>
      </c>
      <c r="BK120" t="s">
        <v>102</v>
      </c>
      <c r="BL120" t="s">
        <v>2585</v>
      </c>
      <c r="BM120" t="s">
        <v>2586</v>
      </c>
      <c r="BN120" t="s">
        <v>74</v>
      </c>
      <c r="BO120" t="s">
        <v>2606</v>
      </c>
      <c r="BP120" t="s">
        <v>74</v>
      </c>
      <c r="BQ120" t="s">
        <v>74</v>
      </c>
      <c r="BR120" t="s">
        <v>106</v>
      </c>
      <c r="BS120" t="s">
        <v>2607</v>
      </c>
      <c r="BT120" t="str">
        <f>HYPERLINK("https%3A%2F%2Fwww.webofscience.com%2Fwos%2Fwoscc%2Ffull-record%2FWOS:000378406400024","View Full Record in Web of Science")</f>
        <v>View Full Record in Web of Science</v>
      </c>
    </row>
    <row r="121" spans="1:72" x14ac:dyDescent="0.15">
      <c r="A121" t="s">
        <v>72</v>
      </c>
      <c r="B121" t="s">
        <v>2608</v>
      </c>
      <c r="C121" t="s">
        <v>74</v>
      </c>
      <c r="D121" t="s">
        <v>74</v>
      </c>
      <c r="E121" t="s">
        <v>74</v>
      </c>
      <c r="F121" t="s">
        <v>2609</v>
      </c>
      <c r="G121" t="s">
        <v>74</v>
      </c>
      <c r="H121" t="s">
        <v>74</v>
      </c>
      <c r="I121" t="s">
        <v>2610</v>
      </c>
      <c r="J121" t="s">
        <v>2564</v>
      </c>
      <c r="K121" t="s">
        <v>74</v>
      </c>
      <c r="L121" t="s">
        <v>74</v>
      </c>
      <c r="M121" t="s">
        <v>78</v>
      </c>
      <c r="N121" t="s">
        <v>79</v>
      </c>
      <c r="O121" t="s">
        <v>74</v>
      </c>
      <c r="P121" t="s">
        <v>74</v>
      </c>
      <c r="Q121" t="s">
        <v>74</v>
      </c>
      <c r="R121" t="s">
        <v>74</v>
      </c>
      <c r="S121" t="s">
        <v>74</v>
      </c>
      <c r="T121" t="s">
        <v>2611</v>
      </c>
      <c r="U121" t="s">
        <v>2612</v>
      </c>
      <c r="V121" t="s">
        <v>2613</v>
      </c>
      <c r="W121" t="s">
        <v>2614</v>
      </c>
      <c r="X121" t="s">
        <v>2615</v>
      </c>
      <c r="Y121" t="s">
        <v>2616</v>
      </c>
      <c r="Z121" t="s">
        <v>2617</v>
      </c>
      <c r="AA121" t="s">
        <v>2618</v>
      </c>
      <c r="AB121" t="s">
        <v>74</v>
      </c>
      <c r="AC121" t="s">
        <v>2619</v>
      </c>
      <c r="AD121" t="s">
        <v>2620</v>
      </c>
      <c r="AE121" t="s">
        <v>2621</v>
      </c>
      <c r="AF121" t="s">
        <v>74</v>
      </c>
      <c r="AG121">
        <v>80</v>
      </c>
      <c r="AH121">
        <v>28</v>
      </c>
      <c r="AI121">
        <v>30</v>
      </c>
      <c r="AJ121">
        <v>0</v>
      </c>
      <c r="AK121">
        <v>39</v>
      </c>
      <c r="AL121" t="s">
        <v>2577</v>
      </c>
      <c r="AM121" t="s">
        <v>2578</v>
      </c>
      <c r="AN121" t="s">
        <v>2579</v>
      </c>
      <c r="AO121" t="s">
        <v>74</v>
      </c>
      <c r="AP121" t="s">
        <v>2580</v>
      </c>
      <c r="AQ121" t="s">
        <v>74</v>
      </c>
      <c r="AR121" t="s">
        <v>2581</v>
      </c>
      <c r="AS121" t="s">
        <v>2582</v>
      </c>
      <c r="AT121" t="s">
        <v>2239</v>
      </c>
      <c r="AU121">
        <v>2016</v>
      </c>
      <c r="AV121">
        <v>8</v>
      </c>
      <c r="AW121">
        <v>5</v>
      </c>
      <c r="AX121" t="s">
        <v>74</v>
      </c>
      <c r="AY121" t="s">
        <v>74</v>
      </c>
      <c r="AZ121" t="s">
        <v>74</v>
      </c>
      <c r="BA121" t="s">
        <v>74</v>
      </c>
      <c r="BB121" t="s">
        <v>74</v>
      </c>
      <c r="BC121" t="s">
        <v>74</v>
      </c>
      <c r="BD121">
        <v>375</v>
      </c>
      <c r="BE121" t="s">
        <v>2622</v>
      </c>
      <c r="BF121" t="str">
        <f>HYPERLINK("http://dx.doi.org/10.3390/rs8050375","http://dx.doi.org/10.3390/rs8050375")</f>
        <v>http://dx.doi.org/10.3390/rs8050375</v>
      </c>
      <c r="BG121" t="s">
        <v>74</v>
      </c>
      <c r="BH121" t="s">
        <v>74</v>
      </c>
      <c r="BI121">
        <v>29</v>
      </c>
      <c r="BJ121" t="s">
        <v>2584</v>
      </c>
      <c r="BK121" t="s">
        <v>102</v>
      </c>
      <c r="BL121" t="s">
        <v>2585</v>
      </c>
      <c r="BM121" t="s">
        <v>2586</v>
      </c>
      <c r="BN121" t="s">
        <v>74</v>
      </c>
      <c r="BO121" t="s">
        <v>2623</v>
      </c>
      <c r="BP121" t="s">
        <v>74</v>
      </c>
      <c r="BQ121" t="s">
        <v>74</v>
      </c>
      <c r="BR121" t="s">
        <v>106</v>
      </c>
      <c r="BS121" t="s">
        <v>2624</v>
      </c>
      <c r="BT121" t="str">
        <f>HYPERLINK("https%3A%2F%2Fwww.webofscience.com%2Fwos%2Fwoscc%2Ffull-record%2FWOS:000378406400019","View Full Record in Web of Science")</f>
        <v>View Full Record in Web of Science</v>
      </c>
    </row>
    <row r="122" spans="1:72" x14ac:dyDescent="0.15">
      <c r="A122" t="s">
        <v>72</v>
      </c>
      <c r="B122" t="s">
        <v>2625</v>
      </c>
      <c r="C122" t="s">
        <v>74</v>
      </c>
      <c r="D122" t="s">
        <v>74</v>
      </c>
      <c r="E122" t="s">
        <v>74</v>
      </c>
      <c r="F122" t="s">
        <v>2626</v>
      </c>
      <c r="G122" t="s">
        <v>74</v>
      </c>
      <c r="H122" t="s">
        <v>74</v>
      </c>
      <c r="I122" t="s">
        <v>2627</v>
      </c>
      <c r="J122" t="s">
        <v>2628</v>
      </c>
      <c r="K122" t="s">
        <v>74</v>
      </c>
      <c r="L122" t="s">
        <v>74</v>
      </c>
      <c r="M122" t="s">
        <v>2629</v>
      </c>
      <c r="N122" t="s">
        <v>79</v>
      </c>
      <c r="O122" t="s">
        <v>74</v>
      </c>
      <c r="P122" t="s">
        <v>74</v>
      </c>
      <c r="Q122" t="s">
        <v>74</v>
      </c>
      <c r="R122" t="s">
        <v>74</v>
      </c>
      <c r="S122" t="s">
        <v>74</v>
      </c>
      <c r="T122" t="s">
        <v>2630</v>
      </c>
      <c r="U122" t="s">
        <v>2631</v>
      </c>
      <c r="V122" t="s">
        <v>2632</v>
      </c>
      <c r="W122" t="s">
        <v>2633</v>
      </c>
      <c r="X122" t="s">
        <v>2634</v>
      </c>
      <c r="Y122" t="s">
        <v>2635</v>
      </c>
      <c r="Z122" t="s">
        <v>2636</v>
      </c>
      <c r="AA122" t="s">
        <v>74</v>
      </c>
      <c r="AB122" t="s">
        <v>74</v>
      </c>
      <c r="AC122" t="s">
        <v>74</v>
      </c>
      <c r="AD122" t="s">
        <v>74</v>
      </c>
      <c r="AE122" t="s">
        <v>74</v>
      </c>
      <c r="AF122" t="s">
        <v>74</v>
      </c>
      <c r="AG122">
        <v>22</v>
      </c>
      <c r="AH122">
        <v>2</v>
      </c>
      <c r="AI122">
        <v>14</v>
      </c>
      <c r="AJ122">
        <v>5</v>
      </c>
      <c r="AK122">
        <v>64</v>
      </c>
      <c r="AL122" t="s">
        <v>2034</v>
      </c>
      <c r="AM122" t="s">
        <v>262</v>
      </c>
      <c r="AN122" t="s">
        <v>2637</v>
      </c>
      <c r="AO122" t="s">
        <v>2638</v>
      </c>
      <c r="AP122" t="s">
        <v>2639</v>
      </c>
      <c r="AQ122" t="s">
        <v>74</v>
      </c>
      <c r="AR122" t="s">
        <v>2640</v>
      </c>
      <c r="AS122" t="s">
        <v>2641</v>
      </c>
      <c r="AT122" t="s">
        <v>2239</v>
      </c>
      <c r="AU122">
        <v>2016</v>
      </c>
      <c r="AV122">
        <v>44</v>
      </c>
      <c r="AW122">
        <v>5</v>
      </c>
      <c r="AX122" t="s">
        <v>74</v>
      </c>
      <c r="AY122" t="s">
        <v>74</v>
      </c>
      <c r="AZ122" t="s">
        <v>74</v>
      </c>
      <c r="BA122" t="s">
        <v>74</v>
      </c>
      <c r="BB122">
        <v>767</v>
      </c>
      <c r="BC122">
        <v>772</v>
      </c>
      <c r="BD122" t="s">
        <v>74</v>
      </c>
      <c r="BE122" t="s">
        <v>2642</v>
      </c>
      <c r="BF122" t="str">
        <f>HYPERLINK("http://dx.doi.org/10.11895/j.issn.0253.3820.150942","http://dx.doi.org/10.11895/j.issn.0253.3820.150942")</f>
        <v>http://dx.doi.org/10.11895/j.issn.0253.3820.150942</v>
      </c>
      <c r="BG122" t="s">
        <v>74</v>
      </c>
      <c r="BH122" t="s">
        <v>74</v>
      </c>
      <c r="BI122">
        <v>6</v>
      </c>
      <c r="BJ122" t="s">
        <v>1258</v>
      </c>
      <c r="BK122" t="s">
        <v>102</v>
      </c>
      <c r="BL122" t="s">
        <v>1259</v>
      </c>
      <c r="BM122" t="s">
        <v>2643</v>
      </c>
      <c r="BN122" t="s">
        <v>74</v>
      </c>
      <c r="BO122" t="s">
        <v>74</v>
      </c>
      <c r="BP122" t="s">
        <v>74</v>
      </c>
      <c r="BQ122" t="s">
        <v>74</v>
      </c>
      <c r="BR122" t="s">
        <v>106</v>
      </c>
      <c r="BS122" t="s">
        <v>2644</v>
      </c>
      <c r="BT122" t="str">
        <f>HYPERLINK("https%3A%2F%2Fwww.webofscience.com%2Fwos%2Fwoscc%2Ffull-record%2FWOS:000378354200010","View Full Record in Web of Science")</f>
        <v>View Full Record in Web of Science</v>
      </c>
    </row>
    <row r="123" spans="1:72" x14ac:dyDescent="0.15">
      <c r="A123" t="s">
        <v>72</v>
      </c>
      <c r="B123" t="s">
        <v>2645</v>
      </c>
      <c r="C123" t="s">
        <v>74</v>
      </c>
      <c r="D123" t="s">
        <v>74</v>
      </c>
      <c r="E123" t="s">
        <v>74</v>
      </c>
      <c r="F123" t="s">
        <v>2646</v>
      </c>
      <c r="G123" t="s">
        <v>74</v>
      </c>
      <c r="H123" t="s">
        <v>74</v>
      </c>
      <c r="I123" t="s">
        <v>2647</v>
      </c>
      <c r="J123" t="s">
        <v>2648</v>
      </c>
      <c r="K123" t="s">
        <v>74</v>
      </c>
      <c r="L123" t="s">
        <v>74</v>
      </c>
      <c r="M123" t="s">
        <v>78</v>
      </c>
      <c r="N123" t="s">
        <v>79</v>
      </c>
      <c r="O123" t="s">
        <v>74</v>
      </c>
      <c r="P123" t="s">
        <v>74</v>
      </c>
      <c r="Q123" t="s">
        <v>74</v>
      </c>
      <c r="R123" t="s">
        <v>74</v>
      </c>
      <c r="S123" t="s">
        <v>74</v>
      </c>
      <c r="T123" t="s">
        <v>74</v>
      </c>
      <c r="U123" t="s">
        <v>2649</v>
      </c>
      <c r="V123" t="s">
        <v>2650</v>
      </c>
      <c r="W123" t="s">
        <v>2651</v>
      </c>
      <c r="X123" t="s">
        <v>2652</v>
      </c>
      <c r="Y123" t="s">
        <v>2653</v>
      </c>
      <c r="Z123" t="s">
        <v>2654</v>
      </c>
      <c r="AA123" t="s">
        <v>2655</v>
      </c>
      <c r="AB123" t="s">
        <v>2656</v>
      </c>
      <c r="AC123" t="s">
        <v>2657</v>
      </c>
      <c r="AD123" t="s">
        <v>2658</v>
      </c>
      <c r="AE123" t="s">
        <v>2659</v>
      </c>
      <c r="AF123" t="s">
        <v>74</v>
      </c>
      <c r="AG123">
        <v>44</v>
      </c>
      <c r="AH123">
        <v>7</v>
      </c>
      <c r="AI123">
        <v>8</v>
      </c>
      <c r="AJ123">
        <v>2</v>
      </c>
      <c r="AK123">
        <v>20</v>
      </c>
      <c r="AL123" t="s">
        <v>2660</v>
      </c>
      <c r="AM123" t="s">
        <v>2661</v>
      </c>
      <c r="AN123" t="s">
        <v>2662</v>
      </c>
      <c r="AO123" t="s">
        <v>2663</v>
      </c>
      <c r="AP123" t="s">
        <v>2664</v>
      </c>
      <c r="AQ123" t="s">
        <v>74</v>
      </c>
      <c r="AR123" t="s">
        <v>2665</v>
      </c>
      <c r="AS123" t="s">
        <v>2666</v>
      </c>
      <c r="AT123" t="s">
        <v>2239</v>
      </c>
      <c r="AU123">
        <v>2016</v>
      </c>
      <c r="AV123">
        <v>139</v>
      </c>
      <c r="AW123">
        <v>5</v>
      </c>
      <c r="AX123" t="s">
        <v>74</v>
      </c>
      <c r="AY123" t="s">
        <v>74</v>
      </c>
      <c r="AZ123" t="s">
        <v>74</v>
      </c>
      <c r="BA123" t="s">
        <v>74</v>
      </c>
      <c r="BB123">
        <v>2885</v>
      </c>
      <c r="BC123">
        <v>2895</v>
      </c>
      <c r="BD123" t="s">
        <v>74</v>
      </c>
      <c r="BE123" t="s">
        <v>2667</v>
      </c>
      <c r="BF123" t="str">
        <f>HYPERLINK("http://dx.doi.org/10.1121/1.4948759","http://dx.doi.org/10.1121/1.4948759")</f>
        <v>http://dx.doi.org/10.1121/1.4948759</v>
      </c>
      <c r="BG123" t="s">
        <v>74</v>
      </c>
      <c r="BH123" t="s">
        <v>74</v>
      </c>
      <c r="BI123">
        <v>11</v>
      </c>
      <c r="BJ123" t="s">
        <v>2668</v>
      </c>
      <c r="BK123" t="s">
        <v>102</v>
      </c>
      <c r="BL123" t="s">
        <v>2668</v>
      </c>
      <c r="BM123" t="s">
        <v>2669</v>
      </c>
      <c r="BN123">
        <v>27250181</v>
      </c>
      <c r="BO123" t="s">
        <v>1143</v>
      </c>
      <c r="BP123" t="s">
        <v>74</v>
      </c>
      <c r="BQ123" t="s">
        <v>74</v>
      </c>
      <c r="BR123" t="s">
        <v>106</v>
      </c>
      <c r="BS123" t="s">
        <v>2670</v>
      </c>
      <c r="BT123" t="str">
        <f>HYPERLINK("https%3A%2F%2Fwww.webofscience.com%2Fwos%2Fwoscc%2Ffull-record%2FWOS:000377715100069","View Full Record in Web of Science")</f>
        <v>View Full Record in Web of Science</v>
      </c>
    </row>
    <row r="124" spans="1:72" x14ac:dyDescent="0.15">
      <c r="A124" t="s">
        <v>72</v>
      </c>
      <c r="B124" t="s">
        <v>2671</v>
      </c>
      <c r="C124" t="s">
        <v>74</v>
      </c>
      <c r="D124" t="s">
        <v>74</v>
      </c>
      <c r="E124" t="s">
        <v>74</v>
      </c>
      <c r="F124" t="s">
        <v>2672</v>
      </c>
      <c r="G124" t="s">
        <v>74</v>
      </c>
      <c r="H124" t="s">
        <v>74</v>
      </c>
      <c r="I124" t="s">
        <v>2673</v>
      </c>
      <c r="J124" t="s">
        <v>2674</v>
      </c>
      <c r="K124" t="s">
        <v>74</v>
      </c>
      <c r="L124" t="s">
        <v>74</v>
      </c>
      <c r="M124" t="s">
        <v>78</v>
      </c>
      <c r="N124" t="s">
        <v>79</v>
      </c>
      <c r="O124" t="s">
        <v>74</v>
      </c>
      <c r="P124" t="s">
        <v>74</v>
      </c>
      <c r="Q124" t="s">
        <v>74</v>
      </c>
      <c r="R124" t="s">
        <v>74</v>
      </c>
      <c r="S124" t="s">
        <v>74</v>
      </c>
      <c r="T124" t="s">
        <v>2675</v>
      </c>
      <c r="U124" t="s">
        <v>2676</v>
      </c>
      <c r="V124" t="s">
        <v>2677</v>
      </c>
      <c r="W124" t="s">
        <v>2678</v>
      </c>
      <c r="X124" t="s">
        <v>2679</v>
      </c>
      <c r="Y124" t="s">
        <v>2680</v>
      </c>
      <c r="Z124" t="s">
        <v>2681</v>
      </c>
      <c r="AA124" t="s">
        <v>2682</v>
      </c>
      <c r="AB124" t="s">
        <v>2683</v>
      </c>
      <c r="AC124" t="s">
        <v>2684</v>
      </c>
      <c r="AD124" t="s">
        <v>2685</v>
      </c>
      <c r="AE124" t="s">
        <v>74</v>
      </c>
      <c r="AF124" t="s">
        <v>74</v>
      </c>
      <c r="AG124">
        <v>97</v>
      </c>
      <c r="AH124">
        <v>11</v>
      </c>
      <c r="AI124">
        <v>13</v>
      </c>
      <c r="AJ124">
        <v>1</v>
      </c>
      <c r="AK124">
        <v>20</v>
      </c>
      <c r="AL124" t="s">
        <v>626</v>
      </c>
      <c r="AM124" t="s">
        <v>583</v>
      </c>
      <c r="AN124" t="s">
        <v>627</v>
      </c>
      <c r="AO124" t="s">
        <v>2686</v>
      </c>
      <c r="AP124" t="s">
        <v>2687</v>
      </c>
      <c r="AQ124" t="s">
        <v>74</v>
      </c>
      <c r="AR124" t="s">
        <v>2688</v>
      </c>
      <c r="AS124" t="s">
        <v>2689</v>
      </c>
      <c r="AT124" t="s">
        <v>2239</v>
      </c>
      <c r="AU124">
        <v>2016</v>
      </c>
      <c r="AV124">
        <v>125</v>
      </c>
      <c r="AW124" t="s">
        <v>74</v>
      </c>
      <c r="AX124" t="s">
        <v>74</v>
      </c>
      <c r="AY124" t="s">
        <v>74</v>
      </c>
      <c r="AZ124" t="s">
        <v>74</v>
      </c>
      <c r="BA124" t="s">
        <v>74</v>
      </c>
      <c r="BB124">
        <v>95</v>
      </c>
      <c r="BC124">
        <v>109</v>
      </c>
      <c r="BD124" t="s">
        <v>74</v>
      </c>
      <c r="BE124" t="s">
        <v>2690</v>
      </c>
      <c r="BF124" t="str">
        <f>HYPERLINK("http://dx.doi.org/10.1016/j.marmicro.2016.04.001","http://dx.doi.org/10.1016/j.marmicro.2016.04.001")</f>
        <v>http://dx.doi.org/10.1016/j.marmicro.2016.04.001</v>
      </c>
      <c r="BG124" t="s">
        <v>74</v>
      </c>
      <c r="BH124" t="s">
        <v>74</v>
      </c>
      <c r="BI124">
        <v>15</v>
      </c>
      <c r="BJ124" t="s">
        <v>2265</v>
      </c>
      <c r="BK124" t="s">
        <v>102</v>
      </c>
      <c r="BL124" t="s">
        <v>2265</v>
      </c>
      <c r="BM124" t="s">
        <v>2691</v>
      </c>
      <c r="BN124" t="s">
        <v>74</v>
      </c>
      <c r="BO124" t="s">
        <v>74</v>
      </c>
      <c r="BP124" t="s">
        <v>74</v>
      </c>
      <c r="BQ124" t="s">
        <v>74</v>
      </c>
      <c r="BR124" t="s">
        <v>106</v>
      </c>
      <c r="BS124" t="s">
        <v>2692</v>
      </c>
      <c r="BT124" t="str">
        <f>HYPERLINK("https%3A%2F%2Fwww.webofscience.com%2Fwos%2Fwoscc%2Ffull-record%2FWOS:000377734800007","View Full Record in Web of Science")</f>
        <v>View Full Record in Web of Science</v>
      </c>
    </row>
    <row r="125" spans="1:72" x14ac:dyDescent="0.15">
      <c r="A125" t="s">
        <v>72</v>
      </c>
      <c r="B125" t="s">
        <v>2693</v>
      </c>
      <c r="C125" t="s">
        <v>74</v>
      </c>
      <c r="D125" t="s">
        <v>74</v>
      </c>
      <c r="E125" t="s">
        <v>74</v>
      </c>
      <c r="F125" t="s">
        <v>2694</v>
      </c>
      <c r="G125" t="s">
        <v>74</v>
      </c>
      <c r="H125" t="s">
        <v>74</v>
      </c>
      <c r="I125" t="s">
        <v>2695</v>
      </c>
      <c r="J125" t="s">
        <v>2696</v>
      </c>
      <c r="K125" t="s">
        <v>74</v>
      </c>
      <c r="L125" t="s">
        <v>74</v>
      </c>
      <c r="M125" t="s">
        <v>78</v>
      </c>
      <c r="N125" t="s">
        <v>79</v>
      </c>
      <c r="O125" t="s">
        <v>74</v>
      </c>
      <c r="P125" t="s">
        <v>74</v>
      </c>
      <c r="Q125" t="s">
        <v>74</v>
      </c>
      <c r="R125" t="s">
        <v>74</v>
      </c>
      <c r="S125" t="s">
        <v>74</v>
      </c>
      <c r="T125" t="s">
        <v>2697</v>
      </c>
      <c r="U125" t="s">
        <v>2698</v>
      </c>
      <c r="V125" t="s">
        <v>2699</v>
      </c>
      <c r="W125" t="s">
        <v>2700</v>
      </c>
      <c r="X125" t="s">
        <v>2701</v>
      </c>
      <c r="Y125" t="s">
        <v>2702</v>
      </c>
      <c r="Z125" t="s">
        <v>2703</v>
      </c>
      <c r="AA125" t="s">
        <v>2704</v>
      </c>
      <c r="AB125" t="s">
        <v>2705</v>
      </c>
      <c r="AC125" t="s">
        <v>2706</v>
      </c>
      <c r="AD125" t="s">
        <v>2707</v>
      </c>
      <c r="AE125" t="s">
        <v>2708</v>
      </c>
      <c r="AF125" t="s">
        <v>74</v>
      </c>
      <c r="AG125">
        <v>61</v>
      </c>
      <c r="AH125">
        <v>40</v>
      </c>
      <c r="AI125">
        <v>50</v>
      </c>
      <c r="AJ125">
        <v>2</v>
      </c>
      <c r="AK125">
        <v>32</v>
      </c>
      <c r="AL125" t="s">
        <v>2709</v>
      </c>
      <c r="AM125" t="s">
        <v>773</v>
      </c>
      <c r="AN125" t="s">
        <v>2710</v>
      </c>
      <c r="AO125" t="s">
        <v>2711</v>
      </c>
      <c r="AP125" t="s">
        <v>74</v>
      </c>
      <c r="AQ125" t="s">
        <v>74</v>
      </c>
      <c r="AR125" t="s">
        <v>2712</v>
      </c>
      <c r="AS125" t="s">
        <v>2713</v>
      </c>
      <c r="AT125" t="s">
        <v>2239</v>
      </c>
      <c r="AU125">
        <v>2016</v>
      </c>
      <c r="AV125">
        <v>3</v>
      </c>
      <c r="AW125">
        <v>5</v>
      </c>
      <c r="AX125" t="s">
        <v>74</v>
      </c>
      <c r="AY125" t="s">
        <v>74</v>
      </c>
      <c r="AZ125" t="s">
        <v>74</v>
      </c>
      <c r="BA125" t="s">
        <v>74</v>
      </c>
      <c r="BB125" t="s">
        <v>74</v>
      </c>
      <c r="BC125" t="s">
        <v>74</v>
      </c>
      <c r="BD125">
        <v>160043</v>
      </c>
      <c r="BE125" t="s">
        <v>2714</v>
      </c>
      <c r="BF125" t="str">
        <f>HYPERLINK("http://dx.doi.org/10.1098/rsos.160043","http://dx.doi.org/10.1098/rsos.160043")</f>
        <v>http://dx.doi.org/10.1098/rsos.160043</v>
      </c>
      <c r="BG125" t="s">
        <v>74</v>
      </c>
      <c r="BH125" t="s">
        <v>74</v>
      </c>
      <c r="BI125">
        <v>15</v>
      </c>
      <c r="BJ125" t="s">
        <v>753</v>
      </c>
      <c r="BK125" t="s">
        <v>102</v>
      </c>
      <c r="BL125" t="s">
        <v>754</v>
      </c>
      <c r="BM125" t="s">
        <v>2715</v>
      </c>
      <c r="BN125">
        <v>27293784</v>
      </c>
      <c r="BO125" t="s">
        <v>993</v>
      </c>
      <c r="BP125" t="s">
        <v>74</v>
      </c>
      <c r="BQ125" t="s">
        <v>74</v>
      </c>
      <c r="BR125" t="s">
        <v>106</v>
      </c>
      <c r="BS125" t="s">
        <v>2716</v>
      </c>
      <c r="BT125" t="str">
        <f>HYPERLINK("https%3A%2F%2Fwww.webofscience.com%2Fwos%2Fwoscc%2Ffull-record%2FWOS:000377969800009","View Full Record in Web of Science")</f>
        <v>View Full Record in Web of Science</v>
      </c>
    </row>
    <row r="126" spans="1:72" x14ac:dyDescent="0.15">
      <c r="A126" t="s">
        <v>72</v>
      </c>
      <c r="B126" t="s">
        <v>2717</v>
      </c>
      <c r="C126" t="s">
        <v>74</v>
      </c>
      <c r="D126" t="s">
        <v>74</v>
      </c>
      <c r="E126" t="s">
        <v>74</v>
      </c>
      <c r="F126" t="s">
        <v>2718</v>
      </c>
      <c r="G126" t="s">
        <v>74</v>
      </c>
      <c r="H126" t="s">
        <v>74</v>
      </c>
      <c r="I126" t="s">
        <v>2719</v>
      </c>
      <c r="J126" t="s">
        <v>2720</v>
      </c>
      <c r="K126" t="s">
        <v>74</v>
      </c>
      <c r="L126" t="s">
        <v>74</v>
      </c>
      <c r="M126" t="s">
        <v>78</v>
      </c>
      <c r="N126" t="s">
        <v>79</v>
      </c>
      <c r="O126" t="s">
        <v>74</v>
      </c>
      <c r="P126" t="s">
        <v>74</v>
      </c>
      <c r="Q126" t="s">
        <v>74</v>
      </c>
      <c r="R126" t="s">
        <v>74</v>
      </c>
      <c r="S126" t="s">
        <v>74</v>
      </c>
      <c r="T126" t="s">
        <v>2721</v>
      </c>
      <c r="U126" t="s">
        <v>2722</v>
      </c>
      <c r="V126" t="s">
        <v>2723</v>
      </c>
      <c r="W126" t="s">
        <v>2724</v>
      </c>
      <c r="X126" t="s">
        <v>2725</v>
      </c>
      <c r="Y126" t="s">
        <v>2726</v>
      </c>
      <c r="Z126" t="s">
        <v>2727</v>
      </c>
      <c r="AA126" t="s">
        <v>2728</v>
      </c>
      <c r="AB126" t="s">
        <v>2729</v>
      </c>
      <c r="AC126" t="s">
        <v>2730</v>
      </c>
      <c r="AD126" t="s">
        <v>2731</v>
      </c>
      <c r="AE126" t="s">
        <v>2732</v>
      </c>
      <c r="AF126" t="s">
        <v>74</v>
      </c>
      <c r="AG126">
        <v>66</v>
      </c>
      <c r="AH126">
        <v>9</v>
      </c>
      <c r="AI126">
        <v>9</v>
      </c>
      <c r="AJ126">
        <v>0</v>
      </c>
      <c r="AK126">
        <v>13</v>
      </c>
      <c r="AL126" t="s">
        <v>1657</v>
      </c>
      <c r="AM126" t="s">
        <v>679</v>
      </c>
      <c r="AN126" t="s">
        <v>1658</v>
      </c>
      <c r="AO126" t="s">
        <v>2733</v>
      </c>
      <c r="AP126" t="s">
        <v>2734</v>
      </c>
      <c r="AQ126" t="s">
        <v>74</v>
      </c>
      <c r="AR126" t="s">
        <v>2735</v>
      </c>
      <c r="AS126" t="s">
        <v>2736</v>
      </c>
      <c r="AT126" t="s">
        <v>2239</v>
      </c>
      <c r="AU126">
        <v>2016</v>
      </c>
      <c r="AV126">
        <v>38</v>
      </c>
      <c r="AW126">
        <v>3</v>
      </c>
      <c r="AX126" t="s">
        <v>74</v>
      </c>
      <c r="AY126" t="s">
        <v>74</v>
      </c>
      <c r="AZ126" t="s">
        <v>74</v>
      </c>
      <c r="BA126" t="s">
        <v>74</v>
      </c>
      <c r="BB126">
        <v>575</v>
      </c>
      <c r="BC126">
        <v>588</v>
      </c>
      <c r="BD126" t="s">
        <v>74</v>
      </c>
      <c r="BE126" t="s">
        <v>2737</v>
      </c>
      <c r="BF126" t="str">
        <f>HYPERLINK("http://dx.doi.org/10.1093/plankt/fbw017","http://dx.doi.org/10.1093/plankt/fbw017")</f>
        <v>http://dx.doi.org/10.1093/plankt/fbw017</v>
      </c>
      <c r="BG126" t="s">
        <v>74</v>
      </c>
      <c r="BH126" t="s">
        <v>74</v>
      </c>
      <c r="BI126">
        <v>14</v>
      </c>
      <c r="BJ126" t="s">
        <v>2738</v>
      </c>
      <c r="BK126" t="s">
        <v>102</v>
      </c>
      <c r="BL126" t="s">
        <v>2738</v>
      </c>
      <c r="BM126" t="s">
        <v>2739</v>
      </c>
      <c r="BN126" t="s">
        <v>74</v>
      </c>
      <c r="BO126" t="s">
        <v>293</v>
      </c>
      <c r="BP126" t="s">
        <v>74</v>
      </c>
      <c r="BQ126" t="s">
        <v>74</v>
      </c>
      <c r="BR126" t="s">
        <v>106</v>
      </c>
      <c r="BS126" t="s">
        <v>2740</v>
      </c>
      <c r="BT126" t="str">
        <f>HYPERLINK("https%3A%2F%2Fwww.webofscience.com%2Fwos%2Fwoscc%2Ffull-record%2FWOS:000377299000015","View Full Record in Web of Science")</f>
        <v>View Full Record in Web of Science</v>
      </c>
    </row>
    <row r="127" spans="1:72" x14ac:dyDescent="0.15">
      <c r="A127" t="s">
        <v>72</v>
      </c>
      <c r="B127" t="s">
        <v>2741</v>
      </c>
      <c r="C127" t="s">
        <v>74</v>
      </c>
      <c r="D127" t="s">
        <v>74</v>
      </c>
      <c r="E127" t="s">
        <v>74</v>
      </c>
      <c r="F127" t="s">
        <v>2742</v>
      </c>
      <c r="G127" t="s">
        <v>74</v>
      </c>
      <c r="H127" t="s">
        <v>74</v>
      </c>
      <c r="I127" t="s">
        <v>2743</v>
      </c>
      <c r="J127" t="s">
        <v>2720</v>
      </c>
      <c r="K127" t="s">
        <v>74</v>
      </c>
      <c r="L127" t="s">
        <v>74</v>
      </c>
      <c r="M127" t="s">
        <v>78</v>
      </c>
      <c r="N127" t="s">
        <v>79</v>
      </c>
      <c r="O127" t="s">
        <v>74</v>
      </c>
      <c r="P127" t="s">
        <v>74</v>
      </c>
      <c r="Q127" t="s">
        <v>74</v>
      </c>
      <c r="R127" t="s">
        <v>74</v>
      </c>
      <c r="S127" t="s">
        <v>74</v>
      </c>
      <c r="T127" t="s">
        <v>2744</v>
      </c>
      <c r="U127" t="s">
        <v>2745</v>
      </c>
      <c r="V127" t="s">
        <v>2746</v>
      </c>
      <c r="W127" t="s">
        <v>2747</v>
      </c>
      <c r="X127" t="s">
        <v>2748</v>
      </c>
      <c r="Y127" t="s">
        <v>2749</v>
      </c>
      <c r="Z127" t="s">
        <v>2750</v>
      </c>
      <c r="AA127" t="s">
        <v>2751</v>
      </c>
      <c r="AB127" t="s">
        <v>2752</v>
      </c>
      <c r="AC127" t="s">
        <v>2753</v>
      </c>
      <c r="AD127" t="s">
        <v>2754</v>
      </c>
      <c r="AE127" t="s">
        <v>2755</v>
      </c>
      <c r="AF127" t="s">
        <v>74</v>
      </c>
      <c r="AG127">
        <v>89</v>
      </c>
      <c r="AH127">
        <v>17</v>
      </c>
      <c r="AI127">
        <v>21</v>
      </c>
      <c r="AJ127">
        <v>1</v>
      </c>
      <c r="AK127">
        <v>24</v>
      </c>
      <c r="AL127" t="s">
        <v>1657</v>
      </c>
      <c r="AM127" t="s">
        <v>679</v>
      </c>
      <c r="AN127" t="s">
        <v>1658</v>
      </c>
      <c r="AO127" t="s">
        <v>2733</v>
      </c>
      <c r="AP127" t="s">
        <v>2734</v>
      </c>
      <c r="AQ127" t="s">
        <v>74</v>
      </c>
      <c r="AR127" t="s">
        <v>2735</v>
      </c>
      <c r="AS127" t="s">
        <v>2736</v>
      </c>
      <c r="AT127" t="s">
        <v>2239</v>
      </c>
      <c r="AU127">
        <v>2016</v>
      </c>
      <c r="AV127">
        <v>38</v>
      </c>
      <c r="AW127">
        <v>3</v>
      </c>
      <c r="AX127" t="s">
        <v>74</v>
      </c>
      <c r="AY127" t="s">
        <v>74</v>
      </c>
      <c r="AZ127" t="s">
        <v>74</v>
      </c>
      <c r="BA127" t="s">
        <v>74</v>
      </c>
      <c r="BB127">
        <v>732</v>
      </c>
      <c r="BC127">
        <v>750</v>
      </c>
      <c r="BD127" t="s">
        <v>74</v>
      </c>
      <c r="BE127" t="s">
        <v>2756</v>
      </c>
      <c r="BF127" t="str">
        <f>HYPERLINK("http://dx.doi.org/10.1093/plankt/fbv070","http://dx.doi.org/10.1093/plankt/fbv070")</f>
        <v>http://dx.doi.org/10.1093/plankt/fbv070</v>
      </c>
      <c r="BG127" t="s">
        <v>74</v>
      </c>
      <c r="BH127" t="s">
        <v>74</v>
      </c>
      <c r="BI127">
        <v>19</v>
      </c>
      <c r="BJ127" t="s">
        <v>2738</v>
      </c>
      <c r="BK127" t="s">
        <v>102</v>
      </c>
      <c r="BL127" t="s">
        <v>2738</v>
      </c>
      <c r="BM127" t="s">
        <v>2739</v>
      </c>
      <c r="BN127" t="s">
        <v>74</v>
      </c>
      <c r="BO127" t="s">
        <v>420</v>
      </c>
      <c r="BP127" t="s">
        <v>74</v>
      </c>
      <c r="BQ127" t="s">
        <v>74</v>
      </c>
      <c r="BR127" t="s">
        <v>106</v>
      </c>
      <c r="BS127" t="s">
        <v>2757</v>
      </c>
      <c r="BT127" t="str">
        <f>HYPERLINK("https%3A%2F%2Fwww.webofscience.com%2Fwos%2Fwoscc%2Ffull-record%2FWOS:000377299000031","View Full Record in Web of Science")</f>
        <v>View Full Record in Web of Science</v>
      </c>
    </row>
    <row r="128" spans="1:72" x14ac:dyDescent="0.15">
      <c r="A128" t="s">
        <v>72</v>
      </c>
      <c r="B128" t="s">
        <v>2758</v>
      </c>
      <c r="C128" t="s">
        <v>74</v>
      </c>
      <c r="D128" t="s">
        <v>74</v>
      </c>
      <c r="E128" t="s">
        <v>74</v>
      </c>
      <c r="F128" t="s">
        <v>2759</v>
      </c>
      <c r="G128" t="s">
        <v>74</v>
      </c>
      <c r="H128" t="s">
        <v>74</v>
      </c>
      <c r="I128" t="s">
        <v>2760</v>
      </c>
      <c r="J128" t="s">
        <v>2761</v>
      </c>
      <c r="K128" t="s">
        <v>74</v>
      </c>
      <c r="L128" t="s">
        <v>74</v>
      </c>
      <c r="M128" t="s">
        <v>78</v>
      </c>
      <c r="N128" t="s">
        <v>79</v>
      </c>
      <c r="O128" t="s">
        <v>74</v>
      </c>
      <c r="P128" t="s">
        <v>74</v>
      </c>
      <c r="Q128" t="s">
        <v>74</v>
      </c>
      <c r="R128" t="s">
        <v>74</v>
      </c>
      <c r="S128" t="s">
        <v>74</v>
      </c>
      <c r="T128" t="s">
        <v>2762</v>
      </c>
      <c r="U128" t="s">
        <v>2763</v>
      </c>
      <c r="V128" t="s">
        <v>2764</v>
      </c>
      <c r="W128" t="s">
        <v>2765</v>
      </c>
      <c r="X128" t="s">
        <v>2766</v>
      </c>
      <c r="Y128" t="s">
        <v>2767</v>
      </c>
      <c r="Z128" t="s">
        <v>2768</v>
      </c>
      <c r="AA128" t="s">
        <v>2769</v>
      </c>
      <c r="AB128" t="s">
        <v>2770</v>
      </c>
      <c r="AC128" t="s">
        <v>74</v>
      </c>
      <c r="AD128" t="s">
        <v>74</v>
      </c>
      <c r="AE128" t="s">
        <v>74</v>
      </c>
      <c r="AF128" t="s">
        <v>74</v>
      </c>
      <c r="AG128">
        <v>65</v>
      </c>
      <c r="AH128">
        <v>7</v>
      </c>
      <c r="AI128">
        <v>8</v>
      </c>
      <c r="AJ128">
        <v>1</v>
      </c>
      <c r="AK128">
        <v>19</v>
      </c>
      <c r="AL128" t="s">
        <v>2361</v>
      </c>
      <c r="AM128" t="s">
        <v>262</v>
      </c>
      <c r="AN128" t="s">
        <v>2362</v>
      </c>
      <c r="AO128" t="s">
        <v>2771</v>
      </c>
      <c r="AP128" t="s">
        <v>2772</v>
      </c>
      <c r="AQ128" t="s">
        <v>74</v>
      </c>
      <c r="AR128" t="s">
        <v>2773</v>
      </c>
      <c r="AS128" t="s">
        <v>2774</v>
      </c>
      <c r="AT128" t="s">
        <v>2239</v>
      </c>
      <c r="AU128">
        <v>2016</v>
      </c>
      <c r="AV128">
        <v>47</v>
      </c>
      <c r="AW128">
        <v>3</v>
      </c>
      <c r="AX128" t="s">
        <v>74</v>
      </c>
      <c r="AY128" t="s">
        <v>74</v>
      </c>
      <c r="AZ128" t="s">
        <v>74</v>
      </c>
      <c r="BA128" t="s">
        <v>74</v>
      </c>
      <c r="BB128">
        <v>138</v>
      </c>
      <c r="BC128">
        <v>146</v>
      </c>
      <c r="BD128" t="s">
        <v>74</v>
      </c>
      <c r="BE128" t="s">
        <v>2775</v>
      </c>
      <c r="BF128" t="str">
        <f>HYPERLINK("http://dx.doi.org/10.1134/S1062360416030073","http://dx.doi.org/10.1134/S1062360416030073")</f>
        <v>http://dx.doi.org/10.1134/S1062360416030073</v>
      </c>
      <c r="BG128" t="s">
        <v>74</v>
      </c>
      <c r="BH128" t="s">
        <v>74</v>
      </c>
      <c r="BI128">
        <v>9</v>
      </c>
      <c r="BJ128" t="s">
        <v>2776</v>
      </c>
      <c r="BK128" t="s">
        <v>102</v>
      </c>
      <c r="BL128" t="s">
        <v>2776</v>
      </c>
      <c r="BM128" t="s">
        <v>2777</v>
      </c>
      <c r="BN128" t="s">
        <v>74</v>
      </c>
      <c r="BO128" t="s">
        <v>74</v>
      </c>
      <c r="BP128" t="s">
        <v>74</v>
      </c>
      <c r="BQ128" t="s">
        <v>74</v>
      </c>
      <c r="BR128" t="s">
        <v>106</v>
      </c>
      <c r="BS128" t="s">
        <v>2778</v>
      </c>
      <c r="BT128" t="str">
        <f>HYPERLINK("https%3A%2F%2Fwww.webofscience.com%2Fwos%2Fwoscc%2Ffull-record%2FWOS:000377595800004","View Full Record in Web of Science")</f>
        <v>View Full Record in Web of Science</v>
      </c>
    </row>
    <row r="129" spans="1:72" x14ac:dyDescent="0.15">
      <c r="A129" t="s">
        <v>72</v>
      </c>
      <c r="B129" t="s">
        <v>2779</v>
      </c>
      <c r="C129" t="s">
        <v>74</v>
      </c>
      <c r="D129" t="s">
        <v>74</v>
      </c>
      <c r="E129" t="s">
        <v>74</v>
      </c>
      <c r="F129" t="s">
        <v>2780</v>
      </c>
      <c r="G129" t="s">
        <v>74</v>
      </c>
      <c r="H129" t="s">
        <v>74</v>
      </c>
      <c r="I129" t="s">
        <v>2781</v>
      </c>
      <c r="J129" t="s">
        <v>2782</v>
      </c>
      <c r="K129" t="s">
        <v>74</v>
      </c>
      <c r="L129" t="s">
        <v>74</v>
      </c>
      <c r="M129" t="s">
        <v>78</v>
      </c>
      <c r="N129" t="s">
        <v>79</v>
      </c>
      <c r="O129" t="s">
        <v>74</v>
      </c>
      <c r="P129" t="s">
        <v>74</v>
      </c>
      <c r="Q129" t="s">
        <v>74</v>
      </c>
      <c r="R129" t="s">
        <v>74</v>
      </c>
      <c r="S129" t="s">
        <v>74</v>
      </c>
      <c r="T129" t="s">
        <v>74</v>
      </c>
      <c r="U129" t="s">
        <v>2783</v>
      </c>
      <c r="V129" t="s">
        <v>2784</v>
      </c>
      <c r="W129" t="s">
        <v>2785</v>
      </c>
      <c r="X129" t="s">
        <v>2786</v>
      </c>
      <c r="Y129" t="s">
        <v>2787</v>
      </c>
      <c r="Z129" t="s">
        <v>2788</v>
      </c>
      <c r="AA129" t="s">
        <v>2789</v>
      </c>
      <c r="AB129" t="s">
        <v>2790</v>
      </c>
      <c r="AC129" t="s">
        <v>2791</v>
      </c>
      <c r="AD129" t="s">
        <v>2792</v>
      </c>
      <c r="AE129" t="s">
        <v>2793</v>
      </c>
      <c r="AF129" t="s">
        <v>74</v>
      </c>
      <c r="AG129">
        <v>43</v>
      </c>
      <c r="AH129">
        <v>34</v>
      </c>
      <c r="AI129">
        <v>36</v>
      </c>
      <c r="AJ129">
        <v>1</v>
      </c>
      <c r="AK129">
        <v>28</v>
      </c>
      <c r="AL129" t="s">
        <v>124</v>
      </c>
      <c r="AM129" t="s">
        <v>125</v>
      </c>
      <c r="AN129" t="s">
        <v>126</v>
      </c>
      <c r="AO129" t="s">
        <v>2794</v>
      </c>
      <c r="AP129" t="s">
        <v>74</v>
      </c>
      <c r="AQ129" t="s">
        <v>74</v>
      </c>
      <c r="AR129" t="s">
        <v>2795</v>
      </c>
      <c r="AS129" t="s">
        <v>2796</v>
      </c>
      <c r="AT129" t="s">
        <v>2239</v>
      </c>
      <c r="AU129">
        <v>2016</v>
      </c>
      <c r="AV129">
        <v>14</v>
      </c>
      <c r="AW129">
        <v>5</v>
      </c>
      <c r="AX129" t="s">
        <v>74</v>
      </c>
      <c r="AY129" t="s">
        <v>74</v>
      </c>
      <c r="AZ129" t="s">
        <v>74</v>
      </c>
      <c r="BA129" t="s">
        <v>74</v>
      </c>
      <c r="BB129">
        <v>293</v>
      </c>
      <c r="BC129">
        <v>304</v>
      </c>
      <c r="BD129" t="s">
        <v>74</v>
      </c>
      <c r="BE129" t="s">
        <v>2797</v>
      </c>
      <c r="BF129" t="str">
        <f>HYPERLINK("http://dx.doi.org/10.1002/lom3.10089","http://dx.doi.org/10.1002/lom3.10089")</f>
        <v>http://dx.doi.org/10.1002/lom3.10089</v>
      </c>
      <c r="BG129" t="s">
        <v>74</v>
      </c>
      <c r="BH129" t="s">
        <v>74</v>
      </c>
      <c r="BI129">
        <v>12</v>
      </c>
      <c r="BJ129" t="s">
        <v>2798</v>
      </c>
      <c r="BK129" t="s">
        <v>102</v>
      </c>
      <c r="BL129" t="s">
        <v>2738</v>
      </c>
      <c r="BM129" t="s">
        <v>2799</v>
      </c>
      <c r="BN129" t="s">
        <v>74</v>
      </c>
      <c r="BO129" t="s">
        <v>420</v>
      </c>
      <c r="BP129" t="s">
        <v>74</v>
      </c>
      <c r="BQ129" t="s">
        <v>74</v>
      </c>
      <c r="BR129" t="s">
        <v>106</v>
      </c>
      <c r="BS129" t="s">
        <v>2800</v>
      </c>
      <c r="BT129" t="str">
        <f>HYPERLINK("https%3A%2F%2Fwww.webofscience.com%2Fwos%2Fwoscc%2Ffull-record%2FWOS:000376678000001","View Full Record in Web of Science")</f>
        <v>View Full Record in Web of Science</v>
      </c>
    </row>
    <row r="130" spans="1:72" x14ac:dyDescent="0.15">
      <c r="A130" t="s">
        <v>72</v>
      </c>
      <c r="B130" t="s">
        <v>2801</v>
      </c>
      <c r="C130" t="s">
        <v>74</v>
      </c>
      <c r="D130" t="s">
        <v>74</v>
      </c>
      <c r="E130" t="s">
        <v>74</v>
      </c>
      <c r="F130" t="s">
        <v>2802</v>
      </c>
      <c r="G130" t="s">
        <v>74</v>
      </c>
      <c r="H130" t="s">
        <v>74</v>
      </c>
      <c r="I130" t="s">
        <v>2803</v>
      </c>
      <c r="J130" t="s">
        <v>2804</v>
      </c>
      <c r="K130" t="s">
        <v>74</v>
      </c>
      <c r="L130" t="s">
        <v>74</v>
      </c>
      <c r="M130" t="s">
        <v>78</v>
      </c>
      <c r="N130" t="s">
        <v>79</v>
      </c>
      <c r="O130" t="s">
        <v>74</v>
      </c>
      <c r="P130" t="s">
        <v>74</v>
      </c>
      <c r="Q130" t="s">
        <v>74</v>
      </c>
      <c r="R130" t="s">
        <v>74</v>
      </c>
      <c r="S130" t="s">
        <v>74</v>
      </c>
      <c r="T130" t="s">
        <v>2805</v>
      </c>
      <c r="U130" t="s">
        <v>2806</v>
      </c>
      <c r="V130" t="s">
        <v>2807</v>
      </c>
      <c r="W130" t="s">
        <v>2808</v>
      </c>
      <c r="X130" t="s">
        <v>2809</v>
      </c>
      <c r="Y130" t="s">
        <v>2810</v>
      </c>
      <c r="Z130" t="s">
        <v>2811</v>
      </c>
      <c r="AA130" t="s">
        <v>74</v>
      </c>
      <c r="AB130" t="s">
        <v>74</v>
      </c>
      <c r="AC130" t="s">
        <v>2812</v>
      </c>
      <c r="AD130" t="s">
        <v>2813</v>
      </c>
      <c r="AE130" t="s">
        <v>2814</v>
      </c>
      <c r="AF130" t="s">
        <v>74</v>
      </c>
      <c r="AG130">
        <v>33</v>
      </c>
      <c r="AH130">
        <v>26</v>
      </c>
      <c r="AI130">
        <v>26</v>
      </c>
      <c r="AJ130">
        <v>0</v>
      </c>
      <c r="AK130">
        <v>16</v>
      </c>
      <c r="AL130" t="s">
        <v>194</v>
      </c>
      <c r="AM130" t="s">
        <v>262</v>
      </c>
      <c r="AN130" t="s">
        <v>263</v>
      </c>
      <c r="AO130" t="s">
        <v>2815</v>
      </c>
      <c r="AP130" t="s">
        <v>2816</v>
      </c>
      <c r="AQ130" t="s">
        <v>74</v>
      </c>
      <c r="AR130" t="s">
        <v>2817</v>
      </c>
      <c r="AS130" t="s">
        <v>2818</v>
      </c>
      <c r="AT130" t="s">
        <v>2239</v>
      </c>
      <c r="AU130">
        <v>2016</v>
      </c>
      <c r="AV130">
        <v>35</v>
      </c>
      <c r="AW130">
        <v>5</v>
      </c>
      <c r="AX130" t="s">
        <v>74</v>
      </c>
      <c r="AY130" t="s">
        <v>74</v>
      </c>
      <c r="AZ130" t="s">
        <v>74</v>
      </c>
      <c r="BA130" t="s">
        <v>74</v>
      </c>
      <c r="BB130">
        <v>1</v>
      </c>
      <c r="BC130">
        <v>8</v>
      </c>
      <c r="BD130" t="s">
        <v>74</v>
      </c>
      <c r="BE130" t="s">
        <v>2819</v>
      </c>
      <c r="BF130" t="str">
        <f>HYPERLINK("http://dx.doi.org/10.1007/s13131-016-0858-1","http://dx.doi.org/10.1007/s13131-016-0858-1")</f>
        <v>http://dx.doi.org/10.1007/s13131-016-0858-1</v>
      </c>
      <c r="BG130" t="s">
        <v>74</v>
      </c>
      <c r="BH130" t="s">
        <v>74</v>
      </c>
      <c r="BI130">
        <v>8</v>
      </c>
      <c r="BJ130" t="s">
        <v>361</v>
      </c>
      <c r="BK130" t="s">
        <v>102</v>
      </c>
      <c r="BL130" t="s">
        <v>361</v>
      </c>
      <c r="BM130" t="s">
        <v>2820</v>
      </c>
      <c r="BN130" t="s">
        <v>74</v>
      </c>
      <c r="BO130" t="s">
        <v>74</v>
      </c>
      <c r="BP130" t="s">
        <v>74</v>
      </c>
      <c r="BQ130" t="s">
        <v>74</v>
      </c>
      <c r="BR130" t="s">
        <v>106</v>
      </c>
      <c r="BS130" t="s">
        <v>2821</v>
      </c>
      <c r="BT130" t="str">
        <f>HYPERLINK("https%3A%2F%2Fwww.webofscience.com%2Fwos%2Fwoscc%2Ffull-record%2FWOS:000376049600001","View Full Record in Web of Science")</f>
        <v>View Full Record in Web of Science</v>
      </c>
    </row>
    <row r="131" spans="1:72" x14ac:dyDescent="0.15">
      <c r="A131" t="s">
        <v>72</v>
      </c>
      <c r="B131" t="s">
        <v>2822</v>
      </c>
      <c r="C131" t="s">
        <v>74</v>
      </c>
      <c r="D131" t="s">
        <v>74</v>
      </c>
      <c r="E131" t="s">
        <v>74</v>
      </c>
      <c r="F131" t="s">
        <v>2823</v>
      </c>
      <c r="G131" t="s">
        <v>74</v>
      </c>
      <c r="H131" t="s">
        <v>74</v>
      </c>
      <c r="I131" t="s">
        <v>2824</v>
      </c>
      <c r="J131" t="s">
        <v>2804</v>
      </c>
      <c r="K131" t="s">
        <v>74</v>
      </c>
      <c r="L131" t="s">
        <v>74</v>
      </c>
      <c r="M131" t="s">
        <v>78</v>
      </c>
      <c r="N131" t="s">
        <v>79</v>
      </c>
      <c r="O131" t="s">
        <v>74</v>
      </c>
      <c r="P131" t="s">
        <v>74</v>
      </c>
      <c r="Q131" t="s">
        <v>74</v>
      </c>
      <c r="R131" t="s">
        <v>74</v>
      </c>
      <c r="S131" t="s">
        <v>74</v>
      </c>
      <c r="T131" t="s">
        <v>2825</v>
      </c>
      <c r="U131" t="s">
        <v>2826</v>
      </c>
      <c r="V131" t="s">
        <v>2827</v>
      </c>
      <c r="W131" t="s">
        <v>2828</v>
      </c>
      <c r="X131" t="s">
        <v>2829</v>
      </c>
      <c r="Y131" t="s">
        <v>2830</v>
      </c>
      <c r="Z131" t="s">
        <v>2831</v>
      </c>
      <c r="AA131" t="s">
        <v>74</v>
      </c>
      <c r="AB131" t="s">
        <v>2832</v>
      </c>
      <c r="AC131" t="s">
        <v>2833</v>
      </c>
      <c r="AD131" t="s">
        <v>2834</v>
      </c>
      <c r="AE131" t="s">
        <v>2835</v>
      </c>
      <c r="AF131" t="s">
        <v>74</v>
      </c>
      <c r="AG131">
        <v>27</v>
      </c>
      <c r="AH131">
        <v>13</v>
      </c>
      <c r="AI131">
        <v>15</v>
      </c>
      <c r="AJ131">
        <v>1</v>
      </c>
      <c r="AK131">
        <v>25</v>
      </c>
      <c r="AL131" t="s">
        <v>194</v>
      </c>
      <c r="AM131" t="s">
        <v>262</v>
      </c>
      <c r="AN131" t="s">
        <v>2836</v>
      </c>
      <c r="AO131" t="s">
        <v>2815</v>
      </c>
      <c r="AP131" t="s">
        <v>2816</v>
      </c>
      <c r="AQ131" t="s">
        <v>74</v>
      </c>
      <c r="AR131" t="s">
        <v>2817</v>
      </c>
      <c r="AS131" t="s">
        <v>2818</v>
      </c>
      <c r="AT131" t="s">
        <v>2239</v>
      </c>
      <c r="AU131">
        <v>2016</v>
      </c>
      <c r="AV131">
        <v>35</v>
      </c>
      <c r="AW131">
        <v>5</v>
      </c>
      <c r="AX131" t="s">
        <v>74</v>
      </c>
      <c r="AY131" t="s">
        <v>74</v>
      </c>
      <c r="AZ131" t="s">
        <v>74</v>
      </c>
      <c r="BA131" t="s">
        <v>74</v>
      </c>
      <c r="BB131">
        <v>79</v>
      </c>
      <c r="BC131">
        <v>88</v>
      </c>
      <c r="BD131" t="s">
        <v>74</v>
      </c>
      <c r="BE131" t="s">
        <v>2837</v>
      </c>
      <c r="BF131" t="str">
        <f>HYPERLINK("http://dx.doi.org/10.1007/s13131-016-0856-3","http://dx.doi.org/10.1007/s13131-016-0856-3")</f>
        <v>http://dx.doi.org/10.1007/s13131-016-0856-3</v>
      </c>
      <c r="BG131" t="s">
        <v>74</v>
      </c>
      <c r="BH131" t="s">
        <v>74</v>
      </c>
      <c r="BI131">
        <v>10</v>
      </c>
      <c r="BJ131" t="s">
        <v>361</v>
      </c>
      <c r="BK131" t="s">
        <v>102</v>
      </c>
      <c r="BL131" t="s">
        <v>361</v>
      </c>
      <c r="BM131" t="s">
        <v>2820</v>
      </c>
      <c r="BN131" t="s">
        <v>74</v>
      </c>
      <c r="BO131" t="s">
        <v>74</v>
      </c>
      <c r="BP131" t="s">
        <v>74</v>
      </c>
      <c r="BQ131" t="s">
        <v>74</v>
      </c>
      <c r="BR131" t="s">
        <v>106</v>
      </c>
      <c r="BS131" t="s">
        <v>2838</v>
      </c>
      <c r="BT131" t="str">
        <f>HYPERLINK("https%3A%2F%2Fwww.webofscience.com%2Fwos%2Fwoscc%2Ffull-record%2FWOS:000376049600010","View Full Record in Web of Science")</f>
        <v>View Full Record in Web of Science</v>
      </c>
    </row>
    <row r="132" spans="1:72" x14ac:dyDescent="0.15">
      <c r="A132" t="s">
        <v>72</v>
      </c>
      <c r="B132" t="s">
        <v>2839</v>
      </c>
      <c r="C132" t="s">
        <v>74</v>
      </c>
      <c r="D132" t="s">
        <v>74</v>
      </c>
      <c r="E132" t="s">
        <v>74</v>
      </c>
      <c r="F132" t="s">
        <v>2840</v>
      </c>
      <c r="G132" t="s">
        <v>74</v>
      </c>
      <c r="H132" t="s">
        <v>74</v>
      </c>
      <c r="I132" t="s">
        <v>2841</v>
      </c>
      <c r="J132" t="s">
        <v>2842</v>
      </c>
      <c r="K132" t="s">
        <v>74</v>
      </c>
      <c r="L132" t="s">
        <v>74</v>
      </c>
      <c r="M132" t="s">
        <v>78</v>
      </c>
      <c r="N132" t="s">
        <v>79</v>
      </c>
      <c r="O132" t="s">
        <v>74</v>
      </c>
      <c r="P132" t="s">
        <v>74</v>
      </c>
      <c r="Q132" t="s">
        <v>74</v>
      </c>
      <c r="R132" t="s">
        <v>74</v>
      </c>
      <c r="S132" t="s">
        <v>74</v>
      </c>
      <c r="T132" t="s">
        <v>74</v>
      </c>
      <c r="U132" t="s">
        <v>2843</v>
      </c>
      <c r="V132" t="s">
        <v>2844</v>
      </c>
      <c r="W132" t="s">
        <v>2845</v>
      </c>
      <c r="X132" t="s">
        <v>2846</v>
      </c>
      <c r="Y132" t="s">
        <v>2847</v>
      </c>
      <c r="Z132" t="s">
        <v>2848</v>
      </c>
      <c r="AA132" t="s">
        <v>74</v>
      </c>
      <c r="AB132" t="s">
        <v>74</v>
      </c>
      <c r="AC132" t="s">
        <v>2849</v>
      </c>
      <c r="AD132" t="s">
        <v>2850</v>
      </c>
      <c r="AE132" t="s">
        <v>2851</v>
      </c>
      <c r="AF132" t="s">
        <v>74</v>
      </c>
      <c r="AG132">
        <v>40</v>
      </c>
      <c r="AH132">
        <v>1</v>
      </c>
      <c r="AI132">
        <v>1</v>
      </c>
      <c r="AJ132">
        <v>0</v>
      </c>
      <c r="AK132">
        <v>12</v>
      </c>
      <c r="AL132" t="s">
        <v>454</v>
      </c>
      <c r="AM132" t="s">
        <v>455</v>
      </c>
      <c r="AN132" t="s">
        <v>456</v>
      </c>
      <c r="AO132" t="s">
        <v>2852</v>
      </c>
      <c r="AP132" t="s">
        <v>2853</v>
      </c>
      <c r="AQ132" t="s">
        <v>74</v>
      </c>
      <c r="AR132" t="s">
        <v>2854</v>
      </c>
      <c r="AS132" t="s">
        <v>2855</v>
      </c>
      <c r="AT132" t="s">
        <v>2239</v>
      </c>
      <c r="AU132">
        <v>2016</v>
      </c>
      <c r="AV132">
        <v>48</v>
      </c>
      <c r="AW132">
        <v>2</v>
      </c>
      <c r="AX132" t="s">
        <v>74</v>
      </c>
      <c r="AY132" t="s">
        <v>74</v>
      </c>
      <c r="AZ132" t="s">
        <v>74</v>
      </c>
      <c r="BA132" t="s">
        <v>74</v>
      </c>
      <c r="BB132">
        <v>253</v>
      </c>
      <c r="BC132">
        <v>261</v>
      </c>
      <c r="BD132" t="s">
        <v>74</v>
      </c>
      <c r="BE132" t="s">
        <v>2856</v>
      </c>
      <c r="BF132" t="str">
        <f>HYPERLINK("http://dx.doi.org/10.1657/AAAR0015-038","http://dx.doi.org/10.1657/AAAR0015-038")</f>
        <v>http://dx.doi.org/10.1657/AAAR0015-038</v>
      </c>
      <c r="BG132" t="s">
        <v>74</v>
      </c>
      <c r="BH132" t="s">
        <v>74</v>
      </c>
      <c r="BI132">
        <v>9</v>
      </c>
      <c r="BJ132" t="s">
        <v>2857</v>
      </c>
      <c r="BK132" t="s">
        <v>102</v>
      </c>
      <c r="BL132" t="s">
        <v>158</v>
      </c>
      <c r="BM132" t="s">
        <v>2858</v>
      </c>
      <c r="BN132" t="s">
        <v>74</v>
      </c>
      <c r="BO132" t="s">
        <v>842</v>
      </c>
      <c r="BP132" t="s">
        <v>74</v>
      </c>
      <c r="BQ132" t="s">
        <v>74</v>
      </c>
      <c r="BR132" t="s">
        <v>106</v>
      </c>
      <c r="BS132" t="s">
        <v>2859</v>
      </c>
      <c r="BT132" t="str">
        <f>HYPERLINK("https%3A%2F%2Fwww.webofscience.com%2Fwos%2Fwoscc%2Ffull-record%2FWOS:000376226700003","View Full Record in Web of Science")</f>
        <v>View Full Record in Web of Science</v>
      </c>
    </row>
    <row r="133" spans="1:72" x14ac:dyDescent="0.15">
      <c r="A133" t="s">
        <v>72</v>
      </c>
      <c r="B133" t="s">
        <v>2860</v>
      </c>
      <c r="C133" t="s">
        <v>74</v>
      </c>
      <c r="D133" t="s">
        <v>74</v>
      </c>
      <c r="E133" t="s">
        <v>74</v>
      </c>
      <c r="F133" t="s">
        <v>2861</v>
      </c>
      <c r="G133" t="s">
        <v>74</v>
      </c>
      <c r="H133" t="s">
        <v>74</v>
      </c>
      <c r="I133" t="s">
        <v>2862</v>
      </c>
      <c r="J133" t="s">
        <v>2842</v>
      </c>
      <c r="K133" t="s">
        <v>74</v>
      </c>
      <c r="L133" t="s">
        <v>74</v>
      </c>
      <c r="M133" t="s">
        <v>78</v>
      </c>
      <c r="N133" t="s">
        <v>79</v>
      </c>
      <c r="O133" t="s">
        <v>74</v>
      </c>
      <c r="P133" t="s">
        <v>74</v>
      </c>
      <c r="Q133" t="s">
        <v>74</v>
      </c>
      <c r="R133" t="s">
        <v>74</v>
      </c>
      <c r="S133" t="s">
        <v>74</v>
      </c>
      <c r="T133" t="s">
        <v>74</v>
      </c>
      <c r="U133" t="s">
        <v>2863</v>
      </c>
      <c r="V133" t="s">
        <v>2864</v>
      </c>
      <c r="W133" t="s">
        <v>2865</v>
      </c>
      <c r="X133" t="s">
        <v>2866</v>
      </c>
      <c r="Y133" t="s">
        <v>2867</v>
      </c>
      <c r="Z133" t="s">
        <v>2868</v>
      </c>
      <c r="AA133" t="s">
        <v>2869</v>
      </c>
      <c r="AB133" t="s">
        <v>2870</v>
      </c>
      <c r="AC133" t="s">
        <v>2871</v>
      </c>
      <c r="AD133" t="s">
        <v>2872</v>
      </c>
      <c r="AE133" t="s">
        <v>2873</v>
      </c>
      <c r="AF133" t="s">
        <v>74</v>
      </c>
      <c r="AG133">
        <v>57</v>
      </c>
      <c r="AH133">
        <v>28</v>
      </c>
      <c r="AI133">
        <v>34</v>
      </c>
      <c r="AJ133">
        <v>0</v>
      </c>
      <c r="AK133">
        <v>13</v>
      </c>
      <c r="AL133" t="s">
        <v>2874</v>
      </c>
      <c r="AM133" t="s">
        <v>2233</v>
      </c>
      <c r="AN133" t="s">
        <v>2875</v>
      </c>
      <c r="AO133" t="s">
        <v>2852</v>
      </c>
      <c r="AP133" t="s">
        <v>2853</v>
      </c>
      <c r="AQ133" t="s">
        <v>74</v>
      </c>
      <c r="AR133" t="s">
        <v>2854</v>
      </c>
      <c r="AS133" t="s">
        <v>2855</v>
      </c>
      <c r="AT133" t="s">
        <v>2239</v>
      </c>
      <c r="AU133">
        <v>2016</v>
      </c>
      <c r="AV133">
        <v>48</v>
      </c>
      <c r="AW133">
        <v>2</v>
      </c>
      <c r="AX133" t="s">
        <v>74</v>
      </c>
      <c r="AY133" t="s">
        <v>74</v>
      </c>
      <c r="AZ133" t="s">
        <v>74</v>
      </c>
      <c r="BA133" t="s">
        <v>74</v>
      </c>
      <c r="BB133">
        <v>263</v>
      </c>
      <c r="BC133">
        <v>277</v>
      </c>
      <c r="BD133" t="s">
        <v>74</v>
      </c>
      <c r="BE133" t="s">
        <v>2876</v>
      </c>
      <c r="BF133" t="str">
        <f>HYPERLINK("http://dx.doi.org/10.1657/AAAR0015-059","http://dx.doi.org/10.1657/AAAR0015-059")</f>
        <v>http://dx.doi.org/10.1657/AAAR0015-059</v>
      </c>
      <c r="BG133" t="s">
        <v>74</v>
      </c>
      <c r="BH133" t="s">
        <v>74</v>
      </c>
      <c r="BI133">
        <v>15</v>
      </c>
      <c r="BJ133" t="s">
        <v>2857</v>
      </c>
      <c r="BK133" t="s">
        <v>102</v>
      </c>
      <c r="BL133" t="s">
        <v>158</v>
      </c>
      <c r="BM133" t="s">
        <v>2858</v>
      </c>
      <c r="BN133" t="s">
        <v>74</v>
      </c>
      <c r="BO133" t="s">
        <v>293</v>
      </c>
      <c r="BP133" t="s">
        <v>74</v>
      </c>
      <c r="BQ133" t="s">
        <v>74</v>
      </c>
      <c r="BR133" t="s">
        <v>106</v>
      </c>
      <c r="BS133" t="s">
        <v>2877</v>
      </c>
      <c r="BT133" t="str">
        <f>HYPERLINK("https%3A%2F%2Fwww.webofscience.com%2Fwos%2Fwoscc%2Ffull-record%2FWOS:000376226700004","View Full Record in Web of Science")</f>
        <v>View Full Record in Web of Science</v>
      </c>
    </row>
    <row r="134" spans="1:72" x14ac:dyDescent="0.15">
      <c r="A134" t="s">
        <v>72</v>
      </c>
      <c r="B134" t="s">
        <v>2878</v>
      </c>
      <c r="C134" t="s">
        <v>74</v>
      </c>
      <c r="D134" t="s">
        <v>74</v>
      </c>
      <c r="E134" t="s">
        <v>74</v>
      </c>
      <c r="F134" t="s">
        <v>2879</v>
      </c>
      <c r="G134" t="s">
        <v>74</v>
      </c>
      <c r="H134" t="s">
        <v>74</v>
      </c>
      <c r="I134" t="s">
        <v>2880</v>
      </c>
      <c r="J134" t="s">
        <v>2842</v>
      </c>
      <c r="K134" t="s">
        <v>74</v>
      </c>
      <c r="L134" t="s">
        <v>74</v>
      </c>
      <c r="M134" t="s">
        <v>78</v>
      </c>
      <c r="N134" t="s">
        <v>79</v>
      </c>
      <c r="O134" t="s">
        <v>74</v>
      </c>
      <c r="P134" t="s">
        <v>74</v>
      </c>
      <c r="Q134" t="s">
        <v>74</v>
      </c>
      <c r="R134" t="s">
        <v>74</v>
      </c>
      <c r="S134" t="s">
        <v>74</v>
      </c>
      <c r="T134" t="s">
        <v>74</v>
      </c>
      <c r="U134" t="s">
        <v>2881</v>
      </c>
      <c r="V134" t="s">
        <v>2882</v>
      </c>
      <c r="W134" t="s">
        <v>2883</v>
      </c>
      <c r="X134" t="s">
        <v>2884</v>
      </c>
      <c r="Y134" t="s">
        <v>2885</v>
      </c>
      <c r="Z134" t="s">
        <v>2886</v>
      </c>
      <c r="AA134" t="s">
        <v>74</v>
      </c>
      <c r="AB134" t="s">
        <v>74</v>
      </c>
      <c r="AC134" t="s">
        <v>2887</v>
      </c>
      <c r="AD134" t="s">
        <v>2888</v>
      </c>
      <c r="AE134" t="s">
        <v>2889</v>
      </c>
      <c r="AF134" t="s">
        <v>74</v>
      </c>
      <c r="AG134">
        <v>49</v>
      </c>
      <c r="AH134">
        <v>9</v>
      </c>
      <c r="AI134">
        <v>10</v>
      </c>
      <c r="AJ134">
        <v>2</v>
      </c>
      <c r="AK134">
        <v>38</v>
      </c>
      <c r="AL134" t="s">
        <v>454</v>
      </c>
      <c r="AM134" t="s">
        <v>455</v>
      </c>
      <c r="AN134" t="s">
        <v>456</v>
      </c>
      <c r="AO134" t="s">
        <v>2852</v>
      </c>
      <c r="AP134" t="s">
        <v>2853</v>
      </c>
      <c r="AQ134" t="s">
        <v>74</v>
      </c>
      <c r="AR134" t="s">
        <v>2854</v>
      </c>
      <c r="AS134" t="s">
        <v>2855</v>
      </c>
      <c r="AT134" t="s">
        <v>2239</v>
      </c>
      <c r="AU134">
        <v>2016</v>
      </c>
      <c r="AV134">
        <v>48</v>
      </c>
      <c r="AW134">
        <v>2</v>
      </c>
      <c r="AX134" t="s">
        <v>74</v>
      </c>
      <c r="AY134" t="s">
        <v>74</v>
      </c>
      <c r="AZ134" t="s">
        <v>74</v>
      </c>
      <c r="BA134" t="s">
        <v>74</v>
      </c>
      <c r="BB134">
        <v>279</v>
      </c>
      <c r="BC134">
        <v>292</v>
      </c>
      <c r="BD134" t="s">
        <v>74</v>
      </c>
      <c r="BE134" t="s">
        <v>2890</v>
      </c>
      <c r="BF134" t="str">
        <f>HYPERLINK("http://dx.doi.org/10.1657/AAAR0015-057","http://dx.doi.org/10.1657/AAAR0015-057")</f>
        <v>http://dx.doi.org/10.1657/AAAR0015-057</v>
      </c>
      <c r="BG134" t="s">
        <v>74</v>
      </c>
      <c r="BH134" t="s">
        <v>74</v>
      </c>
      <c r="BI134">
        <v>14</v>
      </c>
      <c r="BJ134" t="s">
        <v>2857</v>
      </c>
      <c r="BK134" t="s">
        <v>102</v>
      </c>
      <c r="BL134" t="s">
        <v>158</v>
      </c>
      <c r="BM134" t="s">
        <v>2858</v>
      </c>
      <c r="BN134" t="s">
        <v>74</v>
      </c>
      <c r="BO134" t="s">
        <v>842</v>
      </c>
      <c r="BP134" t="s">
        <v>74</v>
      </c>
      <c r="BQ134" t="s">
        <v>74</v>
      </c>
      <c r="BR134" t="s">
        <v>106</v>
      </c>
      <c r="BS134" t="s">
        <v>2891</v>
      </c>
      <c r="BT134" t="str">
        <f>HYPERLINK("https%3A%2F%2Fwww.webofscience.com%2Fwos%2Fwoscc%2Ffull-record%2FWOS:000376226700005","View Full Record in Web of Science")</f>
        <v>View Full Record in Web of Science</v>
      </c>
    </row>
    <row r="135" spans="1:72" x14ac:dyDescent="0.15">
      <c r="A135" t="s">
        <v>72</v>
      </c>
      <c r="B135" t="s">
        <v>2892</v>
      </c>
      <c r="C135" t="s">
        <v>74</v>
      </c>
      <c r="D135" t="s">
        <v>74</v>
      </c>
      <c r="E135" t="s">
        <v>74</v>
      </c>
      <c r="F135" t="s">
        <v>2893</v>
      </c>
      <c r="G135" t="s">
        <v>74</v>
      </c>
      <c r="H135" t="s">
        <v>74</v>
      </c>
      <c r="I135" t="s">
        <v>2894</v>
      </c>
      <c r="J135" t="s">
        <v>2842</v>
      </c>
      <c r="K135" t="s">
        <v>74</v>
      </c>
      <c r="L135" t="s">
        <v>74</v>
      </c>
      <c r="M135" t="s">
        <v>78</v>
      </c>
      <c r="N135" t="s">
        <v>79</v>
      </c>
      <c r="O135" t="s">
        <v>74</v>
      </c>
      <c r="P135" t="s">
        <v>74</v>
      </c>
      <c r="Q135" t="s">
        <v>74</v>
      </c>
      <c r="R135" t="s">
        <v>74</v>
      </c>
      <c r="S135" t="s">
        <v>74</v>
      </c>
      <c r="T135" t="s">
        <v>74</v>
      </c>
      <c r="U135" t="s">
        <v>2895</v>
      </c>
      <c r="V135" t="s">
        <v>2896</v>
      </c>
      <c r="W135" t="s">
        <v>2897</v>
      </c>
      <c r="X135" t="s">
        <v>2898</v>
      </c>
      <c r="Y135" t="s">
        <v>2899</v>
      </c>
      <c r="Z135" t="s">
        <v>2900</v>
      </c>
      <c r="AA135" t="s">
        <v>74</v>
      </c>
      <c r="AB135" t="s">
        <v>74</v>
      </c>
      <c r="AC135" t="s">
        <v>2901</v>
      </c>
      <c r="AD135" t="s">
        <v>2902</v>
      </c>
      <c r="AE135" t="s">
        <v>2903</v>
      </c>
      <c r="AF135" t="s">
        <v>74</v>
      </c>
      <c r="AG135">
        <v>100</v>
      </c>
      <c r="AH135">
        <v>8</v>
      </c>
      <c r="AI135">
        <v>8</v>
      </c>
      <c r="AJ135">
        <v>0</v>
      </c>
      <c r="AK135">
        <v>9</v>
      </c>
      <c r="AL135" t="s">
        <v>454</v>
      </c>
      <c r="AM135" t="s">
        <v>455</v>
      </c>
      <c r="AN135" t="s">
        <v>456</v>
      </c>
      <c r="AO135" t="s">
        <v>2852</v>
      </c>
      <c r="AP135" t="s">
        <v>2853</v>
      </c>
      <c r="AQ135" t="s">
        <v>74</v>
      </c>
      <c r="AR135" t="s">
        <v>2854</v>
      </c>
      <c r="AS135" t="s">
        <v>2855</v>
      </c>
      <c r="AT135" t="s">
        <v>2239</v>
      </c>
      <c r="AU135">
        <v>2016</v>
      </c>
      <c r="AV135">
        <v>48</v>
      </c>
      <c r="AW135">
        <v>2</v>
      </c>
      <c r="AX135" t="s">
        <v>74</v>
      </c>
      <c r="AY135" t="s">
        <v>74</v>
      </c>
      <c r="AZ135" t="s">
        <v>74</v>
      </c>
      <c r="BA135" t="s">
        <v>74</v>
      </c>
      <c r="BB135">
        <v>293</v>
      </c>
      <c r="BC135">
        <v>313</v>
      </c>
      <c r="BD135" t="s">
        <v>74</v>
      </c>
      <c r="BE135" t="s">
        <v>2904</v>
      </c>
      <c r="BF135" t="str">
        <f>HYPERLINK("http://dx.doi.org/10.1657/AAAR0015-045","http://dx.doi.org/10.1657/AAAR0015-045")</f>
        <v>http://dx.doi.org/10.1657/AAAR0015-045</v>
      </c>
      <c r="BG135" t="s">
        <v>74</v>
      </c>
      <c r="BH135" t="s">
        <v>74</v>
      </c>
      <c r="BI135">
        <v>21</v>
      </c>
      <c r="BJ135" t="s">
        <v>2857</v>
      </c>
      <c r="BK135" t="s">
        <v>102</v>
      </c>
      <c r="BL135" t="s">
        <v>158</v>
      </c>
      <c r="BM135" t="s">
        <v>2858</v>
      </c>
      <c r="BN135" t="s">
        <v>74</v>
      </c>
      <c r="BO135" t="s">
        <v>842</v>
      </c>
      <c r="BP135" t="s">
        <v>74</v>
      </c>
      <c r="BQ135" t="s">
        <v>74</v>
      </c>
      <c r="BR135" t="s">
        <v>106</v>
      </c>
      <c r="BS135" t="s">
        <v>2905</v>
      </c>
      <c r="BT135" t="str">
        <f>HYPERLINK("https%3A%2F%2Fwww.webofscience.com%2Fwos%2Fwoscc%2Ffull-record%2FWOS:000376226700006","View Full Record in Web of Science")</f>
        <v>View Full Record in Web of Science</v>
      </c>
    </row>
    <row r="136" spans="1:72" x14ac:dyDescent="0.15">
      <c r="A136" t="s">
        <v>72</v>
      </c>
      <c r="B136" t="s">
        <v>2906</v>
      </c>
      <c r="C136" t="s">
        <v>74</v>
      </c>
      <c r="D136" t="s">
        <v>74</v>
      </c>
      <c r="E136" t="s">
        <v>74</v>
      </c>
      <c r="F136" t="s">
        <v>2907</v>
      </c>
      <c r="G136" t="s">
        <v>74</v>
      </c>
      <c r="H136" t="s">
        <v>74</v>
      </c>
      <c r="I136" t="s">
        <v>2908</v>
      </c>
      <c r="J136" t="s">
        <v>2842</v>
      </c>
      <c r="K136" t="s">
        <v>74</v>
      </c>
      <c r="L136" t="s">
        <v>74</v>
      </c>
      <c r="M136" t="s">
        <v>78</v>
      </c>
      <c r="N136" t="s">
        <v>79</v>
      </c>
      <c r="O136" t="s">
        <v>74</v>
      </c>
      <c r="P136" t="s">
        <v>74</v>
      </c>
      <c r="Q136" t="s">
        <v>74</v>
      </c>
      <c r="R136" t="s">
        <v>74</v>
      </c>
      <c r="S136" t="s">
        <v>74</v>
      </c>
      <c r="T136" t="s">
        <v>74</v>
      </c>
      <c r="U136" t="s">
        <v>2909</v>
      </c>
      <c r="V136" t="s">
        <v>2910</v>
      </c>
      <c r="W136" t="s">
        <v>2911</v>
      </c>
      <c r="X136" t="s">
        <v>2912</v>
      </c>
      <c r="Y136" t="s">
        <v>2913</v>
      </c>
      <c r="Z136" t="s">
        <v>2914</v>
      </c>
      <c r="AA136" t="s">
        <v>2915</v>
      </c>
      <c r="AB136" t="s">
        <v>2916</v>
      </c>
      <c r="AC136" t="s">
        <v>2917</v>
      </c>
      <c r="AD136" t="s">
        <v>2918</v>
      </c>
      <c r="AE136" t="s">
        <v>2919</v>
      </c>
      <c r="AF136" t="s">
        <v>74</v>
      </c>
      <c r="AG136">
        <v>48</v>
      </c>
      <c r="AH136">
        <v>7</v>
      </c>
      <c r="AI136">
        <v>7</v>
      </c>
      <c r="AJ136">
        <v>1</v>
      </c>
      <c r="AK136">
        <v>7</v>
      </c>
      <c r="AL136" t="s">
        <v>2874</v>
      </c>
      <c r="AM136" t="s">
        <v>2233</v>
      </c>
      <c r="AN136" t="s">
        <v>2875</v>
      </c>
      <c r="AO136" t="s">
        <v>2852</v>
      </c>
      <c r="AP136" t="s">
        <v>2853</v>
      </c>
      <c r="AQ136" t="s">
        <v>74</v>
      </c>
      <c r="AR136" t="s">
        <v>2854</v>
      </c>
      <c r="AS136" t="s">
        <v>2855</v>
      </c>
      <c r="AT136" t="s">
        <v>2239</v>
      </c>
      <c r="AU136">
        <v>2016</v>
      </c>
      <c r="AV136">
        <v>48</v>
      </c>
      <c r="AW136">
        <v>2</v>
      </c>
      <c r="AX136" t="s">
        <v>74</v>
      </c>
      <c r="AY136" t="s">
        <v>74</v>
      </c>
      <c r="AZ136" t="s">
        <v>74</v>
      </c>
      <c r="BA136" t="s">
        <v>74</v>
      </c>
      <c r="BB136">
        <v>315</v>
      </c>
      <c r="BC136">
        <v>325</v>
      </c>
      <c r="BD136" t="s">
        <v>74</v>
      </c>
      <c r="BE136" t="s">
        <v>2920</v>
      </c>
      <c r="BF136" t="str">
        <f>HYPERLINK("http://dx.doi.org/10.1657/AAAR0014-082","http://dx.doi.org/10.1657/AAAR0014-082")</f>
        <v>http://dx.doi.org/10.1657/AAAR0014-082</v>
      </c>
      <c r="BG136" t="s">
        <v>74</v>
      </c>
      <c r="BH136" t="s">
        <v>74</v>
      </c>
      <c r="BI136">
        <v>11</v>
      </c>
      <c r="BJ136" t="s">
        <v>2857</v>
      </c>
      <c r="BK136" t="s">
        <v>102</v>
      </c>
      <c r="BL136" t="s">
        <v>158</v>
      </c>
      <c r="BM136" t="s">
        <v>2858</v>
      </c>
      <c r="BN136" t="s">
        <v>74</v>
      </c>
      <c r="BO136" t="s">
        <v>293</v>
      </c>
      <c r="BP136" t="s">
        <v>74</v>
      </c>
      <c r="BQ136" t="s">
        <v>74</v>
      </c>
      <c r="BR136" t="s">
        <v>106</v>
      </c>
      <c r="BS136" t="s">
        <v>2921</v>
      </c>
      <c r="BT136" t="str">
        <f>HYPERLINK("https%3A%2F%2Fwww.webofscience.com%2Fwos%2Fwoscc%2Ffull-record%2FWOS:000376226700007","View Full Record in Web of Science")</f>
        <v>View Full Record in Web of Science</v>
      </c>
    </row>
    <row r="137" spans="1:72" x14ac:dyDescent="0.15">
      <c r="A137" t="s">
        <v>72</v>
      </c>
      <c r="B137" t="s">
        <v>2922</v>
      </c>
      <c r="C137" t="s">
        <v>74</v>
      </c>
      <c r="D137" t="s">
        <v>74</v>
      </c>
      <c r="E137" t="s">
        <v>74</v>
      </c>
      <c r="F137" t="s">
        <v>2923</v>
      </c>
      <c r="G137" t="s">
        <v>74</v>
      </c>
      <c r="H137" t="s">
        <v>74</v>
      </c>
      <c r="I137" t="s">
        <v>2924</v>
      </c>
      <c r="J137" t="s">
        <v>2842</v>
      </c>
      <c r="K137" t="s">
        <v>74</v>
      </c>
      <c r="L137" t="s">
        <v>74</v>
      </c>
      <c r="M137" t="s">
        <v>78</v>
      </c>
      <c r="N137" t="s">
        <v>79</v>
      </c>
      <c r="O137" t="s">
        <v>74</v>
      </c>
      <c r="P137" t="s">
        <v>74</v>
      </c>
      <c r="Q137" t="s">
        <v>74</v>
      </c>
      <c r="R137" t="s">
        <v>74</v>
      </c>
      <c r="S137" t="s">
        <v>74</v>
      </c>
      <c r="T137" t="s">
        <v>74</v>
      </c>
      <c r="U137" t="s">
        <v>2925</v>
      </c>
      <c r="V137" t="s">
        <v>2926</v>
      </c>
      <c r="W137" t="s">
        <v>2927</v>
      </c>
      <c r="X137" t="s">
        <v>2928</v>
      </c>
      <c r="Y137" t="s">
        <v>2929</v>
      </c>
      <c r="Z137" t="s">
        <v>2930</v>
      </c>
      <c r="AA137" t="s">
        <v>2931</v>
      </c>
      <c r="AB137" t="s">
        <v>2932</v>
      </c>
      <c r="AC137" t="s">
        <v>74</v>
      </c>
      <c r="AD137" t="s">
        <v>74</v>
      </c>
      <c r="AE137" t="s">
        <v>74</v>
      </c>
      <c r="AF137" t="s">
        <v>74</v>
      </c>
      <c r="AG137">
        <v>58</v>
      </c>
      <c r="AH137">
        <v>16</v>
      </c>
      <c r="AI137">
        <v>17</v>
      </c>
      <c r="AJ137">
        <v>0</v>
      </c>
      <c r="AK137">
        <v>13</v>
      </c>
      <c r="AL137" t="s">
        <v>2874</v>
      </c>
      <c r="AM137" t="s">
        <v>2233</v>
      </c>
      <c r="AN137" t="s">
        <v>2875</v>
      </c>
      <c r="AO137" t="s">
        <v>2852</v>
      </c>
      <c r="AP137" t="s">
        <v>2853</v>
      </c>
      <c r="AQ137" t="s">
        <v>74</v>
      </c>
      <c r="AR137" t="s">
        <v>2854</v>
      </c>
      <c r="AS137" t="s">
        <v>2855</v>
      </c>
      <c r="AT137" t="s">
        <v>2239</v>
      </c>
      <c r="AU137">
        <v>2016</v>
      </c>
      <c r="AV137">
        <v>48</v>
      </c>
      <c r="AW137">
        <v>2</v>
      </c>
      <c r="AX137" t="s">
        <v>74</v>
      </c>
      <c r="AY137" t="s">
        <v>74</v>
      </c>
      <c r="AZ137" t="s">
        <v>74</v>
      </c>
      <c r="BA137" t="s">
        <v>74</v>
      </c>
      <c r="BB137">
        <v>345</v>
      </c>
      <c r="BC137">
        <v>359</v>
      </c>
      <c r="BD137" t="s">
        <v>74</v>
      </c>
      <c r="BE137" t="s">
        <v>2933</v>
      </c>
      <c r="BF137" t="str">
        <f>HYPERLINK("http://dx.doi.org/10.1657/AAAR0015-014","http://dx.doi.org/10.1657/AAAR0015-014")</f>
        <v>http://dx.doi.org/10.1657/AAAR0015-014</v>
      </c>
      <c r="BG137" t="s">
        <v>74</v>
      </c>
      <c r="BH137" t="s">
        <v>74</v>
      </c>
      <c r="BI137">
        <v>15</v>
      </c>
      <c r="BJ137" t="s">
        <v>2857</v>
      </c>
      <c r="BK137" t="s">
        <v>102</v>
      </c>
      <c r="BL137" t="s">
        <v>158</v>
      </c>
      <c r="BM137" t="s">
        <v>2858</v>
      </c>
      <c r="BN137" t="s">
        <v>74</v>
      </c>
      <c r="BO137" t="s">
        <v>293</v>
      </c>
      <c r="BP137" t="s">
        <v>74</v>
      </c>
      <c r="BQ137" t="s">
        <v>74</v>
      </c>
      <c r="BR137" t="s">
        <v>106</v>
      </c>
      <c r="BS137" t="s">
        <v>2934</v>
      </c>
      <c r="BT137" t="str">
        <f>HYPERLINK("https%3A%2F%2Fwww.webofscience.com%2Fwos%2Fwoscc%2Ffull-record%2FWOS:000376226700009","View Full Record in Web of Science")</f>
        <v>View Full Record in Web of Science</v>
      </c>
    </row>
    <row r="138" spans="1:72" x14ac:dyDescent="0.15">
      <c r="A138" t="s">
        <v>72</v>
      </c>
      <c r="B138" t="s">
        <v>2935</v>
      </c>
      <c r="C138" t="s">
        <v>74</v>
      </c>
      <c r="D138" t="s">
        <v>74</v>
      </c>
      <c r="E138" t="s">
        <v>74</v>
      </c>
      <c r="F138" t="s">
        <v>2936</v>
      </c>
      <c r="G138" t="s">
        <v>74</v>
      </c>
      <c r="H138" t="s">
        <v>74</v>
      </c>
      <c r="I138" t="s">
        <v>2937</v>
      </c>
      <c r="J138" t="s">
        <v>2842</v>
      </c>
      <c r="K138" t="s">
        <v>74</v>
      </c>
      <c r="L138" t="s">
        <v>74</v>
      </c>
      <c r="M138" t="s">
        <v>78</v>
      </c>
      <c r="N138" t="s">
        <v>79</v>
      </c>
      <c r="O138" t="s">
        <v>74</v>
      </c>
      <c r="P138" t="s">
        <v>74</v>
      </c>
      <c r="Q138" t="s">
        <v>74</v>
      </c>
      <c r="R138" t="s">
        <v>74</v>
      </c>
      <c r="S138" t="s">
        <v>74</v>
      </c>
      <c r="T138" t="s">
        <v>74</v>
      </c>
      <c r="U138" t="s">
        <v>2938</v>
      </c>
      <c r="V138" t="s">
        <v>2939</v>
      </c>
      <c r="W138" t="s">
        <v>2940</v>
      </c>
      <c r="X138" t="s">
        <v>2941</v>
      </c>
      <c r="Y138" t="s">
        <v>2942</v>
      </c>
      <c r="Z138" t="s">
        <v>2943</v>
      </c>
      <c r="AA138" t="s">
        <v>2944</v>
      </c>
      <c r="AB138" t="s">
        <v>2945</v>
      </c>
      <c r="AC138" t="s">
        <v>2946</v>
      </c>
      <c r="AD138" t="s">
        <v>2947</v>
      </c>
      <c r="AE138" t="s">
        <v>2948</v>
      </c>
      <c r="AF138" t="s">
        <v>74</v>
      </c>
      <c r="AG138">
        <v>64</v>
      </c>
      <c r="AH138">
        <v>21</v>
      </c>
      <c r="AI138">
        <v>22</v>
      </c>
      <c r="AJ138">
        <v>41</v>
      </c>
      <c r="AK138">
        <v>78</v>
      </c>
      <c r="AL138" t="s">
        <v>454</v>
      </c>
      <c r="AM138" t="s">
        <v>455</v>
      </c>
      <c r="AN138" t="s">
        <v>456</v>
      </c>
      <c r="AO138" t="s">
        <v>2852</v>
      </c>
      <c r="AP138" t="s">
        <v>2853</v>
      </c>
      <c r="AQ138" t="s">
        <v>74</v>
      </c>
      <c r="AR138" t="s">
        <v>2854</v>
      </c>
      <c r="AS138" t="s">
        <v>2855</v>
      </c>
      <c r="AT138" t="s">
        <v>2239</v>
      </c>
      <c r="AU138">
        <v>2016</v>
      </c>
      <c r="AV138">
        <v>48</v>
      </c>
      <c r="AW138">
        <v>2</v>
      </c>
      <c r="AX138" t="s">
        <v>74</v>
      </c>
      <c r="AY138" t="s">
        <v>74</v>
      </c>
      <c r="AZ138" t="s">
        <v>74</v>
      </c>
      <c r="BA138" t="s">
        <v>74</v>
      </c>
      <c r="BB138">
        <v>395</v>
      </c>
      <c r="BC138">
        <v>409</v>
      </c>
      <c r="BD138" t="s">
        <v>74</v>
      </c>
      <c r="BE138" t="s">
        <v>2949</v>
      </c>
      <c r="BF138" t="str">
        <f>HYPERLINK("http://dx.doi.org/10.1657/AAAR0014-023","http://dx.doi.org/10.1657/AAAR0014-023")</f>
        <v>http://dx.doi.org/10.1657/AAAR0014-023</v>
      </c>
      <c r="BG138" t="s">
        <v>74</v>
      </c>
      <c r="BH138" t="s">
        <v>74</v>
      </c>
      <c r="BI138">
        <v>15</v>
      </c>
      <c r="BJ138" t="s">
        <v>2857</v>
      </c>
      <c r="BK138" t="s">
        <v>102</v>
      </c>
      <c r="BL138" t="s">
        <v>158</v>
      </c>
      <c r="BM138" t="s">
        <v>2858</v>
      </c>
      <c r="BN138" t="s">
        <v>74</v>
      </c>
      <c r="BO138" t="s">
        <v>842</v>
      </c>
      <c r="BP138" t="s">
        <v>74</v>
      </c>
      <c r="BQ138" t="s">
        <v>74</v>
      </c>
      <c r="BR138" t="s">
        <v>106</v>
      </c>
      <c r="BS138" t="s">
        <v>2950</v>
      </c>
      <c r="BT138" t="str">
        <f>HYPERLINK("https%3A%2F%2Fwww.webofscience.com%2Fwos%2Fwoscc%2Ffull-record%2FWOS:000376226700012","View Full Record in Web of Science")</f>
        <v>View Full Record in Web of Science</v>
      </c>
    </row>
    <row r="139" spans="1:72" x14ac:dyDescent="0.15">
      <c r="A139" t="s">
        <v>72</v>
      </c>
      <c r="B139" t="s">
        <v>2951</v>
      </c>
      <c r="C139" t="s">
        <v>74</v>
      </c>
      <c r="D139" t="s">
        <v>74</v>
      </c>
      <c r="E139" t="s">
        <v>74</v>
      </c>
      <c r="F139" t="s">
        <v>2952</v>
      </c>
      <c r="G139" t="s">
        <v>74</v>
      </c>
      <c r="H139" t="s">
        <v>74</v>
      </c>
      <c r="I139" t="s">
        <v>2953</v>
      </c>
      <c r="J139" t="s">
        <v>2954</v>
      </c>
      <c r="K139" t="s">
        <v>74</v>
      </c>
      <c r="L139" t="s">
        <v>74</v>
      </c>
      <c r="M139" t="s">
        <v>78</v>
      </c>
      <c r="N139" t="s">
        <v>79</v>
      </c>
      <c r="O139" t="s">
        <v>74</v>
      </c>
      <c r="P139" t="s">
        <v>74</v>
      </c>
      <c r="Q139" t="s">
        <v>74</v>
      </c>
      <c r="R139" t="s">
        <v>74</v>
      </c>
      <c r="S139" t="s">
        <v>74</v>
      </c>
      <c r="T139" t="s">
        <v>2955</v>
      </c>
      <c r="U139" t="s">
        <v>2956</v>
      </c>
      <c r="V139" t="s">
        <v>2957</v>
      </c>
      <c r="W139" t="s">
        <v>2958</v>
      </c>
      <c r="X139" t="s">
        <v>2959</v>
      </c>
      <c r="Y139" t="s">
        <v>2960</v>
      </c>
      <c r="Z139" t="s">
        <v>2961</v>
      </c>
      <c r="AA139" t="s">
        <v>2962</v>
      </c>
      <c r="AB139" t="s">
        <v>2963</v>
      </c>
      <c r="AC139" t="s">
        <v>2964</v>
      </c>
      <c r="AD139" t="s">
        <v>2965</v>
      </c>
      <c r="AE139" t="s">
        <v>2966</v>
      </c>
      <c r="AF139" t="s">
        <v>74</v>
      </c>
      <c r="AG139">
        <v>44</v>
      </c>
      <c r="AH139">
        <v>32</v>
      </c>
      <c r="AI139">
        <v>32</v>
      </c>
      <c r="AJ139">
        <v>0</v>
      </c>
      <c r="AK139">
        <v>28</v>
      </c>
      <c r="AL139" t="s">
        <v>2967</v>
      </c>
      <c r="AM139" t="s">
        <v>2968</v>
      </c>
      <c r="AN139" t="s">
        <v>2969</v>
      </c>
      <c r="AO139" t="s">
        <v>2970</v>
      </c>
      <c r="AP139" t="s">
        <v>74</v>
      </c>
      <c r="AQ139" t="s">
        <v>74</v>
      </c>
      <c r="AR139" t="s">
        <v>2971</v>
      </c>
      <c r="AS139" t="s">
        <v>2972</v>
      </c>
      <c r="AT139" t="s">
        <v>2239</v>
      </c>
      <c r="AU139">
        <v>2016</v>
      </c>
      <c r="AV139">
        <v>7</v>
      </c>
      <c r="AW139">
        <v>3</v>
      </c>
      <c r="AX139" t="s">
        <v>74</v>
      </c>
      <c r="AY139" t="s">
        <v>74</v>
      </c>
      <c r="AZ139" t="s">
        <v>74</v>
      </c>
      <c r="BA139" t="s">
        <v>74</v>
      </c>
      <c r="BB139">
        <v>521</v>
      </c>
      <c r="BC139">
        <v>532</v>
      </c>
      <c r="BD139" t="s">
        <v>74</v>
      </c>
      <c r="BE139" t="s">
        <v>2973</v>
      </c>
      <c r="BF139" t="str">
        <f>HYPERLINK("http://dx.doi.org/10.1016/j.apr.2016.01.001","http://dx.doi.org/10.1016/j.apr.2016.01.001")</f>
        <v>http://dx.doi.org/10.1016/j.apr.2016.01.001</v>
      </c>
      <c r="BG139" t="s">
        <v>74</v>
      </c>
      <c r="BH139" t="s">
        <v>74</v>
      </c>
      <c r="BI139">
        <v>12</v>
      </c>
      <c r="BJ139" t="s">
        <v>464</v>
      </c>
      <c r="BK139" t="s">
        <v>102</v>
      </c>
      <c r="BL139" t="s">
        <v>465</v>
      </c>
      <c r="BM139" t="s">
        <v>2974</v>
      </c>
      <c r="BN139" t="s">
        <v>74</v>
      </c>
      <c r="BO139" t="s">
        <v>222</v>
      </c>
      <c r="BP139" t="s">
        <v>74</v>
      </c>
      <c r="BQ139" t="s">
        <v>74</v>
      </c>
      <c r="BR139" t="s">
        <v>106</v>
      </c>
      <c r="BS139" t="s">
        <v>2975</v>
      </c>
      <c r="BT139" t="str">
        <f>HYPERLINK("https%3A%2F%2Fwww.webofscience.com%2Fwos%2Fwoscc%2Ffull-record%2FWOS:000376177400017","View Full Record in Web of Science")</f>
        <v>View Full Record in Web of Science</v>
      </c>
    </row>
    <row r="140" spans="1:72" x14ac:dyDescent="0.15">
      <c r="A140" t="s">
        <v>72</v>
      </c>
      <c r="B140" t="s">
        <v>2976</v>
      </c>
      <c r="C140" t="s">
        <v>74</v>
      </c>
      <c r="D140" t="s">
        <v>74</v>
      </c>
      <c r="E140" t="s">
        <v>74</v>
      </c>
      <c r="F140" t="s">
        <v>2977</v>
      </c>
      <c r="G140" t="s">
        <v>74</v>
      </c>
      <c r="H140" t="s">
        <v>74</v>
      </c>
      <c r="I140" t="s">
        <v>2978</v>
      </c>
      <c r="J140" t="s">
        <v>2979</v>
      </c>
      <c r="K140" t="s">
        <v>74</v>
      </c>
      <c r="L140" t="s">
        <v>74</v>
      </c>
      <c r="M140" t="s">
        <v>78</v>
      </c>
      <c r="N140" t="s">
        <v>79</v>
      </c>
      <c r="O140" t="s">
        <v>74</v>
      </c>
      <c r="P140" t="s">
        <v>74</v>
      </c>
      <c r="Q140" t="s">
        <v>74</v>
      </c>
      <c r="R140" t="s">
        <v>74</v>
      </c>
      <c r="S140" t="s">
        <v>74</v>
      </c>
      <c r="T140" t="s">
        <v>2980</v>
      </c>
      <c r="U140" t="s">
        <v>2981</v>
      </c>
      <c r="V140" t="s">
        <v>2982</v>
      </c>
      <c r="W140" t="s">
        <v>2983</v>
      </c>
      <c r="X140" t="s">
        <v>2984</v>
      </c>
      <c r="Y140" t="s">
        <v>2985</v>
      </c>
      <c r="Z140" t="s">
        <v>2986</v>
      </c>
      <c r="AA140" t="s">
        <v>74</v>
      </c>
      <c r="AB140" t="s">
        <v>74</v>
      </c>
      <c r="AC140" t="s">
        <v>2987</v>
      </c>
      <c r="AD140" t="s">
        <v>2988</v>
      </c>
      <c r="AE140" t="s">
        <v>2989</v>
      </c>
      <c r="AF140" t="s">
        <v>74</v>
      </c>
      <c r="AG140">
        <v>56</v>
      </c>
      <c r="AH140">
        <v>11</v>
      </c>
      <c r="AI140">
        <v>16</v>
      </c>
      <c r="AJ140">
        <v>0</v>
      </c>
      <c r="AK140">
        <v>21</v>
      </c>
      <c r="AL140" t="s">
        <v>1657</v>
      </c>
      <c r="AM140" t="s">
        <v>679</v>
      </c>
      <c r="AN140" t="s">
        <v>1658</v>
      </c>
      <c r="AO140" t="s">
        <v>2990</v>
      </c>
      <c r="AP140" t="s">
        <v>2991</v>
      </c>
      <c r="AQ140" t="s">
        <v>74</v>
      </c>
      <c r="AR140" t="s">
        <v>2992</v>
      </c>
      <c r="AS140" t="s">
        <v>2993</v>
      </c>
      <c r="AT140" t="s">
        <v>2239</v>
      </c>
      <c r="AU140">
        <v>2016</v>
      </c>
      <c r="AV140">
        <v>36</v>
      </c>
      <c r="AW140">
        <v>3</v>
      </c>
      <c r="AX140" t="s">
        <v>74</v>
      </c>
      <c r="AY140" t="s">
        <v>74</v>
      </c>
      <c r="AZ140" t="s">
        <v>74</v>
      </c>
      <c r="BA140" t="s">
        <v>74</v>
      </c>
      <c r="BB140">
        <v>267</v>
      </c>
      <c r="BC140">
        <v>273</v>
      </c>
      <c r="BD140" t="s">
        <v>74</v>
      </c>
      <c r="BE140" t="s">
        <v>2994</v>
      </c>
      <c r="BF140" t="str">
        <f>HYPERLINK("http://dx.doi.org/10.1163/1937240X-00002428","http://dx.doi.org/10.1163/1937240X-00002428")</f>
        <v>http://dx.doi.org/10.1163/1937240X-00002428</v>
      </c>
      <c r="BG140" t="s">
        <v>74</v>
      </c>
      <c r="BH140" t="s">
        <v>74</v>
      </c>
      <c r="BI140">
        <v>7</v>
      </c>
      <c r="BJ140" t="s">
        <v>2995</v>
      </c>
      <c r="BK140" t="s">
        <v>102</v>
      </c>
      <c r="BL140" t="s">
        <v>2995</v>
      </c>
      <c r="BM140" t="s">
        <v>2996</v>
      </c>
      <c r="BN140" t="s">
        <v>74</v>
      </c>
      <c r="BO140" t="s">
        <v>420</v>
      </c>
      <c r="BP140" t="s">
        <v>74</v>
      </c>
      <c r="BQ140" t="s">
        <v>74</v>
      </c>
      <c r="BR140" t="s">
        <v>106</v>
      </c>
      <c r="BS140" t="s">
        <v>2997</v>
      </c>
      <c r="BT140" t="str">
        <f>HYPERLINK("https%3A%2F%2Fwww.webofscience.com%2Fwos%2Fwoscc%2Ffull-record%2FWOS:000376055900001","View Full Record in Web of Science")</f>
        <v>View Full Record in Web of Science</v>
      </c>
    </row>
    <row r="141" spans="1:72" x14ac:dyDescent="0.15">
      <c r="A141" t="s">
        <v>72</v>
      </c>
      <c r="B141" t="s">
        <v>2998</v>
      </c>
      <c r="C141" t="s">
        <v>74</v>
      </c>
      <c r="D141" t="s">
        <v>74</v>
      </c>
      <c r="E141" t="s">
        <v>74</v>
      </c>
      <c r="F141" t="s">
        <v>2999</v>
      </c>
      <c r="G141" t="s">
        <v>74</v>
      </c>
      <c r="H141" t="s">
        <v>74</v>
      </c>
      <c r="I141" t="s">
        <v>3000</v>
      </c>
      <c r="J141" t="s">
        <v>3001</v>
      </c>
      <c r="K141" t="s">
        <v>74</v>
      </c>
      <c r="L141" t="s">
        <v>74</v>
      </c>
      <c r="M141" t="s">
        <v>78</v>
      </c>
      <c r="N141" t="s">
        <v>79</v>
      </c>
      <c r="O141" t="s">
        <v>74</v>
      </c>
      <c r="P141" t="s">
        <v>74</v>
      </c>
      <c r="Q141" t="s">
        <v>74</v>
      </c>
      <c r="R141" t="s">
        <v>74</v>
      </c>
      <c r="S141" t="s">
        <v>74</v>
      </c>
      <c r="T141" t="s">
        <v>3002</v>
      </c>
      <c r="U141" t="s">
        <v>3003</v>
      </c>
      <c r="V141" t="s">
        <v>3004</v>
      </c>
      <c r="W141" t="s">
        <v>3005</v>
      </c>
      <c r="X141" t="s">
        <v>3006</v>
      </c>
      <c r="Y141" t="s">
        <v>3007</v>
      </c>
      <c r="Z141" t="s">
        <v>3008</v>
      </c>
      <c r="AA141" t="s">
        <v>74</v>
      </c>
      <c r="AB141" t="s">
        <v>3009</v>
      </c>
      <c r="AC141" t="s">
        <v>3010</v>
      </c>
      <c r="AD141" t="s">
        <v>3011</v>
      </c>
      <c r="AE141" t="s">
        <v>3012</v>
      </c>
      <c r="AF141" t="s">
        <v>74</v>
      </c>
      <c r="AG141">
        <v>15</v>
      </c>
      <c r="AH141">
        <v>17</v>
      </c>
      <c r="AI141">
        <v>18</v>
      </c>
      <c r="AJ141">
        <v>1</v>
      </c>
      <c r="AK141">
        <v>23</v>
      </c>
      <c r="AL141" t="s">
        <v>3013</v>
      </c>
      <c r="AM141" t="s">
        <v>1427</v>
      </c>
      <c r="AN141" t="s">
        <v>3014</v>
      </c>
      <c r="AO141" t="s">
        <v>3015</v>
      </c>
      <c r="AP141" t="s">
        <v>3016</v>
      </c>
      <c r="AQ141" t="s">
        <v>74</v>
      </c>
      <c r="AR141" t="s">
        <v>3017</v>
      </c>
      <c r="AS141" t="s">
        <v>3018</v>
      </c>
      <c r="AT141" t="s">
        <v>3019</v>
      </c>
      <c r="AU141">
        <v>2016</v>
      </c>
      <c r="AV141">
        <v>219</v>
      </c>
      <c r="AW141">
        <v>9</v>
      </c>
      <c r="AX141" t="s">
        <v>74</v>
      </c>
      <c r="AY141" t="s">
        <v>74</v>
      </c>
      <c r="AZ141" t="s">
        <v>74</v>
      </c>
      <c r="BA141" t="s">
        <v>74</v>
      </c>
      <c r="BB141">
        <v>1283</v>
      </c>
      <c r="BC141">
        <v>1286</v>
      </c>
      <c r="BD141" t="s">
        <v>74</v>
      </c>
      <c r="BE141" t="s">
        <v>3020</v>
      </c>
      <c r="BF141" t="str">
        <f>HYPERLINK("http://dx.doi.org/10.1242/jeb.130963","http://dx.doi.org/10.1242/jeb.130963")</f>
        <v>http://dx.doi.org/10.1242/jeb.130963</v>
      </c>
      <c r="BG141" t="s">
        <v>74</v>
      </c>
      <c r="BH141" t="s">
        <v>74</v>
      </c>
      <c r="BI141">
        <v>4</v>
      </c>
      <c r="BJ141" t="s">
        <v>3021</v>
      </c>
      <c r="BK141" t="s">
        <v>102</v>
      </c>
      <c r="BL141" t="s">
        <v>3022</v>
      </c>
      <c r="BM141" t="s">
        <v>3023</v>
      </c>
      <c r="BN141">
        <v>26944499</v>
      </c>
      <c r="BO141" t="s">
        <v>842</v>
      </c>
      <c r="BP141" t="s">
        <v>74</v>
      </c>
      <c r="BQ141" t="s">
        <v>74</v>
      </c>
      <c r="BR141" t="s">
        <v>106</v>
      </c>
      <c r="BS141" t="s">
        <v>3024</v>
      </c>
      <c r="BT141" t="str">
        <f>HYPERLINK("https%3A%2F%2Fwww.webofscience.com%2Fwos%2Fwoscc%2Ffull-record%2FWOS:000376118300010","View Full Record in Web of Science")</f>
        <v>View Full Record in Web of Science</v>
      </c>
    </row>
    <row r="142" spans="1:72" x14ac:dyDescent="0.15">
      <c r="A142" t="s">
        <v>72</v>
      </c>
      <c r="B142" t="s">
        <v>3025</v>
      </c>
      <c r="C142" t="s">
        <v>74</v>
      </c>
      <c r="D142" t="s">
        <v>74</v>
      </c>
      <c r="E142" t="s">
        <v>74</v>
      </c>
      <c r="F142" t="s">
        <v>3026</v>
      </c>
      <c r="G142" t="s">
        <v>74</v>
      </c>
      <c r="H142" t="s">
        <v>74</v>
      </c>
      <c r="I142" t="s">
        <v>3027</v>
      </c>
      <c r="J142" t="s">
        <v>3028</v>
      </c>
      <c r="K142" t="s">
        <v>74</v>
      </c>
      <c r="L142" t="s">
        <v>74</v>
      </c>
      <c r="M142" t="s">
        <v>78</v>
      </c>
      <c r="N142" t="s">
        <v>79</v>
      </c>
      <c r="O142" t="s">
        <v>74</v>
      </c>
      <c r="P142" t="s">
        <v>74</v>
      </c>
      <c r="Q142" t="s">
        <v>74</v>
      </c>
      <c r="R142" t="s">
        <v>74</v>
      </c>
      <c r="S142" t="s">
        <v>74</v>
      </c>
      <c r="T142" t="s">
        <v>3029</v>
      </c>
      <c r="U142" t="s">
        <v>3030</v>
      </c>
      <c r="V142" t="s">
        <v>3031</v>
      </c>
      <c r="W142" t="s">
        <v>3032</v>
      </c>
      <c r="X142" t="s">
        <v>3033</v>
      </c>
      <c r="Y142" t="s">
        <v>3034</v>
      </c>
      <c r="Z142" t="s">
        <v>3035</v>
      </c>
      <c r="AA142" t="s">
        <v>3036</v>
      </c>
      <c r="AB142" t="s">
        <v>3037</v>
      </c>
      <c r="AC142" t="s">
        <v>3038</v>
      </c>
      <c r="AD142" t="s">
        <v>3039</v>
      </c>
      <c r="AE142" t="s">
        <v>3040</v>
      </c>
      <c r="AF142" t="s">
        <v>74</v>
      </c>
      <c r="AG142">
        <v>29</v>
      </c>
      <c r="AH142">
        <v>15</v>
      </c>
      <c r="AI142">
        <v>16</v>
      </c>
      <c r="AJ142">
        <v>0</v>
      </c>
      <c r="AK142">
        <v>27</v>
      </c>
      <c r="AL142" t="s">
        <v>3041</v>
      </c>
      <c r="AM142" t="s">
        <v>3042</v>
      </c>
      <c r="AN142" t="s">
        <v>3043</v>
      </c>
      <c r="AO142" t="s">
        <v>3044</v>
      </c>
      <c r="AP142" t="s">
        <v>3045</v>
      </c>
      <c r="AQ142" t="s">
        <v>74</v>
      </c>
      <c r="AR142" t="s">
        <v>3046</v>
      </c>
      <c r="AS142" t="s">
        <v>3047</v>
      </c>
      <c r="AT142" t="s">
        <v>2239</v>
      </c>
      <c r="AU142">
        <v>2016</v>
      </c>
      <c r="AV142">
        <v>44</v>
      </c>
      <c r="AW142">
        <v>2</v>
      </c>
      <c r="AX142" t="s">
        <v>74</v>
      </c>
      <c r="AY142" t="s">
        <v>74</v>
      </c>
      <c r="AZ142" t="s">
        <v>74</v>
      </c>
      <c r="BA142" t="s">
        <v>74</v>
      </c>
      <c r="BB142">
        <v>380</v>
      </c>
      <c r="BC142">
        <v>391</v>
      </c>
      <c r="BD142" t="s">
        <v>74</v>
      </c>
      <c r="BE142" t="s">
        <v>3048</v>
      </c>
      <c r="BF142" t="str">
        <f>HYPERLINK("http://dx.doi.org/10.3856/vol44-issue2-fulltext-19","http://dx.doi.org/10.3856/vol44-issue2-fulltext-19")</f>
        <v>http://dx.doi.org/10.3856/vol44-issue2-fulltext-19</v>
      </c>
      <c r="BG142" t="s">
        <v>74</v>
      </c>
      <c r="BH142" t="s">
        <v>74</v>
      </c>
      <c r="BI142">
        <v>12</v>
      </c>
      <c r="BJ142" t="s">
        <v>3049</v>
      </c>
      <c r="BK142" t="s">
        <v>102</v>
      </c>
      <c r="BL142" t="s">
        <v>3049</v>
      </c>
      <c r="BM142" t="s">
        <v>3050</v>
      </c>
      <c r="BN142" t="s">
        <v>74</v>
      </c>
      <c r="BO142" t="s">
        <v>3051</v>
      </c>
      <c r="BP142" t="s">
        <v>74</v>
      </c>
      <c r="BQ142" t="s">
        <v>74</v>
      </c>
      <c r="BR142" t="s">
        <v>106</v>
      </c>
      <c r="BS142" t="s">
        <v>3052</v>
      </c>
      <c r="BT142" t="str">
        <f>HYPERLINK("https%3A%2F%2Fwww.webofscience.com%2Fwos%2Fwoscc%2Ffull-record%2FWOS:000376155900019","View Full Record in Web of Science")</f>
        <v>View Full Record in Web of Science</v>
      </c>
    </row>
    <row r="143" spans="1:72" x14ac:dyDescent="0.15">
      <c r="A143" t="s">
        <v>72</v>
      </c>
      <c r="B143" t="s">
        <v>3053</v>
      </c>
      <c r="C143" t="s">
        <v>74</v>
      </c>
      <c r="D143" t="s">
        <v>74</v>
      </c>
      <c r="E143" t="s">
        <v>74</v>
      </c>
      <c r="F143" t="s">
        <v>3054</v>
      </c>
      <c r="G143" t="s">
        <v>74</v>
      </c>
      <c r="H143" t="s">
        <v>74</v>
      </c>
      <c r="I143" t="s">
        <v>3055</v>
      </c>
      <c r="J143" t="s">
        <v>547</v>
      </c>
      <c r="K143" t="s">
        <v>74</v>
      </c>
      <c r="L143" t="s">
        <v>74</v>
      </c>
      <c r="M143" t="s">
        <v>78</v>
      </c>
      <c r="N143" t="s">
        <v>79</v>
      </c>
      <c r="O143" t="s">
        <v>74</v>
      </c>
      <c r="P143" t="s">
        <v>74</v>
      </c>
      <c r="Q143" t="s">
        <v>74</v>
      </c>
      <c r="R143" t="s">
        <v>74</v>
      </c>
      <c r="S143" t="s">
        <v>74</v>
      </c>
      <c r="T143" t="s">
        <v>74</v>
      </c>
      <c r="U143" t="s">
        <v>3056</v>
      </c>
      <c r="V143" t="s">
        <v>3057</v>
      </c>
      <c r="W143" t="s">
        <v>3058</v>
      </c>
      <c r="X143" t="s">
        <v>3059</v>
      </c>
      <c r="Y143" t="s">
        <v>3060</v>
      </c>
      <c r="Z143" t="s">
        <v>3061</v>
      </c>
      <c r="AA143" t="s">
        <v>74</v>
      </c>
      <c r="AB143" t="s">
        <v>2187</v>
      </c>
      <c r="AC143" t="s">
        <v>3062</v>
      </c>
      <c r="AD143" t="s">
        <v>3063</v>
      </c>
      <c r="AE143" t="s">
        <v>3064</v>
      </c>
      <c r="AF143" t="s">
        <v>74</v>
      </c>
      <c r="AG143">
        <v>64</v>
      </c>
      <c r="AH143">
        <v>14</v>
      </c>
      <c r="AI143">
        <v>14</v>
      </c>
      <c r="AJ143">
        <v>1</v>
      </c>
      <c r="AK143">
        <v>41</v>
      </c>
      <c r="AL143" t="s">
        <v>559</v>
      </c>
      <c r="AM143" t="s">
        <v>560</v>
      </c>
      <c r="AN143" t="s">
        <v>561</v>
      </c>
      <c r="AO143" t="s">
        <v>562</v>
      </c>
      <c r="AP143" t="s">
        <v>563</v>
      </c>
      <c r="AQ143" t="s">
        <v>74</v>
      </c>
      <c r="AR143" t="s">
        <v>564</v>
      </c>
      <c r="AS143" t="s">
        <v>565</v>
      </c>
      <c r="AT143" t="s">
        <v>2239</v>
      </c>
      <c r="AU143">
        <v>2016</v>
      </c>
      <c r="AV143">
        <v>163</v>
      </c>
      <c r="AW143">
        <v>5</v>
      </c>
      <c r="AX143" t="s">
        <v>74</v>
      </c>
      <c r="AY143" t="s">
        <v>74</v>
      </c>
      <c r="AZ143" t="s">
        <v>74</v>
      </c>
      <c r="BA143" t="s">
        <v>74</v>
      </c>
      <c r="BB143" t="s">
        <v>74</v>
      </c>
      <c r="BC143" t="s">
        <v>74</v>
      </c>
      <c r="BD143">
        <v>110</v>
      </c>
      <c r="BE143" t="s">
        <v>3065</v>
      </c>
      <c r="BF143" t="str">
        <f>HYPERLINK("http://dx.doi.org/10.1007/s00227-016-2891-1","http://dx.doi.org/10.1007/s00227-016-2891-1")</f>
        <v>http://dx.doi.org/10.1007/s00227-016-2891-1</v>
      </c>
      <c r="BG143" t="s">
        <v>74</v>
      </c>
      <c r="BH143" t="s">
        <v>74</v>
      </c>
      <c r="BI143">
        <v>14</v>
      </c>
      <c r="BJ143" t="s">
        <v>201</v>
      </c>
      <c r="BK143" t="s">
        <v>102</v>
      </c>
      <c r="BL143" t="s">
        <v>201</v>
      </c>
      <c r="BM143" t="s">
        <v>3066</v>
      </c>
      <c r="BN143" t="s">
        <v>74</v>
      </c>
      <c r="BO143" t="s">
        <v>74</v>
      </c>
      <c r="BP143" t="s">
        <v>74</v>
      </c>
      <c r="BQ143" t="s">
        <v>74</v>
      </c>
      <c r="BR143" t="s">
        <v>106</v>
      </c>
      <c r="BS143" t="s">
        <v>3067</v>
      </c>
      <c r="BT143" t="str">
        <f>HYPERLINK("https%3A%2F%2Fwww.webofscience.com%2Fwos%2Fwoscc%2Ffull-record%2FWOS:000375330500017","View Full Record in Web of Science")</f>
        <v>View Full Record in Web of Science</v>
      </c>
    </row>
    <row r="144" spans="1:72" x14ac:dyDescent="0.15">
      <c r="A144" t="s">
        <v>72</v>
      </c>
      <c r="B144" t="s">
        <v>3068</v>
      </c>
      <c r="C144" t="s">
        <v>74</v>
      </c>
      <c r="D144" t="s">
        <v>74</v>
      </c>
      <c r="E144" t="s">
        <v>74</v>
      </c>
      <c r="F144" t="s">
        <v>3069</v>
      </c>
      <c r="G144" t="s">
        <v>74</v>
      </c>
      <c r="H144" t="s">
        <v>74</v>
      </c>
      <c r="I144" t="s">
        <v>3070</v>
      </c>
      <c r="J144" t="s">
        <v>547</v>
      </c>
      <c r="K144" t="s">
        <v>74</v>
      </c>
      <c r="L144" t="s">
        <v>74</v>
      </c>
      <c r="M144" t="s">
        <v>78</v>
      </c>
      <c r="N144" t="s">
        <v>79</v>
      </c>
      <c r="O144" t="s">
        <v>74</v>
      </c>
      <c r="P144" t="s">
        <v>74</v>
      </c>
      <c r="Q144" t="s">
        <v>74</v>
      </c>
      <c r="R144" t="s">
        <v>74</v>
      </c>
      <c r="S144" t="s">
        <v>74</v>
      </c>
      <c r="T144" t="s">
        <v>74</v>
      </c>
      <c r="U144" t="s">
        <v>3071</v>
      </c>
      <c r="V144" t="s">
        <v>3072</v>
      </c>
      <c r="W144" t="s">
        <v>3073</v>
      </c>
      <c r="X144" t="s">
        <v>3074</v>
      </c>
      <c r="Y144" t="s">
        <v>3075</v>
      </c>
      <c r="Z144" t="s">
        <v>3076</v>
      </c>
      <c r="AA144" t="s">
        <v>3077</v>
      </c>
      <c r="AB144" t="s">
        <v>3078</v>
      </c>
      <c r="AC144" t="s">
        <v>3079</v>
      </c>
      <c r="AD144" t="s">
        <v>3080</v>
      </c>
      <c r="AE144" t="s">
        <v>3081</v>
      </c>
      <c r="AF144" t="s">
        <v>74</v>
      </c>
      <c r="AG144">
        <v>80</v>
      </c>
      <c r="AH144">
        <v>6</v>
      </c>
      <c r="AI144">
        <v>7</v>
      </c>
      <c r="AJ144">
        <v>0</v>
      </c>
      <c r="AK144">
        <v>33</v>
      </c>
      <c r="AL144" t="s">
        <v>559</v>
      </c>
      <c r="AM144" t="s">
        <v>560</v>
      </c>
      <c r="AN144" t="s">
        <v>561</v>
      </c>
      <c r="AO144" t="s">
        <v>562</v>
      </c>
      <c r="AP144" t="s">
        <v>563</v>
      </c>
      <c r="AQ144" t="s">
        <v>74</v>
      </c>
      <c r="AR144" t="s">
        <v>564</v>
      </c>
      <c r="AS144" t="s">
        <v>565</v>
      </c>
      <c r="AT144" t="s">
        <v>2239</v>
      </c>
      <c r="AU144">
        <v>2016</v>
      </c>
      <c r="AV144">
        <v>163</v>
      </c>
      <c r="AW144">
        <v>5</v>
      </c>
      <c r="AX144" t="s">
        <v>74</v>
      </c>
      <c r="AY144" t="s">
        <v>74</v>
      </c>
      <c r="AZ144" t="s">
        <v>74</v>
      </c>
      <c r="BA144" t="s">
        <v>74</v>
      </c>
      <c r="BB144" t="s">
        <v>74</v>
      </c>
      <c r="BC144" t="s">
        <v>74</v>
      </c>
      <c r="BD144">
        <v>106</v>
      </c>
      <c r="BE144" t="s">
        <v>3082</v>
      </c>
      <c r="BF144" t="str">
        <f>HYPERLINK("http://dx.doi.org/10.1007/s00227-016-2894-y","http://dx.doi.org/10.1007/s00227-016-2894-y")</f>
        <v>http://dx.doi.org/10.1007/s00227-016-2894-y</v>
      </c>
      <c r="BG144" t="s">
        <v>74</v>
      </c>
      <c r="BH144" t="s">
        <v>74</v>
      </c>
      <c r="BI144">
        <v>12</v>
      </c>
      <c r="BJ144" t="s">
        <v>201</v>
      </c>
      <c r="BK144" t="s">
        <v>102</v>
      </c>
      <c r="BL144" t="s">
        <v>201</v>
      </c>
      <c r="BM144" t="s">
        <v>3066</v>
      </c>
      <c r="BN144" t="s">
        <v>74</v>
      </c>
      <c r="BO144" t="s">
        <v>74</v>
      </c>
      <c r="BP144" t="s">
        <v>74</v>
      </c>
      <c r="BQ144" t="s">
        <v>74</v>
      </c>
      <c r="BR144" t="s">
        <v>106</v>
      </c>
      <c r="BS144" t="s">
        <v>3083</v>
      </c>
      <c r="BT144" t="str">
        <f>HYPERLINK("https%3A%2F%2Fwww.webofscience.com%2Fwos%2Fwoscc%2Ffull-record%2FWOS:000375330500013","View Full Record in Web of Science")</f>
        <v>View Full Record in Web of Science</v>
      </c>
    </row>
    <row r="145" spans="1:72" x14ac:dyDescent="0.15">
      <c r="A145" t="s">
        <v>72</v>
      </c>
      <c r="B145" t="s">
        <v>3084</v>
      </c>
      <c r="C145" t="s">
        <v>74</v>
      </c>
      <c r="D145" t="s">
        <v>74</v>
      </c>
      <c r="E145" t="s">
        <v>74</v>
      </c>
      <c r="F145" t="s">
        <v>3085</v>
      </c>
      <c r="G145" t="s">
        <v>74</v>
      </c>
      <c r="H145" t="s">
        <v>74</v>
      </c>
      <c r="I145" t="s">
        <v>3086</v>
      </c>
      <c r="J145" t="s">
        <v>547</v>
      </c>
      <c r="K145" t="s">
        <v>74</v>
      </c>
      <c r="L145" t="s">
        <v>74</v>
      </c>
      <c r="M145" t="s">
        <v>78</v>
      </c>
      <c r="N145" t="s">
        <v>79</v>
      </c>
      <c r="O145" t="s">
        <v>74</v>
      </c>
      <c r="P145" t="s">
        <v>74</v>
      </c>
      <c r="Q145" t="s">
        <v>74</v>
      </c>
      <c r="R145" t="s">
        <v>74</v>
      </c>
      <c r="S145" t="s">
        <v>74</v>
      </c>
      <c r="T145" t="s">
        <v>74</v>
      </c>
      <c r="U145" t="s">
        <v>3087</v>
      </c>
      <c r="V145" t="s">
        <v>3088</v>
      </c>
      <c r="W145" t="s">
        <v>3089</v>
      </c>
      <c r="X145" t="s">
        <v>3090</v>
      </c>
      <c r="Y145" t="s">
        <v>3091</v>
      </c>
      <c r="Z145" t="s">
        <v>3092</v>
      </c>
      <c r="AA145" t="s">
        <v>3093</v>
      </c>
      <c r="AB145" t="s">
        <v>3094</v>
      </c>
      <c r="AC145" t="s">
        <v>3095</v>
      </c>
      <c r="AD145" t="s">
        <v>3096</v>
      </c>
      <c r="AE145" t="s">
        <v>3097</v>
      </c>
      <c r="AF145" t="s">
        <v>74</v>
      </c>
      <c r="AG145">
        <v>47</v>
      </c>
      <c r="AH145">
        <v>23</v>
      </c>
      <c r="AI145">
        <v>26</v>
      </c>
      <c r="AJ145">
        <v>0</v>
      </c>
      <c r="AK145">
        <v>56</v>
      </c>
      <c r="AL145" t="s">
        <v>559</v>
      </c>
      <c r="AM145" t="s">
        <v>560</v>
      </c>
      <c r="AN145" t="s">
        <v>561</v>
      </c>
      <c r="AO145" t="s">
        <v>562</v>
      </c>
      <c r="AP145" t="s">
        <v>563</v>
      </c>
      <c r="AQ145" t="s">
        <v>74</v>
      </c>
      <c r="AR145" t="s">
        <v>564</v>
      </c>
      <c r="AS145" t="s">
        <v>565</v>
      </c>
      <c r="AT145" t="s">
        <v>2239</v>
      </c>
      <c r="AU145">
        <v>2016</v>
      </c>
      <c r="AV145">
        <v>163</v>
      </c>
      <c r="AW145">
        <v>5</v>
      </c>
      <c r="AX145" t="s">
        <v>74</v>
      </c>
      <c r="AY145" t="s">
        <v>74</v>
      </c>
      <c r="AZ145" t="s">
        <v>74</v>
      </c>
      <c r="BA145" t="s">
        <v>74</v>
      </c>
      <c r="BB145" t="s">
        <v>74</v>
      </c>
      <c r="BC145" t="s">
        <v>74</v>
      </c>
      <c r="BD145">
        <v>108</v>
      </c>
      <c r="BE145" t="s">
        <v>3098</v>
      </c>
      <c r="BF145" t="str">
        <f>HYPERLINK("http://dx.doi.org/10.1007/s00227-016-2890-2","http://dx.doi.org/10.1007/s00227-016-2890-2")</f>
        <v>http://dx.doi.org/10.1007/s00227-016-2890-2</v>
      </c>
      <c r="BG145" t="s">
        <v>74</v>
      </c>
      <c r="BH145" t="s">
        <v>74</v>
      </c>
      <c r="BI145">
        <v>8</v>
      </c>
      <c r="BJ145" t="s">
        <v>201</v>
      </c>
      <c r="BK145" t="s">
        <v>102</v>
      </c>
      <c r="BL145" t="s">
        <v>201</v>
      </c>
      <c r="BM145" t="s">
        <v>3066</v>
      </c>
      <c r="BN145" t="s">
        <v>74</v>
      </c>
      <c r="BO145" t="s">
        <v>74</v>
      </c>
      <c r="BP145" t="s">
        <v>74</v>
      </c>
      <c r="BQ145" t="s">
        <v>74</v>
      </c>
      <c r="BR145" t="s">
        <v>106</v>
      </c>
      <c r="BS145" t="s">
        <v>3099</v>
      </c>
      <c r="BT145" t="str">
        <f>HYPERLINK("https%3A%2F%2Fwww.webofscience.com%2Fwos%2Fwoscc%2Ffull-record%2FWOS:000375330500015","View Full Record in Web of Science")</f>
        <v>View Full Record in Web of Science</v>
      </c>
    </row>
    <row r="146" spans="1:72" x14ac:dyDescent="0.15">
      <c r="A146" t="s">
        <v>72</v>
      </c>
      <c r="B146" t="s">
        <v>3100</v>
      </c>
      <c r="C146" t="s">
        <v>74</v>
      </c>
      <c r="D146" t="s">
        <v>74</v>
      </c>
      <c r="E146" t="s">
        <v>74</v>
      </c>
      <c r="F146" t="s">
        <v>3101</v>
      </c>
      <c r="G146" t="s">
        <v>74</v>
      </c>
      <c r="H146" t="s">
        <v>74</v>
      </c>
      <c r="I146" t="s">
        <v>3102</v>
      </c>
      <c r="J146" t="s">
        <v>711</v>
      </c>
      <c r="K146" t="s">
        <v>74</v>
      </c>
      <c r="L146" t="s">
        <v>74</v>
      </c>
      <c r="M146" t="s">
        <v>78</v>
      </c>
      <c r="N146" t="s">
        <v>79</v>
      </c>
      <c r="O146" t="s">
        <v>74</v>
      </c>
      <c r="P146" t="s">
        <v>74</v>
      </c>
      <c r="Q146" t="s">
        <v>74</v>
      </c>
      <c r="R146" t="s">
        <v>74</v>
      </c>
      <c r="S146" t="s">
        <v>74</v>
      </c>
      <c r="T146" t="s">
        <v>74</v>
      </c>
      <c r="U146" t="s">
        <v>3103</v>
      </c>
      <c r="V146" t="s">
        <v>3104</v>
      </c>
      <c r="W146" t="s">
        <v>3105</v>
      </c>
      <c r="X146" t="s">
        <v>3106</v>
      </c>
      <c r="Y146" t="s">
        <v>3107</v>
      </c>
      <c r="Z146" t="s">
        <v>3108</v>
      </c>
      <c r="AA146" t="s">
        <v>3109</v>
      </c>
      <c r="AB146" t="s">
        <v>3110</v>
      </c>
      <c r="AC146" t="s">
        <v>3111</v>
      </c>
      <c r="AD146" t="s">
        <v>3112</v>
      </c>
      <c r="AE146" t="s">
        <v>3113</v>
      </c>
      <c r="AF146" t="s">
        <v>74</v>
      </c>
      <c r="AG146">
        <v>45</v>
      </c>
      <c r="AH146">
        <v>4</v>
      </c>
      <c r="AI146">
        <v>4</v>
      </c>
      <c r="AJ146">
        <v>0</v>
      </c>
      <c r="AK146">
        <v>15</v>
      </c>
      <c r="AL146" t="s">
        <v>124</v>
      </c>
      <c r="AM146" t="s">
        <v>125</v>
      </c>
      <c r="AN146" t="s">
        <v>126</v>
      </c>
      <c r="AO146" t="s">
        <v>722</v>
      </c>
      <c r="AP146" t="s">
        <v>723</v>
      </c>
      <c r="AQ146" t="s">
        <v>74</v>
      </c>
      <c r="AR146" t="s">
        <v>724</v>
      </c>
      <c r="AS146" t="s">
        <v>725</v>
      </c>
      <c r="AT146" t="s">
        <v>2239</v>
      </c>
      <c r="AU146">
        <v>2016</v>
      </c>
      <c r="AV146">
        <v>51</v>
      </c>
      <c r="AW146">
        <v>5</v>
      </c>
      <c r="AX146" t="s">
        <v>74</v>
      </c>
      <c r="AY146" t="s">
        <v>74</v>
      </c>
      <c r="AZ146" t="s">
        <v>74</v>
      </c>
      <c r="BA146" t="s">
        <v>74</v>
      </c>
      <c r="BB146">
        <v>906</v>
      </c>
      <c r="BC146">
        <v>919</v>
      </c>
      <c r="BD146" t="s">
        <v>74</v>
      </c>
      <c r="BE146" t="s">
        <v>3114</v>
      </c>
      <c r="BF146" t="str">
        <f>HYPERLINK("http://dx.doi.org/10.1111/maps.12634","http://dx.doi.org/10.1111/maps.12634")</f>
        <v>http://dx.doi.org/10.1111/maps.12634</v>
      </c>
      <c r="BG146" t="s">
        <v>74</v>
      </c>
      <c r="BH146" t="s">
        <v>74</v>
      </c>
      <c r="BI146">
        <v>14</v>
      </c>
      <c r="BJ146" t="s">
        <v>727</v>
      </c>
      <c r="BK146" t="s">
        <v>102</v>
      </c>
      <c r="BL146" t="s">
        <v>727</v>
      </c>
      <c r="BM146" t="s">
        <v>3115</v>
      </c>
      <c r="BN146" t="s">
        <v>74</v>
      </c>
      <c r="BO146" t="s">
        <v>420</v>
      </c>
      <c r="BP146" t="s">
        <v>74</v>
      </c>
      <c r="BQ146" t="s">
        <v>74</v>
      </c>
      <c r="BR146" t="s">
        <v>106</v>
      </c>
      <c r="BS146" t="s">
        <v>3116</v>
      </c>
      <c r="BT146" t="str">
        <f>HYPERLINK("https%3A%2F%2Fwww.webofscience.com%2Fwos%2Fwoscc%2Ffull-record%2FWOS:000375940600005","View Full Record in Web of Science")</f>
        <v>View Full Record in Web of Science</v>
      </c>
    </row>
    <row r="147" spans="1:72" x14ac:dyDescent="0.15">
      <c r="A147" t="s">
        <v>72</v>
      </c>
      <c r="B147" t="s">
        <v>3117</v>
      </c>
      <c r="C147" t="s">
        <v>74</v>
      </c>
      <c r="D147" t="s">
        <v>74</v>
      </c>
      <c r="E147" t="s">
        <v>74</v>
      </c>
      <c r="F147" t="s">
        <v>3118</v>
      </c>
      <c r="G147" t="s">
        <v>74</v>
      </c>
      <c r="H147" t="s">
        <v>74</v>
      </c>
      <c r="I147" t="s">
        <v>3119</v>
      </c>
      <c r="J147" t="s">
        <v>3120</v>
      </c>
      <c r="K147" t="s">
        <v>74</v>
      </c>
      <c r="L147" t="s">
        <v>74</v>
      </c>
      <c r="M147" t="s">
        <v>78</v>
      </c>
      <c r="N147" t="s">
        <v>79</v>
      </c>
      <c r="O147" t="s">
        <v>74</v>
      </c>
      <c r="P147" t="s">
        <v>74</v>
      </c>
      <c r="Q147" t="s">
        <v>74</v>
      </c>
      <c r="R147" t="s">
        <v>74</v>
      </c>
      <c r="S147" t="s">
        <v>74</v>
      </c>
      <c r="T147" t="s">
        <v>74</v>
      </c>
      <c r="U147" t="s">
        <v>3121</v>
      </c>
      <c r="V147" t="s">
        <v>3122</v>
      </c>
      <c r="W147" t="s">
        <v>3123</v>
      </c>
      <c r="X147" t="s">
        <v>3124</v>
      </c>
      <c r="Y147" t="s">
        <v>3125</v>
      </c>
      <c r="Z147" t="s">
        <v>74</v>
      </c>
      <c r="AA147" t="s">
        <v>74</v>
      </c>
      <c r="AB147" t="s">
        <v>3126</v>
      </c>
      <c r="AC147" t="s">
        <v>3127</v>
      </c>
      <c r="AD147" t="s">
        <v>3128</v>
      </c>
      <c r="AE147" t="s">
        <v>3129</v>
      </c>
      <c r="AF147" t="s">
        <v>74</v>
      </c>
      <c r="AG147">
        <v>14</v>
      </c>
      <c r="AH147">
        <v>1</v>
      </c>
      <c r="AI147">
        <v>1</v>
      </c>
      <c r="AJ147">
        <v>0</v>
      </c>
      <c r="AK147">
        <v>2</v>
      </c>
      <c r="AL147" t="s">
        <v>3130</v>
      </c>
      <c r="AM147" t="s">
        <v>3131</v>
      </c>
      <c r="AN147" t="s">
        <v>3132</v>
      </c>
      <c r="AO147" t="s">
        <v>3133</v>
      </c>
      <c r="AP147" t="s">
        <v>74</v>
      </c>
      <c r="AQ147" t="s">
        <v>74</v>
      </c>
      <c r="AR147" t="s">
        <v>3134</v>
      </c>
      <c r="AS147" t="s">
        <v>3135</v>
      </c>
      <c r="AT147" t="s">
        <v>2239</v>
      </c>
      <c r="AU147">
        <v>2016</v>
      </c>
      <c r="AV147" t="s">
        <v>74</v>
      </c>
      <c r="AW147" t="s">
        <v>74</v>
      </c>
      <c r="AX147" t="s">
        <v>74</v>
      </c>
      <c r="AY147" t="s">
        <v>3136</v>
      </c>
      <c r="AZ147" t="s">
        <v>74</v>
      </c>
      <c r="BA147" t="s">
        <v>74</v>
      </c>
      <c r="BB147">
        <v>6</v>
      </c>
      <c r="BC147">
        <v>18</v>
      </c>
      <c r="BD147" t="s">
        <v>74</v>
      </c>
      <c r="BE147" t="s">
        <v>74</v>
      </c>
      <c r="BF147" t="s">
        <v>74</v>
      </c>
      <c r="BG147" t="s">
        <v>74</v>
      </c>
      <c r="BH147" t="s">
        <v>74</v>
      </c>
      <c r="BI147">
        <v>13</v>
      </c>
      <c r="BJ147" t="s">
        <v>3137</v>
      </c>
      <c r="BK147" t="s">
        <v>102</v>
      </c>
      <c r="BL147" t="s">
        <v>3138</v>
      </c>
      <c r="BM147" t="s">
        <v>3139</v>
      </c>
      <c r="BN147" t="s">
        <v>74</v>
      </c>
      <c r="BO147" t="s">
        <v>74</v>
      </c>
      <c r="BP147" t="s">
        <v>74</v>
      </c>
      <c r="BQ147" t="s">
        <v>74</v>
      </c>
      <c r="BR147" t="s">
        <v>106</v>
      </c>
      <c r="BS147" t="s">
        <v>3140</v>
      </c>
      <c r="BT147" t="str">
        <f>HYPERLINK("https%3A%2F%2Fwww.webofscience.com%2Fwos%2Fwoscc%2Ffull-record%2FWOS:000376229100001","View Full Record in Web of Science")</f>
        <v>View Full Record in Web of Science</v>
      </c>
    </row>
    <row r="148" spans="1:72" x14ac:dyDescent="0.15">
      <c r="A148" t="s">
        <v>72</v>
      </c>
      <c r="B148" t="s">
        <v>3141</v>
      </c>
      <c r="C148" t="s">
        <v>74</v>
      </c>
      <c r="D148" t="s">
        <v>74</v>
      </c>
      <c r="E148" t="s">
        <v>74</v>
      </c>
      <c r="F148" t="s">
        <v>3142</v>
      </c>
      <c r="G148" t="s">
        <v>74</v>
      </c>
      <c r="H148" t="s">
        <v>74</v>
      </c>
      <c r="I148" t="s">
        <v>3143</v>
      </c>
      <c r="J148" t="s">
        <v>3144</v>
      </c>
      <c r="K148" t="s">
        <v>74</v>
      </c>
      <c r="L148" t="s">
        <v>74</v>
      </c>
      <c r="M148" t="s">
        <v>78</v>
      </c>
      <c r="N148" t="s">
        <v>949</v>
      </c>
      <c r="O148" t="s">
        <v>74</v>
      </c>
      <c r="P148" t="s">
        <v>74</v>
      </c>
      <c r="Q148" t="s">
        <v>74</v>
      </c>
      <c r="R148" t="s">
        <v>74</v>
      </c>
      <c r="S148" t="s">
        <v>74</v>
      </c>
      <c r="T148" t="s">
        <v>74</v>
      </c>
      <c r="U148" t="s">
        <v>3145</v>
      </c>
      <c r="V148" t="s">
        <v>3146</v>
      </c>
      <c r="W148" t="s">
        <v>3147</v>
      </c>
      <c r="X148" t="s">
        <v>3148</v>
      </c>
      <c r="Y148" t="s">
        <v>3149</v>
      </c>
      <c r="Z148" t="s">
        <v>3150</v>
      </c>
      <c r="AA148" t="s">
        <v>3151</v>
      </c>
      <c r="AB148" t="s">
        <v>3152</v>
      </c>
      <c r="AC148" t="s">
        <v>3153</v>
      </c>
      <c r="AD148" t="s">
        <v>3153</v>
      </c>
      <c r="AE148" t="s">
        <v>3154</v>
      </c>
      <c r="AF148" t="s">
        <v>74</v>
      </c>
      <c r="AG148">
        <v>122</v>
      </c>
      <c r="AH148">
        <v>22</v>
      </c>
      <c r="AI148">
        <v>23</v>
      </c>
      <c r="AJ148">
        <v>1</v>
      </c>
      <c r="AK148">
        <v>42</v>
      </c>
      <c r="AL148" t="s">
        <v>1829</v>
      </c>
      <c r="AM148" t="s">
        <v>679</v>
      </c>
      <c r="AN148" t="s">
        <v>1830</v>
      </c>
      <c r="AO148" t="s">
        <v>3155</v>
      </c>
      <c r="AP148" t="s">
        <v>74</v>
      </c>
      <c r="AQ148" t="s">
        <v>74</v>
      </c>
      <c r="AR148" t="s">
        <v>3156</v>
      </c>
      <c r="AS148" t="s">
        <v>3157</v>
      </c>
      <c r="AT148" t="s">
        <v>2239</v>
      </c>
      <c r="AU148">
        <v>2016</v>
      </c>
      <c r="AV148">
        <v>144</v>
      </c>
      <c r="AW148" t="s">
        <v>74</v>
      </c>
      <c r="AX148" t="s">
        <v>74</v>
      </c>
      <c r="AY148" t="s">
        <v>74</v>
      </c>
      <c r="AZ148" t="s">
        <v>74</v>
      </c>
      <c r="BA148" t="s">
        <v>74</v>
      </c>
      <c r="BB148">
        <v>62</v>
      </c>
      <c r="BC148">
        <v>92</v>
      </c>
      <c r="BD148" t="s">
        <v>74</v>
      </c>
      <c r="BE148" t="s">
        <v>3158</v>
      </c>
      <c r="BF148" t="str">
        <f>HYPERLINK("http://dx.doi.org/10.1016/j.pocean.2016.03.005","http://dx.doi.org/10.1016/j.pocean.2016.03.005")</f>
        <v>http://dx.doi.org/10.1016/j.pocean.2016.03.005</v>
      </c>
      <c r="BG148" t="s">
        <v>74</v>
      </c>
      <c r="BH148" t="s">
        <v>74</v>
      </c>
      <c r="BI148">
        <v>31</v>
      </c>
      <c r="BJ148" t="s">
        <v>361</v>
      </c>
      <c r="BK148" t="s">
        <v>102</v>
      </c>
      <c r="BL148" t="s">
        <v>361</v>
      </c>
      <c r="BM148" t="s">
        <v>3159</v>
      </c>
      <c r="BN148" t="s">
        <v>74</v>
      </c>
      <c r="BO148" t="s">
        <v>380</v>
      </c>
      <c r="BP148" t="s">
        <v>74</v>
      </c>
      <c r="BQ148" t="s">
        <v>74</v>
      </c>
      <c r="BR148" t="s">
        <v>106</v>
      </c>
      <c r="BS148" t="s">
        <v>3160</v>
      </c>
      <c r="BT148" t="str">
        <f>HYPERLINK("https%3A%2F%2Fwww.webofscience.com%2Fwos%2Fwoscc%2Ffull-record%2FWOS:000376214200005","View Full Record in Web of Science")</f>
        <v>View Full Record in Web of Science</v>
      </c>
    </row>
    <row r="149" spans="1:72" x14ac:dyDescent="0.15">
      <c r="A149" t="s">
        <v>72</v>
      </c>
      <c r="B149" t="s">
        <v>3161</v>
      </c>
      <c r="C149" t="s">
        <v>74</v>
      </c>
      <c r="D149" t="s">
        <v>74</v>
      </c>
      <c r="E149" t="s">
        <v>74</v>
      </c>
      <c r="F149" t="s">
        <v>3162</v>
      </c>
      <c r="G149" t="s">
        <v>74</v>
      </c>
      <c r="H149" t="s">
        <v>74</v>
      </c>
      <c r="I149" t="s">
        <v>3163</v>
      </c>
      <c r="J149" t="s">
        <v>3164</v>
      </c>
      <c r="K149" t="s">
        <v>74</v>
      </c>
      <c r="L149" t="s">
        <v>74</v>
      </c>
      <c r="M149" t="s">
        <v>78</v>
      </c>
      <c r="N149" t="s">
        <v>79</v>
      </c>
      <c r="O149" t="s">
        <v>74</v>
      </c>
      <c r="P149" t="s">
        <v>74</v>
      </c>
      <c r="Q149" t="s">
        <v>74</v>
      </c>
      <c r="R149" t="s">
        <v>74</v>
      </c>
      <c r="S149" t="s">
        <v>74</v>
      </c>
      <c r="T149" t="s">
        <v>3165</v>
      </c>
      <c r="U149" t="s">
        <v>3166</v>
      </c>
      <c r="V149" t="s">
        <v>3167</v>
      </c>
      <c r="W149" t="s">
        <v>3168</v>
      </c>
      <c r="X149" t="s">
        <v>3169</v>
      </c>
      <c r="Y149" t="s">
        <v>3170</v>
      </c>
      <c r="Z149" t="s">
        <v>3171</v>
      </c>
      <c r="AA149" t="s">
        <v>3172</v>
      </c>
      <c r="AB149" t="s">
        <v>3173</v>
      </c>
      <c r="AC149" t="s">
        <v>3174</v>
      </c>
      <c r="AD149" t="s">
        <v>3175</v>
      </c>
      <c r="AE149" t="s">
        <v>3176</v>
      </c>
      <c r="AF149" t="s">
        <v>74</v>
      </c>
      <c r="AG149">
        <v>66</v>
      </c>
      <c r="AH149">
        <v>7</v>
      </c>
      <c r="AI149">
        <v>7</v>
      </c>
      <c r="AJ149">
        <v>0</v>
      </c>
      <c r="AK149">
        <v>31</v>
      </c>
      <c r="AL149" t="s">
        <v>194</v>
      </c>
      <c r="AM149" t="s">
        <v>195</v>
      </c>
      <c r="AN149" t="s">
        <v>196</v>
      </c>
      <c r="AO149" t="s">
        <v>3177</v>
      </c>
      <c r="AP149" t="s">
        <v>3178</v>
      </c>
      <c r="AQ149" t="s">
        <v>74</v>
      </c>
      <c r="AR149" t="s">
        <v>3179</v>
      </c>
      <c r="AS149" t="s">
        <v>3180</v>
      </c>
      <c r="AT149" t="s">
        <v>2239</v>
      </c>
      <c r="AU149">
        <v>2016</v>
      </c>
      <c r="AV149">
        <v>18</v>
      </c>
      <c r="AW149">
        <v>5</v>
      </c>
      <c r="AX149" t="s">
        <v>74</v>
      </c>
      <c r="AY149" t="s">
        <v>74</v>
      </c>
      <c r="AZ149" t="s">
        <v>74</v>
      </c>
      <c r="BA149" t="s">
        <v>74</v>
      </c>
      <c r="BB149">
        <v>1235</v>
      </c>
      <c r="BC149">
        <v>1246</v>
      </c>
      <c r="BD149" t="s">
        <v>74</v>
      </c>
      <c r="BE149" t="s">
        <v>3181</v>
      </c>
      <c r="BF149" t="str">
        <f>HYPERLINK("http://dx.doi.org/10.1007/s10530-015-0967-3","http://dx.doi.org/10.1007/s10530-015-0967-3")</f>
        <v>http://dx.doi.org/10.1007/s10530-015-0967-3</v>
      </c>
      <c r="BG149" t="s">
        <v>74</v>
      </c>
      <c r="BH149" t="s">
        <v>74</v>
      </c>
      <c r="BI149">
        <v>12</v>
      </c>
      <c r="BJ149" t="s">
        <v>291</v>
      </c>
      <c r="BK149" t="s">
        <v>102</v>
      </c>
      <c r="BL149" t="s">
        <v>133</v>
      </c>
      <c r="BM149" t="s">
        <v>3182</v>
      </c>
      <c r="BN149" t="s">
        <v>74</v>
      </c>
      <c r="BO149" t="s">
        <v>1412</v>
      </c>
      <c r="BP149" t="s">
        <v>74</v>
      </c>
      <c r="BQ149" t="s">
        <v>74</v>
      </c>
      <c r="BR149" t="s">
        <v>106</v>
      </c>
      <c r="BS149" t="s">
        <v>3183</v>
      </c>
      <c r="BT149" t="str">
        <f>HYPERLINK("https%3A%2F%2Fwww.webofscience.com%2Fwos%2Fwoscc%2Ffull-record%2FWOS:000374411200002","View Full Record in Web of Science")</f>
        <v>View Full Record in Web of Science</v>
      </c>
    </row>
    <row r="150" spans="1:72" x14ac:dyDescent="0.15">
      <c r="A150" t="s">
        <v>72</v>
      </c>
      <c r="B150" t="s">
        <v>3184</v>
      </c>
      <c r="C150" t="s">
        <v>74</v>
      </c>
      <c r="D150" t="s">
        <v>74</v>
      </c>
      <c r="E150" t="s">
        <v>74</v>
      </c>
      <c r="F150" t="s">
        <v>3185</v>
      </c>
      <c r="G150" t="s">
        <v>74</v>
      </c>
      <c r="H150" t="s">
        <v>74</v>
      </c>
      <c r="I150" t="s">
        <v>3186</v>
      </c>
      <c r="J150" t="s">
        <v>3187</v>
      </c>
      <c r="K150" t="s">
        <v>74</v>
      </c>
      <c r="L150" t="s">
        <v>74</v>
      </c>
      <c r="M150" t="s">
        <v>78</v>
      </c>
      <c r="N150" t="s">
        <v>79</v>
      </c>
      <c r="O150" t="s">
        <v>74</v>
      </c>
      <c r="P150" t="s">
        <v>74</v>
      </c>
      <c r="Q150" t="s">
        <v>74</v>
      </c>
      <c r="R150" t="s">
        <v>74</v>
      </c>
      <c r="S150" t="s">
        <v>74</v>
      </c>
      <c r="T150" t="s">
        <v>3188</v>
      </c>
      <c r="U150" t="s">
        <v>3189</v>
      </c>
      <c r="V150" t="s">
        <v>3190</v>
      </c>
      <c r="W150" t="s">
        <v>3191</v>
      </c>
      <c r="X150" t="s">
        <v>3192</v>
      </c>
      <c r="Y150" t="s">
        <v>3193</v>
      </c>
      <c r="Z150" t="s">
        <v>3194</v>
      </c>
      <c r="AA150" t="s">
        <v>74</v>
      </c>
      <c r="AB150" t="s">
        <v>3195</v>
      </c>
      <c r="AC150" t="s">
        <v>3196</v>
      </c>
      <c r="AD150" t="s">
        <v>3197</v>
      </c>
      <c r="AE150" t="s">
        <v>3198</v>
      </c>
      <c r="AF150" t="s">
        <v>74</v>
      </c>
      <c r="AG150">
        <v>35</v>
      </c>
      <c r="AH150">
        <v>9</v>
      </c>
      <c r="AI150">
        <v>9</v>
      </c>
      <c r="AJ150">
        <v>1</v>
      </c>
      <c r="AK150">
        <v>14</v>
      </c>
      <c r="AL150" t="s">
        <v>582</v>
      </c>
      <c r="AM150" t="s">
        <v>583</v>
      </c>
      <c r="AN150" t="s">
        <v>584</v>
      </c>
      <c r="AO150" t="s">
        <v>3199</v>
      </c>
      <c r="AP150" t="s">
        <v>3200</v>
      </c>
      <c r="AQ150" t="s">
        <v>74</v>
      </c>
      <c r="AR150" t="s">
        <v>3201</v>
      </c>
      <c r="AS150" t="s">
        <v>3202</v>
      </c>
      <c r="AT150" t="s">
        <v>2239</v>
      </c>
      <c r="AU150">
        <v>2016</v>
      </c>
      <c r="AV150">
        <v>125</v>
      </c>
      <c r="AW150" t="s">
        <v>74</v>
      </c>
      <c r="AX150" t="s">
        <v>74</v>
      </c>
      <c r="AY150" t="s">
        <v>74</v>
      </c>
      <c r="AZ150" t="s">
        <v>74</v>
      </c>
      <c r="BA150" t="s">
        <v>74</v>
      </c>
      <c r="BB150">
        <v>31</v>
      </c>
      <c r="BC150">
        <v>39</v>
      </c>
      <c r="BD150" t="s">
        <v>74</v>
      </c>
      <c r="BE150" t="s">
        <v>3203</v>
      </c>
      <c r="BF150" t="str">
        <f>HYPERLINK("http://dx.doi.org/10.1016/j.coldregions.2016.01.008","http://dx.doi.org/10.1016/j.coldregions.2016.01.008")</f>
        <v>http://dx.doi.org/10.1016/j.coldregions.2016.01.008</v>
      </c>
      <c r="BG150" t="s">
        <v>74</v>
      </c>
      <c r="BH150" t="s">
        <v>74</v>
      </c>
      <c r="BI150">
        <v>9</v>
      </c>
      <c r="BJ150" t="s">
        <v>3204</v>
      </c>
      <c r="BK150" t="s">
        <v>102</v>
      </c>
      <c r="BL150" t="s">
        <v>3205</v>
      </c>
      <c r="BM150" t="s">
        <v>3206</v>
      </c>
      <c r="BN150" t="s">
        <v>74</v>
      </c>
      <c r="BO150" t="s">
        <v>74</v>
      </c>
      <c r="BP150" t="s">
        <v>74</v>
      </c>
      <c r="BQ150" t="s">
        <v>74</v>
      </c>
      <c r="BR150" t="s">
        <v>106</v>
      </c>
      <c r="BS150" t="s">
        <v>3207</v>
      </c>
      <c r="BT150" t="str">
        <f>HYPERLINK("https%3A%2F%2Fwww.webofscience.com%2Fwos%2Fwoscc%2Ffull-record%2FWOS:000374710400004","View Full Record in Web of Science")</f>
        <v>View Full Record in Web of Science</v>
      </c>
    </row>
    <row r="151" spans="1:72" x14ac:dyDescent="0.15">
      <c r="A151" t="s">
        <v>72</v>
      </c>
      <c r="B151" t="s">
        <v>3208</v>
      </c>
      <c r="C151" t="s">
        <v>74</v>
      </c>
      <c r="D151" t="s">
        <v>74</v>
      </c>
      <c r="E151" t="s">
        <v>74</v>
      </c>
      <c r="F151" t="s">
        <v>3209</v>
      </c>
      <c r="G151" t="s">
        <v>74</v>
      </c>
      <c r="H151" t="s">
        <v>74</v>
      </c>
      <c r="I151" t="s">
        <v>3210</v>
      </c>
      <c r="J151" t="s">
        <v>3211</v>
      </c>
      <c r="K151" t="s">
        <v>74</v>
      </c>
      <c r="L151" t="s">
        <v>74</v>
      </c>
      <c r="M151" t="s">
        <v>78</v>
      </c>
      <c r="N151" t="s">
        <v>79</v>
      </c>
      <c r="O151" t="s">
        <v>74</v>
      </c>
      <c r="P151" t="s">
        <v>74</v>
      </c>
      <c r="Q151" t="s">
        <v>74</v>
      </c>
      <c r="R151" t="s">
        <v>74</v>
      </c>
      <c r="S151" t="s">
        <v>74</v>
      </c>
      <c r="T151" t="s">
        <v>74</v>
      </c>
      <c r="U151" t="s">
        <v>3212</v>
      </c>
      <c r="V151" t="s">
        <v>3213</v>
      </c>
      <c r="W151" t="s">
        <v>3214</v>
      </c>
      <c r="X151" t="s">
        <v>3215</v>
      </c>
      <c r="Y151" t="s">
        <v>3216</v>
      </c>
      <c r="Z151" t="s">
        <v>3217</v>
      </c>
      <c r="AA151" t="s">
        <v>3218</v>
      </c>
      <c r="AB151" t="s">
        <v>3219</v>
      </c>
      <c r="AC151" t="s">
        <v>3220</v>
      </c>
      <c r="AD151" t="s">
        <v>3220</v>
      </c>
      <c r="AE151" t="s">
        <v>3221</v>
      </c>
      <c r="AF151" t="s">
        <v>74</v>
      </c>
      <c r="AG151">
        <v>66</v>
      </c>
      <c r="AH151">
        <v>26</v>
      </c>
      <c r="AI151">
        <v>26</v>
      </c>
      <c r="AJ151">
        <v>0</v>
      </c>
      <c r="AK151">
        <v>46</v>
      </c>
      <c r="AL151" t="s">
        <v>124</v>
      </c>
      <c r="AM151" t="s">
        <v>125</v>
      </c>
      <c r="AN151" t="s">
        <v>126</v>
      </c>
      <c r="AO151" t="s">
        <v>3222</v>
      </c>
      <c r="AP151" t="s">
        <v>3223</v>
      </c>
      <c r="AQ151" t="s">
        <v>74</v>
      </c>
      <c r="AR151" t="s">
        <v>3211</v>
      </c>
      <c r="AS151" t="s">
        <v>3224</v>
      </c>
      <c r="AT151" t="s">
        <v>2239</v>
      </c>
      <c r="AU151">
        <v>2016</v>
      </c>
      <c r="AV151">
        <v>39</v>
      </c>
      <c r="AW151">
        <v>5</v>
      </c>
      <c r="AX151" t="s">
        <v>74</v>
      </c>
      <c r="AY151" t="s">
        <v>74</v>
      </c>
      <c r="AZ151" t="s">
        <v>74</v>
      </c>
      <c r="BA151" t="s">
        <v>74</v>
      </c>
      <c r="BB151">
        <v>496</v>
      </c>
      <c r="BC151">
        <v>505</v>
      </c>
      <c r="BD151" t="s">
        <v>74</v>
      </c>
      <c r="BE151" t="s">
        <v>3225</v>
      </c>
      <c r="BF151" t="str">
        <f>HYPERLINK("http://dx.doi.org/10.1111/ecog.01659","http://dx.doi.org/10.1111/ecog.01659")</f>
        <v>http://dx.doi.org/10.1111/ecog.01659</v>
      </c>
      <c r="BG151" t="s">
        <v>74</v>
      </c>
      <c r="BH151" t="s">
        <v>74</v>
      </c>
      <c r="BI151">
        <v>10</v>
      </c>
      <c r="BJ151" t="s">
        <v>291</v>
      </c>
      <c r="BK151" t="s">
        <v>102</v>
      </c>
      <c r="BL151" t="s">
        <v>133</v>
      </c>
      <c r="BM151" t="s">
        <v>3226</v>
      </c>
      <c r="BN151" t="s">
        <v>74</v>
      </c>
      <c r="BO151" t="s">
        <v>74</v>
      </c>
      <c r="BP151" t="s">
        <v>74</v>
      </c>
      <c r="BQ151" t="s">
        <v>74</v>
      </c>
      <c r="BR151" t="s">
        <v>106</v>
      </c>
      <c r="BS151" t="s">
        <v>3227</v>
      </c>
      <c r="BT151" t="str">
        <f>HYPERLINK("https%3A%2F%2Fwww.webofscience.com%2Fwos%2Fwoscc%2Ffull-record%2FWOS:000375601700010","View Full Record in Web of Science")</f>
        <v>View Full Record in Web of Science</v>
      </c>
    </row>
    <row r="152" spans="1:72" x14ac:dyDescent="0.15">
      <c r="A152" t="s">
        <v>72</v>
      </c>
      <c r="B152" t="s">
        <v>3228</v>
      </c>
      <c r="C152" t="s">
        <v>74</v>
      </c>
      <c r="D152" t="s">
        <v>74</v>
      </c>
      <c r="E152" t="s">
        <v>74</v>
      </c>
      <c r="F152" t="s">
        <v>3229</v>
      </c>
      <c r="G152" t="s">
        <v>74</v>
      </c>
      <c r="H152" t="s">
        <v>74</v>
      </c>
      <c r="I152" t="s">
        <v>3230</v>
      </c>
      <c r="J152" t="s">
        <v>3231</v>
      </c>
      <c r="K152" t="s">
        <v>74</v>
      </c>
      <c r="L152" t="s">
        <v>74</v>
      </c>
      <c r="M152" t="s">
        <v>78</v>
      </c>
      <c r="N152" t="s">
        <v>79</v>
      </c>
      <c r="O152" t="s">
        <v>74</v>
      </c>
      <c r="P152" t="s">
        <v>74</v>
      </c>
      <c r="Q152" t="s">
        <v>74</v>
      </c>
      <c r="R152" t="s">
        <v>74</v>
      </c>
      <c r="S152" t="s">
        <v>74</v>
      </c>
      <c r="T152" t="s">
        <v>3232</v>
      </c>
      <c r="U152" t="s">
        <v>3233</v>
      </c>
      <c r="V152" t="s">
        <v>3234</v>
      </c>
      <c r="W152" t="s">
        <v>3235</v>
      </c>
      <c r="X152" t="s">
        <v>3236</v>
      </c>
      <c r="Y152" t="s">
        <v>3237</v>
      </c>
      <c r="Z152" t="s">
        <v>3238</v>
      </c>
      <c r="AA152" t="s">
        <v>3239</v>
      </c>
      <c r="AB152" t="s">
        <v>3240</v>
      </c>
      <c r="AC152" t="s">
        <v>3241</v>
      </c>
      <c r="AD152" t="s">
        <v>3242</v>
      </c>
      <c r="AE152" t="s">
        <v>3243</v>
      </c>
      <c r="AF152" t="s">
        <v>74</v>
      </c>
      <c r="AG152">
        <v>67</v>
      </c>
      <c r="AH152">
        <v>18</v>
      </c>
      <c r="AI152">
        <v>23</v>
      </c>
      <c r="AJ152">
        <v>0</v>
      </c>
      <c r="AK152">
        <v>29</v>
      </c>
      <c r="AL152" t="s">
        <v>678</v>
      </c>
      <c r="AM152" t="s">
        <v>679</v>
      </c>
      <c r="AN152" t="s">
        <v>680</v>
      </c>
      <c r="AO152" t="s">
        <v>3244</v>
      </c>
      <c r="AP152" t="s">
        <v>3245</v>
      </c>
      <c r="AQ152" t="s">
        <v>74</v>
      </c>
      <c r="AR152" t="s">
        <v>3246</v>
      </c>
      <c r="AS152" t="s">
        <v>3247</v>
      </c>
      <c r="AT152" t="s">
        <v>2239</v>
      </c>
      <c r="AU152">
        <v>2016</v>
      </c>
      <c r="AV152">
        <v>120</v>
      </c>
      <c r="AW152">
        <v>5</v>
      </c>
      <c r="AX152" t="s">
        <v>74</v>
      </c>
      <c r="AY152" t="s">
        <v>74</v>
      </c>
      <c r="AZ152" t="s">
        <v>74</v>
      </c>
      <c r="BA152" t="s">
        <v>74</v>
      </c>
      <c r="BB152">
        <v>679</v>
      </c>
      <c r="BC152">
        <v>689</v>
      </c>
      <c r="BD152" t="s">
        <v>74</v>
      </c>
      <c r="BE152" t="s">
        <v>3248</v>
      </c>
      <c r="BF152" t="str">
        <f>HYPERLINK("http://dx.doi.org/10.1016/j.funbio.2016.03.002","http://dx.doi.org/10.1016/j.funbio.2016.03.002")</f>
        <v>http://dx.doi.org/10.1016/j.funbio.2016.03.002</v>
      </c>
      <c r="BG152" t="s">
        <v>74</v>
      </c>
      <c r="BH152" t="s">
        <v>74</v>
      </c>
      <c r="BI152">
        <v>11</v>
      </c>
      <c r="BJ152" t="s">
        <v>3249</v>
      </c>
      <c r="BK152" t="s">
        <v>102</v>
      </c>
      <c r="BL152" t="s">
        <v>3249</v>
      </c>
      <c r="BM152" t="s">
        <v>3250</v>
      </c>
      <c r="BN152">
        <v>27109365</v>
      </c>
      <c r="BO152" t="s">
        <v>1143</v>
      </c>
      <c r="BP152" t="s">
        <v>74</v>
      </c>
      <c r="BQ152" t="s">
        <v>74</v>
      </c>
      <c r="BR152" t="s">
        <v>106</v>
      </c>
      <c r="BS152" t="s">
        <v>3251</v>
      </c>
      <c r="BT152" t="str">
        <f>HYPERLINK("https%3A%2F%2Fwww.webofscience.com%2Fwos%2Fwoscc%2Ffull-record%2FWOS:000375812700003","View Full Record in Web of Science")</f>
        <v>View Full Record in Web of Science</v>
      </c>
    </row>
    <row r="153" spans="1:72" x14ac:dyDescent="0.15">
      <c r="A153" t="s">
        <v>72</v>
      </c>
      <c r="B153" t="s">
        <v>3252</v>
      </c>
      <c r="C153" t="s">
        <v>74</v>
      </c>
      <c r="D153" t="s">
        <v>74</v>
      </c>
      <c r="E153" t="s">
        <v>74</v>
      </c>
      <c r="F153" t="s">
        <v>3253</v>
      </c>
      <c r="G153" t="s">
        <v>74</v>
      </c>
      <c r="H153" t="s">
        <v>74</v>
      </c>
      <c r="I153" t="s">
        <v>3254</v>
      </c>
      <c r="J153" t="s">
        <v>3255</v>
      </c>
      <c r="K153" t="s">
        <v>74</v>
      </c>
      <c r="L153" t="s">
        <v>74</v>
      </c>
      <c r="M153" t="s">
        <v>78</v>
      </c>
      <c r="N153" t="s">
        <v>79</v>
      </c>
      <c r="O153" t="s">
        <v>74</v>
      </c>
      <c r="P153" t="s">
        <v>74</v>
      </c>
      <c r="Q153" t="s">
        <v>74</v>
      </c>
      <c r="R153" t="s">
        <v>74</v>
      </c>
      <c r="S153" t="s">
        <v>74</v>
      </c>
      <c r="T153" t="s">
        <v>74</v>
      </c>
      <c r="U153" t="s">
        <v>3256</v>
      </c>
      <c r="V153" t="s">
        <v>3257</v>
      </c>
      <c r="W153" t="s">
        <v>3258</v>
      </c>
      <c r="X153" t="s">
        <v>3259</v>
      </c>
      <c r="Y153" t="s">
        <v>3260</v>
      </c>
      <c r="Z153" t="s">
        <v>3261</v>
      </c>
      <c r="AA153" t="s">
        <v>3262</v>
      </c>
      <c r="AB153" t="s">
        <v>3263</v>
      </c>
      <c r="AC153" t="s">
        <v>3264</v>
      </c>
      <c r="AD153" t="s">
        <v>3265</v>
      </c>
      <c r="AE153" t="s">
        <v>3266</v>
      </c>
      <c r="AF153" t="s">
        <v>74</v>
      </c>
      <c r="AG153">
        <v>72</v>
      </c>
      <c r="AH153">
        <v>14</v>
      </c>
      <c r="AI153">
        <v>16</v>
      </c>
      <c r="AJ153">
        <v>1</v>
      </c>
      <c r="AK153">
        <v>20</v>
      </c>
      <c r="AL153" t="s">
        <v>124</v>
      </c>
      <c r="AM153" t="s">
        <v>125</v>
      </c>
      <c r="AN153" t="s">
        <v>126</v>
      </c>
      <c r="AO153" t="s">
        <v>3267</v>
      </c>
      <c r="AP153" t="s">
        <v>3268</v>
      </c>
      <c r="AQ153" t="s">
        <v>74</v>
      </c>
      <c r="AR153" t="s">
        <v>3269</v>
      </c>
      <c r="AS153" t="s">
        <v>3270</v>
      </c>
      <c r="AT153" t="s">
        <v>2513</v>
      </c>
      <c r="AU153">
        <v>2016</v>
      </c>
      <c r="AV153">
        <v>92</v>
      </c>
      <c r="AW153">
        <v>3</v>
      </c>
      <c r="AX153" t="s">
        <v>74</v>
      </c>
      <c r="AY153" t="s">
        <v>74</v>
      </c>
      <c r="AZ153" t="s">
        <v>74</v>
      </c>
      <c r="BA153" t="s">
        <v>74</v>
      </c>
      <c r="BB153">
        <v>455</v>
      </c>
      <c r="BC153">
        <v>466</v>
      </c>
      <c r="BD153" t="s">
        <v>74</v>
      </c>
      <c r="BE153" t="s">
        <v>3271</v>
      </c>
      <c r="BF153" t="str">
        <f>HYPERLINK("http://dx.doi.org/10.1111/php.12580","http://dx.doi.org/10.1111/php.12580")</f>
        <v>http://dx.doi.org/10.1111/php.12580</v>
      </c>
      <c r="BG153" t="s">
        <v>74</v>
      </c>
      <c r="BH153" t="s">
        <v>74</v>
      </c>
      <c r="BI153">
        <v>12</v>
      </c>
      <c r="BJ153" t="s">
        <v>3272</v>
      </c>
      <c r="BK153" t="s">
        <v>102</v>
      </c>
      <c r="BL153" t="s">
        <v>3272</v>
      </c>
      <c r="BM153" t="s">
        <v>3273</v>
      </c>
      <c r="BN153">
        <v>26896058</v>
      </c>
      <c r="BO153" t="s">
        <v>74</v>
      </c>
      <c r="BP153" t="s">
        <v>74</v>
      </c>
      <c r="BQ153" t="s">
        <v>74</v>
      </c>
      <c r="BR153" t="s">
        <v>106</v>
      </c>
      <c r="BS153" t="s">
        <v>3274</v>
      </c>
      <c r="BT153" t="str">
        <f>HYPERLINK("https%3A%2F%2Fwww.webofscience.com%2Fwos%2Fwoscc%2Ffull-record%2FWOS:000375859200011","View Full Record in Web of Science")</f>
        <v>View Full Record in Web of Science</v>
      </c>
    </row>
    <row r="154" spans="1:72" x14ac:dyDescent="0.15">
      <c r="A154" t="s">
        <v>72</v>
      </c>
      <c r="B154" t="s">
        <v>3275</v>
      </c>
      <c r="C154" t="s">
        <v>74</v>
      </c>
      <c r="D154" t="s">
        <v>74</v>
      </c>
      <c r="E154" t="s">
        <v>74</v>
      </c>
      <c r="F154" t="s">
        <v>3276</v>
      </c>
      <c r="G154" t="s">
        <v>74</v>
      </c>
      <c r="H154" t="s">
        <v>74</v>
      </c>
      <c r="I154" t="s">
        <v>3277</v>
      </c>
      <c r="J154" t="s">
        <v>3278</v>
      </c>
      <c r="K154" t="s">
        <v>74</v>
      </c>
      <c r="L154" t="s">
        <v>74</v>
      </c>
      <c r="M154" t="s">
        <v>78</v>
      </c>
      <c r="N154" t="s">
        <v>79</v>
      </c>
      <c r="O154" t="s">
        <v>74</v>
      </c>
      <c r="P154" t="s">
        <v>74</v>
      </c>
      <c r="Q154" t="s">
        <v>74</v>
      </c>
      <c r="R154" t="s">
        <v>74</v>
      </c>
      <c r="S154" t="s">
        <v>74</v>
      </c>
      <c r="T154" t="s">
        <v>74</v>
      </c>
      <c r="U154" t="s">
        <v>3279</v>
      </c>
      <c r="V154" t="s">
        <v>3280</v>
      </c>
      <c r="W154" t="s">
        <v>3281</v>
      </c>
      <c r="X154" t="s">
        <v>3282</v>
      </c>
      <c r="Y154" t="s">
        <v>3283</v>
      </c>
      <c r="Z154" t="s">
        <v>3284</v>
      </c>
      <c r="AA154" t="s">
        <v>3285</v>
      </c>
      <c r="AB154" t="s">
        <v>3286</v>
      </c>
      <c r="AC154" t="s">
        <v>3287</v>
      </c>
      <c r="AD154" t="s">
        <v>3288</v>
      </c>
      <c r="AE154" t="s">
        <v>3289</v>
      </c>
      <c r="AF154" t="s">
        <v>74</v>
      </c>
      <c r="AG154">
        <v>79</v>
      </c>
      <c r="AH154">
        <v>18</v>
      </c>
      <c r="AI154">
        <v>20</v>
      </c>
      <c r="AJ154">
        <v>0</v>
      </c>
      <c r="AK154">
        <v>14</v>
      </c>
      <c r="AL154" t="s">
        <v>124</v>
      </c>
      <c r="AM154" t="s">
        <v>125</v>
      </c>
      <c r="AN154" t="s">
        <v>126</v>
      </c>
      <c r="AO154" t="s">
        <v>3290</v>
      </c>
      <c r="AP154" t="s">
        <v>3291</v>
      </c>
      <c r="AQ154" t="s">
        <v>74</v>
      </c>
      <c r="AR154" t="s">
        <v>3292</v>
      </c>
      <c r="AS154" t="s">
        <v>3293</v>
      </c>
      <c r="AT154" t="s">
        <v>2239</v>
      </c>
      <c r="AU154">
        <v>2016</v>
      </c>
      <c r="AV154">
        <v>45</v>
      </c>
      <c r="AW154">
        <v>3</v>
      </c>
      <c r="AX154" t="s">
        <v>74</v>
      </c>
      <c r="AY154" t="s">
        <v>74</v>
      </c>
      <c r="AZ154" t="s">
        <v>74</v>
      </c>
      <c r="BA154" t="s">
        <v>74</v>
      </c>
      <c r="BB154">
        <v>300</v>
      </c>
      <c r="BC154">
        <v>321</v>
      </c>
      <c r="BD154" t="s">
        <v>74</v>
      </c>
      <c r="BE154" t="s">
        <v>3294</v>
      </c>
      <c r="BF154" t="str">
        <f>HYPERLINK("http://dx.doi.org/10.1111/zsc.12153","http://dx.doi.org/10.1111/zsc.12153")</f>
        <v>http://dx.doi.org/10.1111/zsc.12153</v>
      </c>
      <c r="BG154" t="s">
        <v>74</v>
      </c>
      <c r="BH154" t="s">
        <v>74</v>
      </c>
      <c r="BI154">
        <v>22</v>
      </c>
      <c r="BJ154" t="s">
        <v>3295</v>
      </c>
      <c r="BK154" t="s">
        <v>102</v>
      </c>
      <c r="BL154" t="s">
        <v>3295</v>
      </c>
      <c r="BM154" t="s">
        <v>3296</v>
      </c>
      <c r="BN154" t="s">
        <v>74</v>
      </c>
      <c r="BO154" t="s">
        <v>74</v>
      </c>
      <c r="BP154" t="s">
        <v>74</v>
      </c>
      <c r="BQ154" t="s">
        <v>74</v>
      </c>
      <c r="BR154" t="s">
        <v>106</v>
      </c>
      <c r="BS154" t="s">
        <v>3297</v>
      </c>
      <c r="BT154" t="str">
        <f>HYPERLINK("https%3A%2F%2Fwww.webofscience.com%2Fwos%2Fwoscc%2Ffull-record%2FWOS:000374705300007","View Full Record in Web of Science")</f>
        <v>View Full Record in Web of Science</v>
      </c>
    </row>
    <row r="155" spans="1:72" x14ac:dyDescent="0.15">
      <c r="A155" t="s">
        <v>72</v>
      </c>
      <c r="B155" t="s">
        <v>3298</v>
      </c>
      <c r="C155" t="s">
        <v>74</v>
      </c>
      <c r="D155" t="s">
        <v>74</v>
      </c>
      <c r="E155" t="s">
        <v>74</v>
      </c>
      <c r="F155" t="s">
        <v>3299</v>
      </c>
      <c r="G155" t="s">
        <v>74</v>
      </c>
      <c r="H155" t="s">
        <v>74</v>
      </c>
      <c r="I155" t="s">
        <v>3300</v>
      </c>
      <c r="J155" t="s">
        <v>3301</v>
      </c>
      <c r="K155" t="s">
        <v>74</v>
      </c>
      <c r="L155" t="s">
        <v>74</v>
      </c>
      <c r="M155" t="s">
        <v>78</v>
      </c>
      <c r="N155" t="s">
        <v>949</v>
      </c>
      <c r="O155" t="s">
        <v>74</v>
      </c>
      <c r="P155" t="s">
        <v>74</v>
      </c>
      <c r="Q155" t="s">
        <v>74</v>
      </c>
      <c r="R155" t="s">
        <v>74</v>
      </c>
      <c r="S155" t="s">
        <v>74</v>
      </c>
      <c r="T155" t="s">
        <v>3302</v>
      </c>
      <c r="U155" t="s">
        <v>3303</v>
      </c>
      <c r="V155" t="s">
        <v>3304</v>
      </c>
      <c r="W155" t="s">
        <v>3305</v>
      </c>
      <c r="X155" t="s">
        <v>3306</v>
      </c>
      <c r="Y155" t="s">
        <v>3307</v>
      </c>
      <c r="Z155" t="s">
        <v>3308</v>
      </c>
      <c r="AA155" t="s">
        <v>3309</v>
      </c>
      <c r="AB155" t="s">
        <v>3310</v>
      </c>
      <c r="AC155" t="s">
        <v>3311</v>
      </c>
      <c r="AD155" t="s">
        <v>3312</v>
      </c>
      <c r="AE155" t="s">
        <v>3313</v>
      </c>
      <c r="AF155" t="s">
        <v>74</v>
      </c>
      <c r="AG155">
        <v>85</v>
      </c>
      <c r="AH155">
        <v>19</v>
      </c>
      <c r="AI155">
        <v>23</v>
      </c>
      <c r="AJ155">
        <v>2</v>
      </c>
      <c r="AK155">
        <v>68</v>
      </c>
      <c r="AL155" t="s">
        <v>194</v>
      </c>
      <c r="AM155" t="s">
        <v>262</v>
      </c>
      <c r="AN155" t="s">
        <v>263</v>
      </c>
      <c r="AO155" t="s">
        <v>3314</v>
      </c>
      <c r="AP155" t="s">
        <v>3315</v>
      </c>
      <c r="AQ155" t="s">
        <v>74</v>
      </c>
      <c r="AR155" t="s">
        <v>3316</v>
      </c>
      <c r="AS155" t="s">
        <v>3317</v>
      </c>
      <c r="AT155" t="s">
        <v>2239</v>
      </c>
      <c r="AU155">
        <v>2016</v>
      </c>
      <c r="AV155">
        <v>100</v>
      </c>
      <c r="AW155">
        <v>10</v>
      </c>
      <c r="AX155" t="s">
        <v>74</v>
      </c>
      <c r="AY155" t="s">
        <v>74</v>
      </c>
      <c r="AZ155" t="s">
        <v>74</v>
      </c>
      <c r="BA155" t="s">
        <v>74</v>
      </c>
      <c r="BB155">
        <v>4347</v>
      </c>
      <c r="BC155">
        <v>4355</v>
      </c>
      <c r="BD155" t="s">
        <v>74</v>
      </c>
      <c r="BE155" t="s">
        <v>3318</v>
      </c>
      <c r="BF155" t="str">
        <f>HYPERLINK("http://dx.doi.org/10.1007/s00253-016-7514-8","http://dx.doi.org/10.1007/s00253-016-7514-8")</f>
        <v>http://dx.doi.org/10.1007/s00253-016-7514-8</v>
      </c>
      <c r="BG155" t="s">
        <v>74</v>
      </c>
      <c r="BH155" t="s">
        <v>74</v>
      </c>
      <c r="BI155">
        <v>9</v>
      </c>
      <c r="BJ155" t="s">
        <v>1484</v>
      </c>
      <c r="BK155" t="s">
        <v>102</v>
      </c>
      <c r="BL155" t="s">
        <v>1484</v>
      </c>
      <c r="BM155" t="s">
        <v>3319</v>
      </c>
      <c r="BN155">
        <v>27079572</v>
      </c>
      <c r="BO155" t="s">
        <v>74</v>
      </c>
      <c r="BP155" t="s">
        <v>74</v>
      </c>
      <c r="BQ155" t="s">
        <v>74</v>
      </c>
      <c r="BR155" t="s">
        <v>106</v>
      </c>
      <c r="BS155" t="s">
        <v>3320</v>
      </c>
      <c r="BT155" t="str">
        <f>HYPERLINK("https%3A%2F%2Fwww.webofscience.com%2Fwos%2Fwoscc%2Ffull-record%2FWOS:000375057700008","View Full Record in Web of Science")</f>
        <v>View Full Record in Web of Science</v>
      </c>
    </row>
    <row r="156" spans="1:72" x14ac:dyDescent="0.15">
      <c r="A156" t="s">
        <v>72</v>
      </c>
      <c r="B156" t="s">
        <v>3321</v>
      </c>
      <c r="C156" t="s">
        <v>74</v>
      </c>
      <c r="D156" t="s">
        <v>74</v>
      </c>
      <c r="E156" t="s">
        <v>74</v>
      </c>
      <c r="F156" t="s">
        <v>3322</v>
      </c>
      <c r="G156" t="s">
        <v>74</v>
      </c>
      <c r="H156" t="s">
        <v>74</v>
      </c>
      <c r="I156" t="s">
        <v>3323</v>
      </c>
      <c r="J156" t="s">
        <v>3324</v>
      </c>
      <c r="K156" t="s">
        <v>74</v>
      </c>
      <c r="L156" t="s">
        <v>74</v>
      </c>
      <c r="M156" t="s">
        <v>78</v>
      </c>
      <c r="N156" t="s">
        <v>79</v>
      </c>
      <c r="O156" t="s">
        <v>74</v>
      </c>
      <c r="P156" t="s">
        <v>74</v>
      </c>
      <c r="Q156" t="s">
        <v>74</v>
      </c>
      <c r="R156" t="s">
        <v>74</v>
      </c>
      <c r="S156" t="s">
        <v>74</v>
      </c>
      <c r="T156" t="s">
        <v>74</v>
      </c>
      <c r="U156" t="s">
        <v>3325</v>
      </c>
      <c r="V156" t="s">
        <v>3326</v>
      </c>
      <c r="W156" t="s">
        <v>3327</v>
      </c>
      <c r="X156" t="s">
        <v>3328</v>
      </c>
      <c r="Y156" t="s">
        <v>3329</v>
      </c>
      <c r="Z156" t="s">
        <v>3330</v>
      </c>
      <c r="AA156" t="s">
        <v>3331</v>
      </c>
      <c r="AB156" t="s">
        <v>3332</v>
      </c>
      <c r="AC156" t="s">
        <v>3333</v>
      </c>
      <c r="AD156" t="s">
        <v>3334</v>
      </c>
      <c r="AE156" t="s">
        <v>3335</v>
      </c>
      <c r="AF156" t="s">
        <v>74</v>
      </c>
      <c r="AG156">
        <v>96</v>
      </c>
      <c r="AH156">
        <v>38</v>
      </c>
      <c r="AI156">
        <v>40</v>
      </c>
      <c r="AJ156">
        <v>1</v>
      </c>
      <c r="AK156">
        <v>56</v>
      </c>
      <c r="AL156" t="s">
        <v>3336</v>
      </c>
      <c r="AM156" t="s">
        <v>3337</v>
      </c>
      <c r="AN156" t="s">
        <v>3338</v>
      </c>
      <c r="AO156" t="s">
        <v>3339</v>
      </c>
      <c r="AP156" t="s">
        <v>3340</v>
      </c>
      <c r="AQ156" t="s">
        <v>74</v>
      </c>
      <c r="AR156" t="s">
        <v>3341</v>
      </c>
      <c r="AS156" t="s">
        <v>3342</v>
      </c>
      <c r="AT156" t="s">
        <v>2239</v>
      </c>
      <c r="AU156">
        <v>2016</v>
      </c>
      <c r="AV156">
        <v>111</v>
      </c>
      <c r="AW156">
        <v>3</v>
      </c>
      <c r="AX156" t="s">
        <v>74</v>
      </c>
      <c r="AY156" t="s">
        <v>74</v>
      </c>
      <c r="AZ156" t="s">
        <v>74</v>
      </c>
      <c r="BA156" t="s">
        <v>74</v>
      </c>
      <c r="BB156">
        <v>641</v>
      </c>
      <c r="BC156">
        <v>665</v>
      </c>
      <c r="BD156" t="s">
        <v>74</v>
      </c>
      <c r="BE156" t="s">
        <v>3343</v>
      </c>
      <c r="BF156" t="str">
        <f>HYPERLINK("http://dx.doi.org/10.2113/econgeo.111.3.641","http://dx.doi.org/10.2113/econgeo.111.3.641")</f>
        <v>http://dx.doi.org/10.2113/econgeo.111.3.641</v>
      </c>
      <c r="BG156" t="s">
        <v>74</v>
      </c>
      <c r="BH156" t="s">
        <v>74</v>
      </c>
      <c r="BI156">
        <v>25</v>
      </c>
      <c r="BJ156" t="s">
        <v>3344</v>
      </c>
      <c r="BK156" t="s">
        <v>102</v>
      </c>
      <c r="BL156" t="s">
        <v>3344</v>
      </c>
      <c r="BM156" t="s">
        <v>3345</v>
      </c>
      <c r="BN156" t="s">
        <v>74</v>
      </c>
      <c r="BO156" t="s">
        <v>3346</v>
      </c>
      <c r="BP156" t="s">
        <v>74</v>
      </c>
      <c r="BQ156" t="s">
        <v>74</v>
      </c>
      <c r="BR156" t="s">
        <v>106</v>
      </c>
      <c r="BS156" t="s">
        <v>3347</v>
      </c>
      <c r="BT156" t="str">
        <f>HYPERLINK("https%3A%2F%2Fwww.webofscience.com%2Fwos%2Fwoscc%2Ffull-record%2FWOS:000375352200004","View Full Record in Web of Science")</f>
        <v>View Full Record in Web of Science</v>
      </c>
    </row>
    <row r="157" spans="1:72" x14ac:dyDescent="0.15">
      <c r="A157" t="s">
        <v>72</v>
      </c>
      <c r="B157" t="s">
        <v>3348</v>
      </c>
      <c r="C157" t="s">
        <v>74</v>
      </c>
      <c r="D157" t="s">
        <v>74</v>
      </c>
      <c r="E157" t="s">
        <v>74</v>
      </c>
      <c r="F157" t="s">
        <v>3349</v>
      </c>
      <c r="G157" t="s">
        <v>74</v>
      </c>
      <c r="H157" t="s">
        <v>74</v>
      </c>
      <c r="I157" t="s">
        <v>3350</v>
      </c>
      <c r="J157" t="s">
        <v>3351</v>
      </c>
      <c r="K157" t="s">
        <v>74</v>
      </c>
      <c r="L157" t="s">
        <v>74</v>
      </c>
      <c r="M157" t="s">
        <v>78</v>
      </c>
      <c r="N157" t="s">
        <v>79</v>
      </c>
      <c r="O157" t="s">
        <v>74</v>
      </c>
      <c r="P157" t="s">
        <v>74</v>
      </c>
      <c r="Q157" t="s">
        <v>74</v>
      </c>
      <c r="R157" t="s">
        <v>74</v>
      </c>
      <c r="S157" t="s">
        <v>74</v>
      </c>
      <c r="T157" t="s">
        <v>3352</v>
      </c>
      <c r="U157" t="s">
        <v>3353</v>
      </c>
      <c r="V157" t="s">
        <v>3354</v>
      </c>
      <c r="W157" t="s">
        <v>3355</v>
      </c>
      <c r="X157" t="s">
        <v>3356</v>
      </c>
      <c r="Y157" t="s">
        <v>3357</v>
      </c>
      <c r="Z157" t="s">
        <v>3358</v>
      </c>
      <c r="AA157" t="s">
        <v>3359</v>
      </c>
      <c r="AB157" t="s">
        <v>3360</v>
      </c>
      <c r="AC157" t="s">
        <v>3361</v>
      </c>
      <c r="AD157" t="s">
        <v>3362</v>
      </c>
      <c r="AE157" t="s">
        <v>3363</v>
      </c>
      <c r="AF157" t="s">
        <v>74</v>
      </c>
      <c r="AG157">
        <v>57</v>
      </c>
      <c r="AH157">
        <v>42</v>
      </c>
      <c r="AI157">
        <v>48</v>
      </c>
      <c r="AJ157">
        <v>1</v>
      </c>
      <c r="AK157">
        <v>26</v>
      </c>
      <c r="AL157" t="s">
        <v>1657</v>
      </c>
      <c r="AM157" t="s">
        <v>679</v>
      </c>
      <c r="AN157" t="s">
        <v>1658</v>
      </c>
      <c r="AO157" t="s">
        <v>3364</v>
      </c>
      <c r="AP157" t="s">
        <v>3365</v>
      </c>
      <c r="AQ157" t="s">
        <v>74</v>
      </c>
      <c r="AR157" t="s">
        <v>3366</v>
      </c>
      <c r="AS157" t="s">
        <v>3367</v>
      </c>
      <c r="AT157" t="s">
        <v>3019</v>
      </c>
      <c r="AU157">
        <v>2016</v>
      </c>
      <c r="AV157">
        <v>205</v>
      </c>
      <c r="AW157">
        <v>2</v>
      </c>
      <c r="AX157" t="s">
        <v>74</v>
      </c>
      <c r="AY157" t="s">
        <v>74</v>
      </c>
      <c r="AZ157" t="s">
        <v>74</v>
      </c>
      <c r="BA157" t="s">
        <v>74</v>
      </c>
      <c r="BB157">
        <v>785</v>
      </c>
      <c r="BC157">
        <v>795</v>
      </c>
      <c r="BD157" t="s">
        <v>74</v>
      </c>
      <c r="BE157" t="s">
        <v>3368</v>
      </c>
      <c r="BF157" t="str">
        <f>HYPERLINK("http://dx.doi.org/10.1093/gji/ggw036","http://dx.doi.org/10.1093/gji/ggw036")</f>
        <v>http://dx.doi.org/10.1093/gji/ggw036</v>
      </c>
      <c r="BG157" t="s">
        <v>74</v>
      </c>
      <c r="BH157" t="s">
        <v>74</v>
      </c>
      <c r="BI157">
        <v>11</v>
      </c>
      <c r="BJ157" t="s">
        <v>727</v>
      </c>
      <c r="BK157" t="s">
        <v>102</v>
      </c>
      <c r="BL157" t="s">
        <v>727</v>
      </c>
      <c r="BM157" t="s">
        <v>3369</v>
      </c>
      <c r="BN157" t="s">
        <v>74</v>
      </c>
      <c r="BO157" t="s">
        <v>3370</v>
      </c>
      <c r="BP157" t="s">
        <v>74</v>
      </c>
      <c r="BQ157" t="s">
        <v>74</v>
      </c>
      <c r="BR157" t="s">
        <v>106</v>
      </c>
      <c r="BS157" t="s">
        <v>3371</v>
      </c>
      <c r="BT157" t="str">
        <f>HYPERLINK("https%3A%2F%2Fwww.webofscience.com%2Fwos%2Fwoscc%2Ffull-record%2FWOS:000375092400008","View Full Record in Web of Science")</f>
        <v>View Full Record in Web of Science</v>
      </c>
    </row>
    <row r="158" spans="1:72" x14ac:dyDescent="0.15">
      <c r="A158" t="s">
        <v>72</v>
      </c>
      <c r="B158" t="s">
        <v>3372</v>
      </c>
      <c r="C158" t="s">
        <v>74</v>
      </c>
      <c r="D158" t="s">
        <v>74</v>
      </c>
      <c r="E158" t="s">
        <v>74</v>
      </c>
      <c r="F158" t="s">
        <v>3373</v>
      </c>
      <c r="G158" t="s">
        <v>74</v>
      </c>
      <c r="H158" t="s">
        <v>74</v>
      </c>
      <c r="I158" t="s">
        <v>3374</v>
      </c>
      <c r="J158" t="s">
        <v>3351</v>
      </c>
      <c r="K158" t="s">
        <v>74</v>
      </c>
      <c r="L158" t="s">
        <v>74</v>
      </c>
      <c r="M158" t="s">
        <v>78</v>
      </c>
      <c r="N158" t="s">
        <v>79</v>
      </c>
      <c r="O158" t="s">
        <v>74</v>
      </c>
      <c r="P158" t="s">
        <v>74</v>
      </c>
      <c r="Q158" t="s">
        <v>74</v>
      </c>
      <c r="R158" t="s">
        <v>74</v>
      </c>
      <c r="S158" t="s">
        <v>74</v>
      </c>
      <c r="T158" t="s">
        <v>3375</v>
      </c>
      <c r="U158" t="s">
        <v>3376</v>
      </c>
      <c r="V158" t="s">
        <v>3377</v>
      </c>
      <c r="W158" t="s">
        <v>3378</v>
      </c>
      <c r="X158" t="s">
        <v>3379</v>
      </c>
      <c r="Y158" t="s">
        <v>3380</v>
      </c>
      <c r="Z158" t="s">
        <v>1107</v>
      </c>
      <c r="AA158" t="s">
        <v>3381</v>
      </c>
      <c r="AB158" t="s">
        <v>3382</v>
      </c>
      <c r="AC158" t="s">
        <v>3383</v>
      </c>
      <c r="AD158" t="s">
        <v>3383</v>
      </c>
      <c r="AE158" t="s">
        <v>3384</v>
      </c>
      <c r="AF158" t="s">
        <v>74</v>
      </c>
      <c r="AG158">
        <v>42</v>
      </c>
      <c r="AH158">
        <v>2</v>
      </c>
      <c r="AI158">
        <v>2</v>
      </c>
      <c r="AJ158">
        <v>1</v>
      </c>
      <c r="AK158">
        <v>16</v>
      </c>
      <c r="AL158" t="s">
        <v>1657</v>
      </c>
      <c r="AM158" t="s">
        <v>679</v>
      </c>
      <c r="AN158" t="s">
        <v>1658</v>
      </c>
      <c r="AO158" t="s">
        <v>3364</v>
      </c>
      <c r="AP158" t="s">
        <v>3365</v>
      </c>
      <c r="AQ158" t="s">
        <v>74</v>
      </c>
      <c r="AR158" t="s">
        <v>3366</v>
      </c>
      <c r="AS158" t="s">
        <v>3367</v>
      </c>
      <c r="AT158" t="s">
        <v>3019</v>
      </c>
      <c r="AU158">
        <v>2016</v>
      </c>
      <c r="AV158">
        <v>205</v>
      </c>
      <c r="AW158">
        <v>2</v>
      </c>
      <c r="AX158" t="s">
        <v>74</v>
      </c>
      <c r="AY158" t="s">
        <v>74</v>
      </c>
      <c r="AZ158" t="s">
        <v>74</v>
      </c>
      <c r="BA158" t="s">
        <v>74</v>
      </c>
      <c r="BB158">
        <v>1290</v>
      </c>
      <c r="BC158">
        <v>1304</v>
      </c>
      <c r="BD158" t="s">
        <v>74</v>
      </c>
      <c r="BE158" t="s">
        <v>3385</v>
      </c>
      <c r="BF158" t="str">
        <f>HYPERLINK("http://dx.doi.org/10.1093/gji/ggw078","http://dx.doi.org/10.1093/gji/ggw078")</f>
        <v>http://dx.doi.org/10.1093/gji/ggw078</v>
      </c>
      <c r="BG158" t="s">
        <v>74</v>
      </c>
      <c r="BH158" t="s">
        <v>74</v>
      </c>
      <c r="BI158">
        <v>15</v>
      </c>
      <c r="BJ158" t="s">
        <v>727</v>
      </c>
      <c r="BK158" t="s">
        <v>102</v>
      </c>
      <c r="BL158" t="s">
        <v>727</v>
      </c>
      <c r="BM158" t="s">
        <v>3369</v>
      </c>
      <c r="BN158" t="s">
        <v>74</v>
      </c>
      <c r="BO158" t="s">
        <v>3386</v>
      </c>
      <c r="BP158" t="s">
        <v>74</v>
      </c>
      <c r="BQ158" t="s">
        <v>74</v>
      </c>
      <c r="BR158" t="s">
        <v>106</v>
      </c>
      <c r="BS158" t="s">
        <v>3387</v>
      </c>
      <c r="BT158" t="str">
        <f>HYPERLINK("https%3A%2F%2Fwww.webofscience.com%2Fwos%2Fwoscc%2Ffull-record%2FWOS:000375092400043","View Full Record in Web of Science")</f>
        <v>View Full Record in Web of Science</v>
      </c>
    </row>
    <row r="159" spans="1:72" x14ac:dyDescent="0.15">
      <c r="A159" t="s">
        <v>72</v>
      </c>
      <c r="B159" t="s">
        <v>3388</v>
      </c>
      <c r="C159" t="s">
        <v>74</v>
      </c>
      <c r="D159" t="s">
        <v>74</v>
      </c>
      <c r="E159" t="s">
        <v>74</v>
      </c>
      <c r="F159" t="s">
        <v>3389</v>
      </c>
      <c r="G159" t="s">
        <v>74</v>
      </c>
      <c r="H159" t="s">
        <v>74</v>
      </c>
      <c r="I159" t="s">
        <v>3390</v>
      </c>
      <c r="J159" t="s">
        <v>3391</v>
      </c>
      <c r="K159" t="s">
        <v>74</v>
      </c>
      <c r="L159" t="s">
        <v>74</v>
      </c>
      <c r="M159" t="s">
        <v>78</v>
      </c>
      <c r="N159" t="s">
        <v>79</v>
      </c>
      <c r="O159" t="s">
        <v>74</v>
      </c>
      <c r="P159" t="s">
        <v>74</v>
      </c>
      <c r="Q159" t="s">
        <v>74</v>
      </c>
      <c r="R159" t="s">
        <v>74</v>
      </c>
      <c r="S159" t="s">
        <v>74</v>
      </c>
      <c r="T159" t="s">
        <v>74</v>
      </c>
      <c r="U159" t="s">
        <v>3392</v>
      </c>
      <c r="V159" t="s">
        <v>3393</v>
      </c>
      <c r="W159" t="s">
        <v>3394</v>
      </c>
      <c r="X159" t="s">
        <v>3395</v>
      </c>
      <c r="Y159" t="s">
        <v>3396</v>
      </c>
      <c r="Z159" t="s">
        <v>3397</v>
      </c>
      <c r="AA159" t="s">
        <v>3398</v>
      </c>
      <c r="AB159" t="s">
        <v>3399</v>
      </c>
      <c r="AC159" t="s">
        <v>3400</v>
      </c>
      <c r="AD159" t="s">
        <v>3401</v>
      </c>
      <c r="AE159" t="s">
        <v>3402</v>
      </c>
      <c r="AF159" t="s">
        <v>74</v>
      </c>
      <c r="AG159">
        <v>72</v>
      </c>
      <c r="AH159">
        <v>33</v>
      </c>
      <c r="AI159">
        <v>35</v>
      </c>
      <c r="AJ159">
        <v>0</v>
      </c>
      <c r="AK159">
        <v>18</v>
      </c>
      <c r="AL159" t="s">
        <v>511</v>
      </c>
      <c r="AM159" t="s">
        <v>512</v>
      </c>
      <c r="AN159" t="s">
        <v>513</v>
      </c>
      <c r="AO159" t="s">
        <v>3403</v>
      </c>
      <c r="AP159" t="s">
        <v>3404</v>
      </c>
      <c r="AQ159" t="s">
        <v>74</v>
      </c>
      <c r="AR159" t="s">
        <v>3405</v>
      </c>
      <c r="AS159" t="s">
        <v>3406</v>
      </c>
      <c r="AT159" t="s">
        <v>2239</v>
      </c>
      <c r="AU159">
        <v>2016</v>
      </c>
      <c r="AV159">
        <v>29</v>
      </c>
      <c r="AW159">
        <v>9</v>
      </c>
      <c r="AX159" t="s">
        <v>74</v>
      </c>
      <c r="AY159" t="s">
        <v>74</v>
      </c>
      <c r="AZ159" t="s">
        <v>74</v>
      </c>
      <c r="BA159" t="s">
        <v>74</v>
      </c>
      <c r="BB159">
        <v>3199</v>
      </c>
      <c r="BC159">
        <v>3218</v>
      </c>
      <c r="BD159" t="s">
        <v>74</v>
      </c>
      <c r="BE159" t="s">
        <v>3407</v>
      </c>
      <c r="BF159" t="str">
        <f>HYPERLINK("http://dx.doi.org/10.1175/JCLI-D-15-0572.1","http://dx.doi.org/10.1175/JCLI-D-15-0572.1")</f>
        <v>http://dx.doi.org/10.1175/JCLI-D-15-0572.1</v>
      </c>
      <c r="BG159" t="s">
        <v>74</v>
      </c>
      <c r="BH159" t="s">
        <v>74</v>
      </c>
      <c r="BI159">
        <v>20</v>
      </c>
      <c r="BJ159" t="s">
        <v>1726</v>
      </c>
      <c r="BK159" t="s">
        <v>102</v>
      </c>
      <c r="BL159" t="s">
        <v>1726</v>
      </c>
      <c r="BM159" t="s">
        <v>3408</v>
      </c>
      <c r="BN159">
        <v>32742076</v>
      </c>
      <c r="BO159" t="s">
        <v>3409</v>
      </c>
      <c r="BP159" t="s">
        <v>74</v>
      </c>
      <c r="BQ159" t="s">
        <v>74</v>
      </c>
      <c r="BR159" t="s">
        <v>106</v>
      </c>
      <c r="BS159" t="s">
        <v>3410</v>
      </c>
      <c r="BT159" t="str">
        <f>HYPERLINK("https%3A%2F%2Fwww.webofscience.com%2Fwos%2Fwoscc%2Ffull-record%2FWOS:000375147800006","View Full Record in Web of Science")</f>
        <v>View Full Record in Web of Science</v>
      </c>
    </row>
    <row r="160" spans="1:72" x14ac:dyDescent="0.15">
      <c r="A160" t="s">
        <v>72</v>
      </c>
      <c r="B160" t="s">
        <v>3411</v>
      </c>
      <c r="C160" t="s">
        <v>74</v>
      </c>
      <c r="D160" t="s">
        <v>74</v>
      </c>
      <c r="E160" t="s">
        <v>74</v>
      </c>
      <c r="F160" t="s">
        <v>3412</v>
      </c>
      <c r="G160" t="s">
        <v>74</v>
      </c>
      <c r="H160" t="s">
        <v>74</v>
      </c>
      <c r="I160" t="s">
        <v>3413</v>
      </c>
      <c r="J160" t="s">
        <v>2222</v>
      </c>
      <c r="K160" t="s">
        <v>74</v>
      </c>
      <c r="L160" t="s">
        <v>74</v>
      </c>
      <c r="M160" t="s">
        <v>78</v>
      </c>
      <c r="N160" t="s">
        <v>79</v>
      </c>
      <c r="O160" t="s">
        <v>74</v>
      </c>
      <c r="P160" t="s">
        <v>74</v>
      </c>
      <c r="Q160" t="s">
        <v>74</v>
      </c>
      <c r="R160" t="s">
        <v>74</v>
      </c>
      <c r="S160" t="s">
        <v>74</v>
      </c>
      <c r="T160" t="s">
        <v>74</v>
      </c>
      <c r="U160" t="s">
        <v>3414</v>
      </c>
      <c r="V160" t="s">
        <v>3415</v>
      </c>
      <c r="W160" t="s">
        <v>3416</v>
      </c>
      <c r="X160" t="s">
        <v>3417</v>
      </c>
      <c r="Y160" t="s">
        <v>3418</v>
      </c>
      <c r="Z160" t="s">
        <v>3419</v>
      </c>
      <c r="AA160" t="s">
        <v>3420</v>
      </c>
      <c r="AB160" t="s">
        <v>3421</v>
      </c>
      <c r="AC160" t="s">
        <v>3422</v>
      </c>
      <c r="AD160" t="s">
        <v>3423</v>
      </c>
      <c r="AE160" t="s">
        <v>3424</v>
      </c>
      <c r="AF160" t="s">
        <v>74</v>
      </c>
      <c r="AG160">
        <v>128</v>
      </c>
      <c r="AH160">
        <v>21</v>
      </c>
      <c r="AI160">
        <v>22</v>
      </c>
      <c r="AJ160">
        <v>1</v>
      </c>
      <c r="AK160">
        <v>31</v>
      </c>
      <c r="AL160" t="s">
        <v>2232</v>
      </c>
      <c r="AM160" t="s">
        <v>2233</v>
      </c>
      <c r="AN160" t="s">
        <v>2234</v>
      </c>
      <c r="AO160" t="s">
        <v>2235</v>
      </c>
      <c r="AP160" t="s">
        <v>2236</v>
      </c>
      <c r="AQ160" t="s">
        <v>74</v>
      </c>
      <c r="AR160" t="s">
        <v>2237</v>
      </c>
      <c r="AS160" t="s">
        <v>2238</v>
      </c>
      <c r="AT160" t="s">
        <v>2239</v>
      </c>
      <c r="AU160">
        <v>2016</v>
      </c>
      <c r="AV160">
        <v>128</v>
      </c>
      <c r="AW160" t="s">
        <v>2240</v>
      </c>
      <c r="AX160" t="s">
        <v>74</v>
      </c>
      <c r="AY160" t="s">
        <v>74</v>
      </c>
      <c r="AZ160" t="s">
        <v>74</v>
      </c>
      <c r="BA160" t="s">
        <v>74</v>
      </c>
      <c r="BB160">
        <v>1000</v>
      </c>
      <c r="BC160">
        <v>1023</v>
      </c>
      <c r="BD160" t="s">
        <v>74</v>
      </c>
      <c r="BE160" t="s">
        <v>3425</v>
      </c>
      <c r="BF160" t="str">
        <f>HYPERLINK("http://dx.doi.org/10.1130/B31321.1","http://dx.doi.org/10.1130/B31321.1")</f>
        <v>http://dx.doi.org/10.1130/B31321.1</v>
      </c>
      <c r="BG160" t="s">
        <v>74</v>
      </c>
      <c r="BH160" t="s">
        <v>74</v>
      </c>
      <c r="BI160">
        <v>24</v>
      </c>
      <c r="BJ160" t="s">
        <v>269</v>
      </c>
      <c r="BK160" t="s">
        <v>102</v>
      </c>
      <c r="BL160" t="s">
        <v>270</v>
      </c>
      <c r="BM160" t="s">
        <v>2242</v>
      </c>
      <c r="BN160" t="s">
        <v>74</v>
      </c>
      <c r="BO160" t="s">
        <v>74</v>
      </c>
      <c r="BP160" t="s">
        <v>74</v>
      </c>
      <c r="BQ160" t="s">
        <v>74</v>
      </c>
      <c r="BR160" t="s">
        <v>106</v>
      </c>
      <c r="BS160" t="s">
        <v>3426</v>
      </c>
      <c r="BT160" t="str">
        <f>HYPERLINK("https%3A%2F%2Fwww.webofscience.com%2Fwos%2Fwoscc%2Ffull-record%2FWOS:000375212200020","View Full Record in Web of Science")</f>
        <v>View Full Record in Web of Science</v>
      </c>
    </row>
    <row r="161" spans="1:72" x14ac:dyDescent="0.15">
      <c r="A161" t="s">
        <v>72</v>
      </c>
      <c r="B161" t="s">
        <v>3427</v>
      </c>
      <c r="C161" t="s">
        <v>74</v>
      </c>
      <c r="D161" t="s">
        <v>74</v>
      </c>
      <c r="E161" t="s">
        <v>74</v>
      </c>
      <c r="F161" t="s">
        <v>3428</v>
      </c>
      <c r="G161" t="s">
        <v>74</v>
      </c>
      <c r="H161" t="s">
        <v>74</v>
      </c>
      <c r="I161" t="s">
        <v>3429</v>
      </c>
      <c r="J161" t="s">
        <v>3430</v>
      </c>
      <c r="K161" t="s">
        <v>74</v>
      </c>
      <c r="L161" t="s">
        <v>74</v>
      </c>
      <c r="M161" t="s">
        <v>78</v>
      </c>
      <c r="N161" t="s">
        <v>79</v>
      </c>
      <c r="O161" t="s">
        <v>74</v>
      </c>
      <c r="P161" t="s">
        <v>74</v>
      </c>
      <c r="Q161" t="s">
        <v>74</v>
      </c>
      <c r="R161" t="s">
        <v>74</v>
      </c>
      <c r="S161" t="s">
        <v>74</v>
      </c>
      <c r="T161" t="s">
        <v>3431</v>
      </c>
      <c r="U161" t="s">
        <v>3432</v>
      </c>
      <c r="V161" t="s">
        <v>3433</v>
      </c>
      <c r="W161" t="s">
        <v>3434</v>
      </c>
      <c r="X161" t="s">
        <v>3435</v>
      </c>
      <c r="Y161" t="s">
        <v>3436</v>
      </c>
      <c r="Z161" t="s">
        <v>3437</v>
      </c>
      <c r="AA161" t="s">
        <v>74</v>
      </c>
      <c r="AB161" t="s">
        <v>74</v>
      </c>
      <c r="AC161" t="s">
        <v>3438</v>
      </c>
      <c r="AD161" t="s">
        <v>3439</v>
      </c>
      <c r="AE161" t="s">
        <v>3440</v>
      </c>
      <c r="AF161" t="s">
        <v>74</v>
      </c>
      <c r="AG161">
        <v>48</v>
      </c>
      <c r="AH161">
        <v>23</v>
      </c>
      <c r="AI161">
        <v>27</v>
      </c>
      <c r="AJ161">
        <v>1</v>
      </c>
      <c r="AK161">
        <v>14</v>
      </c>
      <c r="AL161" t="s">
        <v>194</v>
      </c>
      <c r="AM161" t="s">
        <v>262</v>
      </c>
      <c r="AN161" t="s">
        <v>263</v>
      </c>
      <c r="AO161" t="s">
        <v>3441</v>
      </c>
      <c r="AP161" t="s">
        <v>3442</v>
      </c>
      <c r="AQ161" t="s">
        <v>74</v>
      </c>
      <c r="AR161" t="s">
        <v>3443</v>
      </c>
      <c r="AS161" t="s">
        <v>3444</v>
      </c>
      <c r="AT161" t="s">
        <v>2239</v>
      </c>
      <c r="AU161">
        <v>2016</v>
      </c>
      <c r="AV161">
        <v>60</v>
      </c>
      <c r="AW161">
        <v>5</v>
      </c>
      <c r="AX161" t="s">
        <v>74</v>
      </c>
      <c r="AY161" t="s">
        <v>74</v>
      </c>
      <c r="AZ161" t="s">
        <v>74</v>
      </c>
      <c r="BA161" t="s">
        <v>74</v>
      </c>
      <c r="BB161">
        <v>737</v>
      </c>
      <c r="BC161">
        <v>747</v>
      </c>
      <c r="BD161" t="s">
        <v>74</v>
      </c>
      <c r="BE161" t="s">
        <v>3445</v>
      </c>
      <c r="BF161" t="str">
        <f>HYPERLINK("http://dx.doi.org/10.1007/s00484-015-1069-8","http://dx.doi.org/10.1007/s00484-015-1069-8")</f>
        <v>http://dx.doi.org/10.1007/s00484-015-1069-8</v>
      </c>
      <c r="BG161" t="s">
        <v>74</v>
      </c>
      <c r="BH161" t="s">
        <v>74</v>
      </c>
      <c r="BI161">
        <v>11</v>
      </c>
      <c r="BJ161" t="s">
        <v>3446</v>
      </c>
      <c r="BK161" t="s">
        <v>942</v>
      </c>
      <c r="BL161" t="s">
        <v>3447</v>
      </c>
      <c r="BM161" t="s">
        <v>3448</v>
      </c>
      <c r="BN161">
        <v>26842369</v>
      </c>
      <c r="BO161" t="s">
        <v>74</v>
      </c>
      <c r="BP161" t="s">
        <v>74</v>
      </c>
      <c r="BQ161" t="s">
        <v>74</v>
      </c>
      <c r="BR161" t="s">
        <v>106</v>
      </c>
      <c r="BS161" t="s">
        <v>3449</v>
      </c>
      <c r="BT161" t="str">
        <f>HYPERLINK("https%3A%2F%2Fwww.webofscience.com%2Fwos%2Fwoscc%2Ffull-record%2FWOS:000374305900011","View Full Record in Web of Science")</f>
        <v>View Full Record in Web of Science</v>
      </c>
    </row>
    <row r="162" spans="1:72" x14ac:dyDescent="0.15">
      <c r="A162" t="s">
        <v>72</v>
      </c>
      <c r="B162" t="s">
        <v>3450</v>
      </c>
      <c r="C162" t="s">
        <v>74</v>
      </c>
      <c r="D162" t="s">
        <v>74</v>
      </c>
      <c r="E162" t="s">
        <v>74</v>
      </c>
      <c r="F162" t="s">
        <v>3451</v>
      </c>
      <c r="G162" t="s">
        <v>74</v>
      </c>
      <c r="H162" t="s">
        <v>74</v>
      </c>
      <c r="I162" t="s">
        <v>3452</v>
      </c>
      <c r="J162" t="s">
        <v>3453</v>
      </c>
      <c r="K162" t="s">
        <v>74</v>
      </c>
      <c r="L162" t="s">
        <v>74</v>
      </c>
      <c r="M162" t="s">
        <v>78</v>
      </c>
      <c r="N162" t="s">
        <v>79</v>
      </c>
      <c r="O162" t="s">
        <v>74</v>
      </c>
      <c r="P162" t="s">
        <v>74</v>
      </c>
      <c r="Q162" t="s">
        <v>74</v>
      </c>
      <c r="R162" t="s">
        <v>74</v>
      </c>
      <c r="S162" t="s">
        <v>74</v>
      </c>
      <c r="T162" t="s">
        <v>3454</v>
      </c>
      <c r="U162" t="s">
        <v>3455</v>
      </c>
      <c r="V162" t="s">
        <v>3456</v>
      </c>
      <c r="W162" t="s">
        <v>3457</v>
      </c>
      <c r="X162" t="s">
        <v>3458</v>
      </c>
      <c r="Y162" t="s">
        <v>3459</v>
      </c>
      <c r="Z162" t="s">
        <v>3460</v>
      </c>
      <c r="AA162" t="s">
        <v>3461</v>
      </c>
      <c r="AB162" t="s">
        <v>3462</v>
      </c>
      <c r="AC162" t="s">
        <v>3463</v>
      </c>
      <c r="AD162" t="s">
        <v>3464</v>
      </c>
      <c r="AE162" t="s">
        <v>3465</v>
      </c>
      <c r="AF162" t="s">
        <v>74</v>
      </c>
      <c r="AG162">
        <v>73</v>
      </c>
      <c r="AH162">
        <v>21</v>
      </c>
      <c r="AI162">
        <v>21</v>
      </c>
      <c r="AJ162">
        <v>1</v>
      </c>
      <c r="AK162">
        <v>25</v>
      </c>
      <c r="AL162" t="s">
        <v>194</v>
      </c>
      <c r="AM162" t="s">
        <v>262</v>
      </c>
      <c r="AN162" t="s">
        <v>263</v>
      </c>
      <c r="AO162" t="s">
        <v>3466</v>
      </c>
      <c r="AP162" t="s">
        <v>3467</v>
      </c>
      <c r="AQ162" t="s">
        <v>74</v>
      </c>
      <c r="AR162" t="s">
        <v>3468</v>
      </c>
      <c r="AS162" t="s">
        <v>3469</v>
      </c>
      <c r="AT162" t="s">
        <v>2239</v>
      </c>
      <c r="AU162">
        <v>2016</v>
      </c>
      <c r="AV162">
        <v>39</v>
      </c>
      <c r="AW162">
        <v>5</v>
      </c>
      <c r="AX162" t="s">
        <v>74</v>
      </c>
      <c r="AY162" t="s">
        <v>74</v>
      </c>
      <c r="AZ162" t="s">
        <v>589</v>
      </c>
      <c r="BA162" t="s">
        <v>74</v>
      </c>
      <c r="BB162">
        <v>765</v>
      </c>
      <c r="BC162">
        <v>787</v>
      </c>
      <c r="BD162" t="s">
        <v>74</v>
      </c>
      <c r="BE162" t="s">
        <v>3470</v>
      </c>
      <c r="BF162" t="str">
        <f>HYPERLINK("http://dx.doi.org/10.1007/s00300-015-1861-2","http://dx.doi.org/10.1007/s00300-015-1861-2")</f>
        <v>http://dx.doi.org/10.1007/s00300-015-1861-2</v>
      </c>
      <c r="BG162" t="s">
        <v>74</v>
      </c>
      <c r="BH162" t="s">
        <v>74</v>
      </c>
      <c r="BI162">
        <v>23</v>
      </c>
      <c r="BJ162" t="s">
        <v>291</v>
      </c>
      <c r="BK162" t="s">
        <v>102</v>
      </c>
      <c r="BL162" t="s">
        <v>133</v>
      </c>
      <c r="BM162" t="s">
        <v>3471</v>
      </c>
      <c r="BN162" t="s">
        <v>74</v>
      </c>
      <c r="BO162" t="s">
        <v>74</v>
      </c>
      <c r="BP162" t="s">
        <v>74</v>
      </c>
      <c r="BQ162" t="s">
        <v>74</v>
      </c>
      <c r="BR162" t="s">
        <v>106</v>
      </c>
      <c r="BS162" t="s">
        <v>3472</v>
      </c>
      <c r="BT162" t="str">
        <f>HYPERLINK("https%3A%2F%2Fwww.webofscience.com%2Fwos%2Fwoscc%2Ffull-record%2FWOS:000374662500002","View Full Record in Web of Science")</f>
        <v>View Full Record in Web of Science</v>
      </c>
    </row>
    <row r="163" spans="1:72" x14ac:dyDescent="0.15">
      <c r="A163" t="s">
        <v>72</v>
      </c>
      <c r="B163" t="s">
        <v>3473</v>
      </c>
      <c r="C163" t="s">
        <v>74</v>
      </c>
      <c r="D163" t="s">
        <v>74</v>
      </c>
      <c r="E163" t="s">
        <v>74</v>
      </c>
      <c r="F163" t="s">
        <v>3474</v>
      </c>
      <c r="G163" t="s">
        <v>74</v>
      </c>
      <c r="H163" t="s">
        <v>74</v>
      </c>
      <c r="I163" t="s">
        <v>3475</v>
      </c>
      <c r="J163" t="s">
        <v>3453</v>
      </c>
      <c r="K163" t="s">
        <v>74</v>
      </c>
      <c r="L163" t="s">
        <v>74</v>
      </c>
      <c r="M163" t="s">
        <v>78</v>
      </c>
      <c r="N163" t="s">
        <v>79</v>
      </c>
      <c r="O163" t="s">
        <v>74</v>
      </c>
      <c r="P163" t="s">
        <v>74</v>
      </c>
      <c r="Q163" t="s">
        <v>74</v>
      </c>
      <c r="R163" t="s">
        <v>74</v>
      </c>
      <c r="S163" t="s">
        <v>74</v>
      </c>
      <c r="T163" t="s">
        <v>3476</v>
      </c>
      <c r="U163" t="s">
        <v>3477</v>
      </c>
      <c r="V163" t="s">
        <v>3478</v>
      </c>
      <c r="W163" t="s">
        <v>3479</v>
      </c>
      <c r="X163" t="s">
        <v>3480</v>
      </c>
      <c r="Y163" t="s">
        <v>3481</v>
      </c>
      <c r="Z163" t="s">
        <v>3482</v>
      </c>
      <c r="AA163" t="s">
        <v>74</v>
      </c>
      <c r="AB163" t="s">
        <v>3483</v>
      </c>
      <c r="AC163" t="s">
        <v>3484</v>
      </c>
      <c r="AD163" t="s">
        <v>3485</v>
      </c>
      <c r="AE163" t="s">
        <v>3486</v>
      </c>
      <c r="AF163" t="s">
        <v>74</v>
      </c>
      <c r="AG163">
        <v>68</v>
      </c>
      <c r="AH163">
        <v>11</v>
      </c>
      <c r="AI163">
        <v>13</v>
      </c>
      <c r="AJ163">
        <v>0</v>
      </c>
      <c r="AK163">
        <v>20</v>
      </c>
      <c r="AL163" t="s">
        <v>194</v>
      </c>
      <c r="AM163" t="s">
        <v>262</v>
      </c>
      <c r="AN163" t="s">
        <v>2836</v>
      </c>
      <c r="AO163" t="s">
        <v>3466</v>
      </c>
      <c r="AP163" t="s">
        <v>3467</v>
      </c>
      <c r="AQ163" t="s">
        <v>74</v>
      </c>
      <c r="AR163" t="s">
        <v>3468</v>
      </c>
      <c r="AS163" t="s">
        <v>3469</v>
      </c>
      <c r="AT163" t="s">
        <v>2239</v>
      </c>
      <c r="AU163">
        <v>2016</v>
      </c>
      <c r="AV163">
        <v>39</v>
      </c>
      <c r="AW163">
        <v>5</v>
      </c>
      <c r="AX163" t="s">
        <v>74</v>
      </c>
      <c r="AY163" t="s">
        <v>74</v>
      </c>
      <c r="AZ163" t="s">
        <v>589</v>
      </c>
      <c r="BA163" t="s">
        <v>74</v>
      </c>
      <c r="BB163">
        <v>819</v>
      </c>
      <c r="BC163">
        <v>828</v>
      </c>
      <c r="BD163" t="s">
        <v>74</v>
      </c>
      <c r="BE163" t="s">
        <v>3487</v>
      </c>
      <c r="BF163" t="str">
        <f>HYPERLINK("http://dx.doi.org/10.1007/s00300-015-1833-6","http://dx.doi.org/10.1007/s00300-015-1833-6")</f>
        <v>http://dx.doi.org/10.1007/s00300-015-1833-6</v>
      </c>
      <c r="BG163" t="s">
        <v>74</v>
      </c>
      <c r="BH163" t="s">
        <v>74</v>
      </c>
      <c r="BI163">
        <v>10</v>
      </c>
      <c r="BJ163" t="s">
        <v>291</v>
      </c>
      <c r="BK163" t="s">
        <v>102</v>
      </c>
      <c r="BL163" t="s">
        <v>133</v>
      </c>
      <c r="BM163" t="s">
        <v>3471</v>
      </c>
      <c r="BN163" t="s">
        <v>74</v>
      </c>
      <c r="BO163" t="s">
        <v>74</v>
      </c>
      <c r="BP163" t="s">
        <v>74</v>
      </c>
      <c r="BQ163" t="s">
        <v>74</v>
      </c>
      <c r="BR163" t="s">
        <v>106</v>
      </c>
      <c r="BS163" t="s">
        <v>3488</v>
      </c>
      <c r="BT163" t="str">
        <f>HYPERLINK("https%3A%2F%2Fwww.webofscience.com%2Fwos%2Fwoscc%2Ffull-record%2FWOS:000374662500005","View Full Record in Web of Science")</f>
        <v>View Full Record in Web of Science</v>
      </c>
    </row>
    <row r="164" spans="1:72" x14ac:dyDescent="0.15">
      <c r="A164" t="s">
        <v>72</v>
      </c>
      <c r="B164" t="s">
        <v>3489</v>
      </c>
      <c r="C164" t="s">
        <v>74</v>
      </c>
      <c r="D164" t="s">
        <v>74</v>
      </c>
      <c r="E164" t="s">
        <v>74</v>
      </c>
      <c r="F164" t="s">
        <v>3490</v>
      </c>
      <c r="G164" t="s">
        <v>74</v>
      </c>
      <c r="H164" t="s">
        <v>74</v>
      </c>
      <c r="I164" t="s">
        <v>3491</v>
      </c>
      <c r="J164" t="s">
        <v>3453</v>
      </c>
      <c r="K164" t="s">
        <v>74</v>
      </c>
      <c r="L164" t="s">
        <v>74</v>
      </c>
      <c r="M164" t="s">
        <v>78</v>
      </c>
      <c r="N164" t="s">
        <v>79</v>
      </c>
      <c r="O164" t="s">
        <v>74</v>
      </c>
      <c r="P164" t="s">
        <v>74</v>
      </c>
      <c r="Q164" t="s">
        <v>74</v>
      </c>
      <c r="R164" t="s">
        <v>74</v>
      </c>
      <c r="S164" t="s">
        <v>74</v>
      </c>
      <c r="T164" t="s">
        <v>3492</v>
      </c>
      <c r="U164" t="s">
        <v>3493</v>
      </c>
      <c r="V164" t="s">
        <v>3494</v>
      </c>
      <c r="W164" t="s">
        <v>3495</v>
      </c>
      <c r="X164" t="s">
        <v>3496</v>
      </c>
      <c r="Y164" t="s">
        <v>3497</v>
      </c>
      <c r="Z164" t="s">
        <v>3498</v>
      </c>
      <c r="AA164" t="s">
        <v>3499</v>
      </c>
      <c r="AB164" t="s">
        <v>3500</v>
      </c>
      <c r="AC164" t="s">
        <v>3501</v>
      </c>
      <c r="AD164" t="s">
        <v>3502</v>
      </c>
      <c r="AE164" t="s">
        <v>3503</v>
      </c>
      <c r="AF164" t="s">
        <v>74</v>
      </c>
      <c r="AG164">
        <v>94</v>
      </c>
      <c r="AH164">
        <v>15</v>
      </c>
      <c r="AI164">
        <v>17</v>
      </c>
      <c r="AJ164">
        <v>0</v>
      </c>
      <c r="AK164">
        <v>26</v>
      </c>
      <c r="AL164" t="s">
        <v>194</v>
      </c>
      <c r="AM164" t="s">
        <v>262</v>
      </c>
      <c r="AN164" t="s">
        <v>2836</v>
      </c>
      <c r="AO164" t="s">
        <v>3466</v>
      </c>
      <c r="AP164" t="s">
        <v>3467</v>
      </c>
      <c r="AQ164" t="s">
        <v>74</v>
      </c>
      <c r="AR164" t="s">
        <v>3468</v>
      </c>
      <c r="AS164" t="s">
        <v>3469</v>
      </c>
      <c r="AT164" t="s">
        <v>2239</v>
      </c>
      <c r="AU164">
        <v>2016</v>
      </c>
      <c r="AV164">
        <v>39</v>
      </c>
      <c r="AW164">
        <v>5</v>
      </c>
      <c r="AX164" t="s">
        <v>74</v>
      </c>
      <c r="AY164" t="s">
        <v>74</v>
      </c>
      <c r="AZ164" t="s">
        <v>589</v>
      </c>
      <c r="BA164" t="s">
        <v>74</v>
      </c>
      <c r="BB164">
        <v>829</v>
      </c>
      <c r="BC164">
        <v>849</v>
      </c>
      <c r="BD164" t="s">
        <v>74</v>
      </c>
      <c r="BE164" t="s">
        <v>3504</v>
      </c>
      <c r="BF164" t="str">
        <f>HYPERLINK("http://dx.doi.org/10.1007/s00300-015-1797-6","http://dx.doi.org/10.1007/s00300-015-1797-6")</f>
        <v>http://dx.doi.org/10.1007/s00300-015-1797-6</v>
      </c>
      <c r="BG164" t="s">
        <v>74</v>
      </c>
      <c r="BH164" t="s">
        <v>74</v>
      </c>
      <c r="BI164">
        <v>21</v>
      </c>
      <c r="BJ164" t="s">
        <v>291</v>
      </c>
      <c r="BK164" t="s">
        <v>102</v>
      </c>
      <c r="BL164" t="s">
        <v>133</v>
      </c>
      <c r="BM164" t="s">
        <v>3471</v>
      </c>
      <c r="BN164" t="s">
        <v>74</v>
      </c>
      <c r="BO164" t="s">
        <v>74</v>
      </c>
      <c r="BP164" t="s">
        <v>74</v>
      </c>
      <c r="BQ164" t="s">
        <v>74</v>
      </c>
      <c r="BR164" t="s">
        <v>106</v>
      </c>
      <c r="BS164" t="s">
        <v>3505</v>
      </c>
      <c r="BT164" t="str">
        <f>HYPERLINK("https%3A%2F%2Fwww.webofscience.com%2Fwos%2Fwoscc%2Ffull-record%2FWOS:000374662500006","View Full Record in Web of Science")</f>
        <v>View Full Record in Web of Science</v>
      </c>
    </row>
    <row r="165" spans="1:72" x14ac:dyDescent="0.15">
      <c r="A165" t="s">
        <v>72</v>
      </c>
      <c r="B165" t="s">
        <v>3506</v>
      </c>
      <c r="C165" t="s">
        <v>74</v>
      </c>
      <c r="D165" t="s">
        <v>74</v>
      </c>
      <c r="E165" t="s">
        <v>74</v>
      </c>
      <c r="F165" t="s">
        <v>3507</v>
      </c>
      <c r="G165" t="s">
        <v>74</v>
      </c>
      <c r="H165" t="s">
        <v>74</v>
      </c>
      <c r="I165" t="s">
        <v>3508</v>
      </c>
      <c r="J165" t="s">
        <v>3453</v>
      </c>
      <c r="K165" t="s">
        <v>74</v>
      </c>
      <c r="L165" t="s">
        <v>74</v>
      </c>
      <c r="M165" t="s">
        <v>78</v>
      </c>
      <c r="N165" t="s">
        <v>79</v>
      </c>
      <c r="O165" t="s">
        <v>74</v>
      </c>
      <c r="P165" t="s">
        <v>74</v>
      </c>
      <c r="Q165" t="s">
        <v>74</v>
      </c>
      <c r="R165" t="s">
        <v>74</v>
      </c>
      <c r="S165" t="s">
        <v>74</v>
      </c>
      <c r="T165" t="s">
        <v>3509</v>
      </c>
      <c r="U165" t="s">
        <v>3510</v>
      </c>
      <c r="V165" t="s">
        <v>3511</v>
      </c>
      <c r="W165" t="s">
        <v>3512</v>
      </c>
      <c r="X165" t="s">
        <v>3513</v>
      </c>
      <c r="Y165" t="s">
        <v>3514</v>
      </c>
      <c r="Z165" t="s">
        <v>3515</v>
      </c>
      <c r="AA165" t="s">
        <v>3516</v>
      </c>
      <c r="AB165" t="s">
        <v>3517</v>
      </c>
      <c r="AC165" t="s">
        <v>3518</v>
      </c>
      <c r="AD165" t="s">
        <v>3519</v>
      </c>
      <c r="AE165" t="s">
        <v>3520</v>
      </c>
      <c r="AF165" t="s">
        <v>74</v>
      </c>
      <c r="AG165">
        <v>42</v>
      </c>
      <c r="AH165">
        <v>18</v>
      </c>
      <c r="AI165">
        <v>20</v>
      </c>
      <c r="AJ165">
        <v>1</v>
      </c>
      <c r="AK165">
        <v>30</v>
      </c>
      <c r="AL165" t="s">
        <v>194</v>
      </c>
      <c r="AM165" t="s">
        <v>262</v>
      </c>
      <c r="AN165" t="s">
        <v>2836</v>
      </c>
      <c r="AO165" t="s">
        <v>3466</v>
      </c>
      <c r="AP165" t="s">
        <v>3467</v>
      </c>
      <c r="AQ165" t="s">
        <v>74</v>
      </c>
      <c r="AR165" t="s">
        <v>3468</v>
      </c>
      <c r="AS165" t="s">
        <v>3469</v>
      </c>
      <c r="AT165" t="s">
        <v>2239</v>
      </c>
      <c r="AU165">
        <v>2016</v>
      </c>
      <c r="AV165">
        <v>39</v>
      </c>
      <c r="AW165">
        <v>5</v>
      </c>
      <c r="AX165" t="s">
        <v>74</v>
      </c>
      <c r="AY165" t="s">
        <v>74</v>
      </c>
      <c r="AZ165" t="s">
        <v>589</v>
      </c>
      <c r="BA165" t="s">
        <v>74</v>
      </c>
      <c r="BB165">
        <v>851</v>
      </c>
      <c r="BC165">
        <v>862</v>
      </c>
      <c r="BD165" t="s">
        <v>74</v>
      </c>
      <c r="BE165" t="s">
        <v>3521</v>
      </c>
      <c r="BF165" t="str">
        <f>HYPERLINK("http://dx.doi.org/10.1007/s00300-015-1875-9","http://dx.doi.org/10.1007/s00300-015-1875-9")</f>
        <v>http://dx.doi.org/10.1007/s00300-015-1875-9</v>
      </c>
      <c r="BG165" t="s">
        <v>74</v>
      </c>
      <c r="BH165" t="s">
        <v>74</v>
      </c>
      <c r="BI165">
        <v>12</v>
      </c>
      <c r="BJ165" t="s">
        <v>291</v>
      </c>
      <c r="BK165" t="s">
        <v>102</v>
      </c>
      <c r="BL165" t="s">
        <v>133</v>
      </c>
      <c r="BM165" t="s">
        <v>3471</v>
      </c>
      <c r="BN165" t="s">
        <v>74</v>
      </c>
      <c r="BO165" t="s">
        <v>74</v>
      </c>
      <c r="BP165" t="s">
        <v>74</v>
      </c>
      <c r="BQ165" t="s">
        <v>74</v>
      </c>
      <c r="BR165" t="s">
        <v>106</v>
      </c>
      <c r="BS165" t="s">
        <v>3522</v>
      </c>
      <c r="BT165" t="str">
        <f>HYPERLINK("https%3A%2F%2Fwww.webofscience.com%2Fwos%2Fwoscc%2Ffull-record%2FWOS:000374662500007","View Full Record in Web of Science")</f>
        <v>View Full Record in Web of Science</v>
      </c>
    </row>
    <row r="166" spans="1:72" x14ac:dyDescent="0.15">
      <c r="A166" t="s">
        <v>72</v>
      </c>
      <c r="B166" t="s">
        <v>3523</v>
      </c>
      <c r="C166" t="s">
        <v>74</v>
      </c>
      <c r="D166" t="s">
        <v>74</v>
      </c>
      <c r="E166" t="s">
        <v>74</v>
      </c>
      <c r="F166" t="s">
        <v>3524</v>
      </c>
      <c r="G166" t="s">
        <v>74</v>
      </c>
      <c r="H166" t="s">
        <v>74</v>
      </c>
      <c r="I166" t="s">
        <v>3525</v>
      </c>
      <c r="J166" t="s">
        <v>3453</v>
      </c>
      <c r="K166" t="s">
        <v>74</v>
      </c>
      <c r="L166" t="s">
        <v>74</v>
      </c>
      <c r="M166" t="s">
        <v>78</v>
      </c>
      <c r="N166" t="s">
        <v>79</v>
      </c>
      <c r="O166" t="s">
        <v>74</v>
      </c>
      <c r="P166" t="s">
        <v>74</v>
      </c>
      <c r="Q166" t="s">
        <v>74</v>
      </c>
      <c r="R166" t="s">
        <v>74</v>
      </c>
      <c r="S166" t="s">
        <v>74</v>
      </c>
      <c r="T166" t="s">
        <v>3526</v>
      </c>
      <c r="U166" t="s">
        <v>3527</v>
      </c>
      <c r="V166" t="s">
        <v>3528</v>
      </c>
      <c r="W166" t="s">
        <v>3529</v>
      </c>
      <c r="X166" t="s">
        <v>3530</v>
      </c>
      <c r="Y166" t="s">
        <v>3531</v>
      </c>
      <c r="Z166" t="s">
        <v>3532</v>
      </c>
      <c r="AA166" t="s">
        <v>3533</v>
      </c>
      <c r="AB166" t="s">
        <v>3534</v>
      </c>
      <c r="AC166" t="s">
        <v>3535</v>
      </c>
      <c r="AD166" t="s">
        <v>3536</v>
      </c>
      <c r="AE166" t="s">
        <v>3537</v>
      </c>
      <c r="AF166" t="s">
        <v>74</v>
      </c>
      <c r="AG166">
        <v>87</v>
      </c>
      <c r="AH166">
        <v>20</v>
      </c>
      <c r="AI166">
        <v>22</v>
      </c>
      <c r="AJ166">
        <v>1</v>
      </c>
      <c r="AK166">
        <v>22</v>
      </c>
      <c r="AL166" t="s">
        <v>194</v>
      </c>
      <c r="AM166" t="s">
        <v>262</v>
      </c>
      <c r="AN166" t="s">
        <v>2836</v>
      </c>
      <c r="AO166" t="s">
        <v>3466</v>
      </c>
      <c r="AP166" t="s">
        <v>3467</v>
      </c>
      <c r="AQ166" t="s">
        <v>74</v>
      </c>
      <c r="AR166" t="s">
        <v>3468</v>
      </c>
      <c r="AS166" t="s">
        <v>3469</v>
      </c>
      <c r="AT166" t="s">
        <v>2239</v>
      </c>
      <c r="AU166">
        <v>2016</v>
      </c>
      <c r="AV166">
        <v>39</v>
      </c>
      <c r="AW166">
        <v>5</v>
      </c>
      <c r="AX166" t="s">
        <v>74</v>
      </c>
      <c r="AY166" t="s">
        <v>74</v>
      </c>
      <c r="AZ166" t="s">
        <v>589</v>
      </c>
      <c r="BA166" t="s">
        <v>74</v>
      </c>
      <c r="BB166">
        <v>863</v>
      </c>
      <c r="BC166">
        <v>879</v>
      </c>
      <c r="BD166" t="s">
        <v>74</v>
      </c>
      <c r="BE166" t="s">
        <v>3538</v>
      </c>
      <c r="BF166" t="str">
        <f>HYPERLINK("http://dx.doi.org/10.1007/s00300-016-1909-y","http://dx.doi.org/10.1007/s00300-016-1909-y")</f>
        <v>http://dx.doi.org/10.1007/s00300-016-1909-y</v>
      </c>
      <c r="BG166" t="s">
        <v>74</v>
      </c>
      <c r="BH166" t="s">
        <v>74</v>
      </c>
      <c r="BI166">
        <v>17</v>
      </c>
      <c r="BJ166" t="s">
        <v>291</v>
      </c>
      <c r="BK166" t="s">
        <v>102</v>
      </c>
      <c r="BL166" t="s">
        <v>133</v>
      </c>
      <c r="BM166" t="s">
        <v>3471</v>
      </c>
      <c r="BN166" t="s">
        <v>74</v>
      </c>
      <c r="BO166" t="s">
        <v>1412</v>
      </c>
      <c r="BP166" t="s">
        <v>74</v>
      </c>
      <c r="BQ166" t="s">
        <v>74</v>
      </c>
      <c r="BR166" t="s">
        <v>106</v>
      </c>
      <c r="BS166" t="s">
        <v>3539</v>
      </c>
      <c r="BT166" t="str">
        <f>HYPERLINK("https%3A%2F%2Fwww.webofscience.com%2Fwos%2Fwoscc%2Ffull-record%2FWOS:000374662500008","View Full Record in Web of Science")</f>
        <v>View Full Record in Web of Science</v>
      </c>
    </row>
    <row r="167" spans="1:72" x14ac:dyDescent="0.15">
      <c r="A167" t="s">
        <v>72</v>
      </c>
      <c r="B167" t="s">
        <v>3540</v>
      </c>
      <c r="C167" t="s">
        <v>74</v>
      </c>
      <c r="D167" t="s">
        <v>74</v>
      </c>
      <c r="E167" t="s">
        <v>74</v>
      </c>
      <c r="F167" t="s">
        <v>3541</v>
      </c>
      <c r="G167" t="s">
        <v>74</v>
      </c>
      <c r="H167" t="s">
        <v>74</v>
      </c>
      <c r="I167" t="s">
        <v>3542</v>
      </c>
      <c r="J167" t="s">
        <v>3453</v>
      </c>
      <c r="K167" t="s">
        <v>74</v>
      </c>
      <c r="L167" t="s">
        <v>74</v>
      </c>
      <c r="M167" t="s">
        <v>78</v>
      </c>
      <c r="N167" t="s">
        <v>79</v>
      </c>
      <c r="O167" t="s">
        <v>74</v>
      </c>
      <c r="P167" t="s">
        <v>74</v>
      </c>
      <c r="Q167" t="s">
        <v>74</v>
      </c>
      <c r="R167" t="s">
        <v>74</v>
      </c>
      <c r="S167" t="s">
        <v>74</v>
      </c>
      <c r="T167" t="s">
        <v>3543</v>
      </c>
      <c r="U167" t="s">
        <v>3544</v>
      </c>
      <c r="V167" t="s">
        <v>3545</v>
      </c>
      <c r="W167" t="s">
        <v>3546</v>
      </c>
      <c r="X167" t="s">
        <v>3547</v>
      </c>
      <c r="Y167" t="s">
        <v>3548</v>
      </c>
      <c r="Z167" t="s">
        <v>3549</v>
      </c>
      <c r="AA167" t="s">
        <v>3550</v>
      </c>
      <c r="AB167" t="s">
        <v>3551</v>
      </c>
      <c r="AC167" t="s">
        <v>3552</v>
      </c>
      <c r="AD167" t="s">
        <v>3553</v>
      </c>
      <c r="AE167" t="s">
        <v>3554</v>
      </c>
      <c r="AF167" t="s">
        <v>74</v>
      </c>
      <c r="AG167">
        <v>87</v>
      </c>
      <c r="AH167">
        <v>6</v>
      </c>
      <c r="AI167">
        <v>6</v>
      </c>
      <c r="AJ167">
        <v>0</v>
      </c>
      <c r="AK167">
        <v>33</v>
      </c>
      <c r="AL167" t="s">
        <v>194</v>
      </c>
      <c r="AM167" t="s">
        <v>262</v>
      </c>
      <c r="AN167" t="s">
        <v>2836</v>
      </c>
      <c r="AO167" t="s">
        <v>3466</v>
      </c>
      <c r="AP167" t="s">
        <v>3467</v>
      </c>
      <c r="AQ167" t="s">
        <v>74</v>
      </c>
      <c r="AR167" t="s">
        <v>3468</v>
      </c>
      <c r="AS167" t="s">
        <v>3469</v>
      </c>
      <c r="AT167" t="s">
        <v>2239</v>
      </c>
      <c r="AU167">
        <v>2016</v>
      </c>
      <c r="AV167">
        <v>39</v>
      </c>
      <c r="AW167">
        <v>5</v>
      </c>
      <c r="AX167" t="s">
        <v>74</v>
      </c>
      <c r="AY167" t="s">
        <v>74</v>
      </c>
      <c r="AZ167" t="s">
        <v>589</v>
      </c>
      <c r="BA167" t="s">
        <v>74</v>
      </c>
      <c r="BB167">
        <v>881</v>
      </c>
      <c r="BC167">
        <v>895</v>
      </c>
      <c r="BD167" t="s">
        <v>74</v>
      </c>
      <c r="BE167" t="s">
        <v>3555</v>
      </c>
      <c r="BF167" t="str">
        <f>HYPERLINK("http://dx.doi.org/10.1007/s00300-016-1911-4","http://dx.doi.org/10.1007/s00300-016-1911-4")</f>
        <v>http://dx.doi.org/10.1007/s00300-016-1911-4</v>
      </c>
      <c r="BG167" t="s">
        <v>74</v>
      </c>
      <c r="BH167" t="s">
        <v>74</v>
      </c>
      <c r="BI167">
        <v>15</v>
      </c>
      <c r="BJ167" t="s">
        <v>291</v>
      </c>
      <c r="BK167" t="s">
        <v>102</v>
      </c>
      <c r="BL167" t="s">
        <v>133</v>
      </c>
      <c r="BM167" t="s">
        <v>3471</v>
      </c>
      <c r="BN167" t="s">
        <v>74</v>
      </c>
      <c r="BO167" t="s">
        <v>74</v>
      </c>
      <c r="BP167" t="s">
        <v>74</v>
      </c>
      <c r="BQ167" t="s">
        <v>74</v>
      </c>
      <c r="BR167" t="s">
        <v>106</v>
      </c>
      <c r="BS167" t="s">
        <v>3556</v>
      </c>
      <c r="BT167" t="str">
        <f>HYPERLINK("https%3A%2F%2Fwww.webofscience.com%2Fwos%2Fwoscc%2Ffull-record%2FWOS:000374662500009","View Full Record in Web of Science")</f>
        <v>View Full Record in Web of Science</v>
      </c>
    </row>
    <row r="168" spans="1:72" x14ac:dyDescent="0.15">
      <c r="A168" t="s">
        <v>72</v>
      </c>
      <c r="B168" t="s">
        <v>3557</v>
      </c>
      <c r="C168" t="s">
        <v>74</v>
      </c>
      <c r="D168" t="s">
        <v>74</v>
      </c>
      <c r="E168" t="s">
        <v>74</v>
      </c>
      <c r="F168" t="s">
        <v>3558</v>
      </c>
      <c r="G168" t="s">
        <v>74</v>
      </c>
      <c r="H168" t="s">
        <v>74</v>
      </c>
      <c r="I168" t="s">
        <v>3559</v>
      </c>
      <c r="J168" t="s">
        <v>3453</v>
      </c>
      <c r="K168" t="s">
        <v>74</v>
      </c>
      <c r="L168" t="s">
        <v>74</v>
      </c>
      <c r="M168" t="s">
        <v>78</v>
      </c>
      <c r="N168" t="s">
        <v>79</v>
      </c>
      <c r="O168" t="s">
        <v>74</v>
      </c>
      <c r="P168" t="s">
        <v>74</v>
      </c>
      <c r="Q168" t="s">
        <v>74</v>
      </c>
      <c r="R168" t="s">
        <v>74</v>
      </c>
      <c r="S168" t="s">
        <v>74</v>
      </c>
      <c r="T168" t="s">
        <v>3560</v>
      </c>
      <c r="U168" t="s">
        <v>3561</v>
      </c>
      <c r="V168" t="s">
        <v>3562</v>
      </c>
      <c r="W168" t="s">
        <v>3563</v>
      </c>
      <c r="X168" t="s">
        <v>3564</v>
      </c>
      <c r="Y168" t="s">
        <v>3565</v>
      </c>
      <c r="Z168" t="s">
        <v>3566</v>
      </c>
      <c r="AA168" t="s">
        <v>3567</v>
      </c>
      <c r="AB168" t="s">
        <v>74</v>
      </c>
      <c r="AC168" t="s">
        <v>3568</v>
      </c>
      <c r="AD168" t="s">
        <v>3569</v>
      </c>
      <c r="AE168" t="s">
        <v>3570</v>
      </c>
      <c r="AF168" t="s">
        <v>74</v>
      </c>
      <c r="AG168">
        <v>59</v>
      </c>
      <c r="AH168">
        <v>7</v>
      </c>
      <c r="AI168">
        <v>7</v>
      </c>
      <c r="AJ168">
        <v>0</v>
      </c>
      <c r="AK168">
        <v>10</v>
      </c>
      <c r="AL168" t="s">
        <v>194</v>
      </c>
      <c r="AM168" t="s">
        <v>262</v>
      </c>
      <c r="AN168" t="s">
        <v>2836</v>
      </c>
      <c r="AO168" t="s">
        <v>3466</v>
      </c>
      <c r="AP168" t="s">
        <v>3467</v>
      </c>
      <c r="AQ168" t="s">
        <v>74</v>
      </c>
      <c r="AR168" t="s">
        <v>3468</v>
      </c>
      <c r="AS168" t="s">
        <v>3469</v>
      </c>
      <c r="AT168" t="s">
        <v>2239</v>
      </c>
      <c r="AU168">
        <v>2016</v>
      </c>
      <c r="AV168">
        <v>39</v>
      </c>
      <c r="AW168">
        <v>5</v>
      </c>
      <c r="AX168" t="s">
        <v>74</v>
      </c>
      <c r="AY168" t="s">
        <v>74</v>
      </c>
      <c r="AZ168" t="s">
        <v>589</v>
      </c>
      <c r="BA168" t="s">
        <v>74</v>
      </c>
      <c r="BB168">
        <v>897</v>
      </c>
      <c r="BC168">
        <v>912</v>
      </c>
      <c r="BD168" t="s">
        <v>74</v>
      </c>
      <c r="BE168" t="s">
        <v>3571</v>
      </c>
      <c r="BF168" t="str">
        <f>HYPERLINK("http://dx.doi.org/10.1007/s00300-015-1842-5","http://dx.doi.org/10.1007/s00300-015-1842-5")</f>
        <v>http://dx.doi.org/10.1007/s00300-015-1842-5</v>
      </c>
      <c r="BG168" t="s">
        <v>74</v>
      </c>
      <c r="BH168" t="s">
        <v>74</v>
      </c>
      <c r="BI168">
        <v>16</v>
      </c>
      <c r="BJ168" t="s">
        <v>291</v>
      </c>
      <c r="BK168" t="s">
        <v>102</v>
      </c>
      <c r="BL168" t="s">
        <v>133</v>
      </c>
      <c r="BM168" t="s">
        <v>3471</v>
      </c>
      <c r="BN168" t="s">
        <v>74</v>
      </c>
      <c r="BO168" t="s">
        <v>1412</v>
      </c>
      <c r="BP168" t="s">
        <v>74</v>
      </c>
      <c r="BQ168" t="s">
        <v>74</v>
      </c>
      <c r="BR168" t="s">
        <v>106</v>
      </c>
      <c r="BS168" t="s">
        <v>3572</v>
      </c>
      <c r="BT168" t="str">
        <f>HYPERLINK("https%3A%2F%2Fwww.webofscience.com%2Fwos%2Fwoscc%2Ffull-record%2FWOS:000374662500010","View Full Record in Web of Science")</f>
        <v>View Full Record in Web of Science</v>
      </c>
    </row>
    <row r="169" spans="1:72" x14ac:dyDescent="0.15">
      <c r="A169" t="s">
        <v>72</v>
      </c>
      <c r="B169" t="s">
        <v>3573</v>
      </c>
      <c r="C169" t="s">
        <v>74</v>
      </c>
      <c r="D169" t="s">
        <v>74</v>
      </c>
      <c r="E169" t="s">
        <v>74</v>
      </c>
      <c r="F169" t="s">
        <v>3574</v>
      </c>
      <c r="G169" t="s">
        <v>74</v>
      </c>
      <c r="H169" t="s">
        <v>74</v>
      </c>
      <c r="I169" t="s">
        <v>3575</v>
      </c>
      <c r="J169" t="s">
        <v>3453</v>
      </c>
      <c r="K169" t="s">
        <v>74</v>
      </c>
      <c r="L169" t="s">
        <v>74</v>
      </c>
      <c r="M169" t="s">
        <v>78</v>
      </c>
      <c r="N169" t="s">
        <v>79</v>
      </c>
      <c r="O169" t="s">
        <v>74</v>
      </c>
      <c r="P169" t="s">
        <v>74</v>
      </c>
      <c r="Q169" t="s">
        <v>74</v>
      </c>
      <c r="R169" t="s">
        <v>74</v>
      </c>
      <c r="S169" t="s">
        <v>74</v>
      </c>
      <c r="T169" t="s">
        <v>3576</v>
      </c>
      <c r="U169" t="s">
        <v>3577</v>
      </c>
      <c r="V169" t="s">
        <v>3578</v>
      </c>
      <c r="W169" t="s">
        <v>3579</v>
      </c>
      <c r="X169" t="s">
        <v>3580</v>
      </c>
      <c r="Y169" t="s">
        <v>3581</v>
      </c>
      <c r="Z169" t="s">
        <v>3582</v>
      </c>
      <c r="AA169" t="s">
        <v>3583</v>
      </c>
      <c r="AB169" t="s">
        <v>3584</v>
      </c>
      <c r="AC169" t="s">
        <v>3585</v>
      </c>
      <c r="AD169" t="s">
        <v>3569</v>
      </c>
      <c r="AE169" t="s">
        <v>3586</v>
      </c>
      <c r="AF169" t="s">
        <v>74</v>
      </c>
      <c r="AG169">
        <v>42</v>
      </c>
      <c r="AH169">
        <v>20</v>
      </c>
      <c r="AI169">
        <v>22</v>
      </c>
      <c r="AJ169">
        <v>0</v>
      </c>
      <c r="AK169">
        <v>22</v>
      </c>
      <c r="AL169" t="s">
        <v>194</v>
      </c>
      <c r="AM169" t="s">
        <v>262</v>
      </c>
      <c r="AN169" t="s">
        <v>2836</v>
      </c>
      <c r="AO169" t="s">
        <v>3466</v>
      </c>
      <c r="AP169" t="s">
        <v>3467</v>
      </c>
      <c r="AQ169" t="s">
        <v>74</v>
      </c>
      <c r="AR169" t="s">
        <v>3468</v>
      </c>
      <c r="AS169" t="s">
        <v>3469</v>
      </c>
      <c r="AT169" t="s">
        <v>2239</v>
      </c>
      <c r="AU169">
        <v>2016</v>
      </c>
      <c r="AV169">
        <v>39</v>
      </c>
      <c r="AW169">
        <v>5</v>
      </c>
      <c r="AX169" t="s">
        <v>74</v>
      </c>
      <c r="AY169" t="s">
        <v>74</v>
      </c>
      <c r="AZ169" t="s">
        <v>589</v>
      </c>
      <c r="BA169" t="s">
        <v>74</v>
      </c>
      <c r="BB169">
        <v>913</v>
      </c>
      <c r="BC169">
        <v>923</v>
      </c>
      <c r="BD169" t="s">
        <v>74</v>
      </c>
      <c r="BE169" t="s">
        <v>3587</v>
      </c>
      <c r="BF169" t="str">
        <f>HYPERLINK("http://dx.doi.org/10.1007/s00300-015-1873-y","http://dx.doi.org/10.1007/s00300-015-1873-y")</f>
        <v>http://dx.doi.org/10.1007/s00300-015-1873-y</v>
      </c>
      <c r="BG169" t="s">
        <v>74</v>
      </c>
      <c r="BH169" t="s">
        <v>74</v>
      </c>
      <c r="BI169">
        <v>11</v>
      </c>
      <c r="BJ169" t="s">
        <v>291</v>
      </c>
      <c r="BK169" t="s">
        <v>102</v>
      </c>
      <c r="BL169" t="s">
        <v>133</v>
      </c>
      <c r="BM169" t="s">
        <v>3471</v>
      </c>
      <c r="BN169" t="s">
        <v>74</v>
      </c>
      <c r="BO169" t="s">
        <v>3588</v>
      </c>
      <c r="BP169" t="s">
        <v>74</v>
      </c>
      <c r="BQ169" t="s">
        <v>74</v>
      </c>
      <c r="BR169" t="s">
        <v>106</v>
      </c>
      <c r="BS169" t="s">
        <v>3589</v>
      </c>
      <c r="BT169" t="str">
        <f>HYPERLINK("https%3A%2F%2Fwww.webofscience.com%2Fwos%2Fwoscc%2Ffull-record%2FWOS:000374662500011","View Full Record in Web of Science")</f>
        <v>View Full Record in Web of Science</v>
      </c>
    </row>
    <row r="170" spans="1:72" x14ac:dyDescent="0.15">
      <c r="A170" t="s">
        <v>72</v>
      </c>
      <c r="B170" t="s">
        <v>3590</v>
      </c>
      <c r="C170" t="s">
        <v>74</v>
      </c>
      <c r="D170" t="s">
        <v>74</v>
      </c>
      <c r="E170" t="s">
        <v>74</v>
      </c>
      <c r="F170" t="s">
        <v>3591</v>
      </c>
      <c r="G170" t="s">
        <v>74</v>
      </c>
      <c r="H170" t="s">
        <v>74</v>
      </c>
      <c r="I170" t="s">
        <v>3592</v>
      </c>
      <c r="J170" t="s">
        <v>3453</v>
      </c>
      <c r="K170" t="s">
        <v>74</v>
      </c>
      <c r="L170" t="s">
        <v>74</v>
      </c>
      <c r="M170" t="s">
        <v>78</v>
      </c>
      <c r="N170" t="s">
        <v>79</v>
      </c>
      <c r="O170" t="s">
        <v>74</v>
      </c>
      <c r="P170" t="s">
        <v>74</v>
      </c>
      <c r="Q170" t="s">
        <v>74</v>
      </c>
      <c r="R170" t="s">
        <v>74</v>
      </c>
      <c r="S170" t="s">
        <v>74</v>
      </c>
      <c r="T170" t="s">
        <v>3593</v>
      </c>
      <c r="U170" t="s">
        <v>3594</v>
      </c>
      <c r="V170" t="s">
        <v>3595</v>
      </c>
      <c r="W170" t="s">
        <v>3596</v>
      </c>
      <c r="X170" t="s">
        <v>3597</v>
      </c>
      <c r="Y170" t="s">
        <v>3598</v>
      </c>
      <c r="Z170" t="s">
        <v>3599</v>
      </c>
      <c r="AA170" t="s">
        <v>74</v>
      </c>
      <c r="AB170" t="s">
        <v>3600</v>
      </c>
      <c r="AC170" t="s">
        <v>3601</v>
      </c>
      <c r="AD170" t="s">
        <v>3602</v>
      </c>
      <c r="AE170" t="s">
        <v>3603</v>
      </c>
      <c r="AF170" t="s">
        <v>74</v>
      </c>
      <c r="AG170">
        <v>97</v>
      </c>
      <c r="AH170">
        <v>25</v>
      </c>
      <c r="AI170">
        <v>25</v>
      </c>
      <c r="AJ170">
        <v>0</v>
      </c>
      <c r="AK170">
        <v>9</v>
      </c>
      <c r="AL170" t="s">
        <v>194</v>
      </c>
      <c r="AM170" t="s">
        <v>262</v>
      </c>
      <c r="AN170" t="s">
        <v>2836</v>
      </c>
      <c r="AO170" t="s">
        <v>3466</v>
      </c>
      <c r="AP170" t="s">
        <v>3467</v>
      </c>
      <c r="AQ170" t="s">
        <v>74</v>
      </c>
      <c r="AR170" t="s">
        <v>3468</v>
      </c>
      <c r="AS170" t="s">
        <v>3469</v>
      </c>
      <c r="AT170" t="s">
        <v>2239</v>
      </c>
      <c r="AU170">
        <v>2016</v>
      </c>
      <c r="AV170">
        <v>39</v>
      </c>
      <c r="AW170">
        <v>5</v>
      </c>
      <c r="AX170" t="s">
        <v>74</v>
      </c>
      <c r="AY170" t="s">
        <v>74</v>
      </c>
      <c r="AZ170" t="s">
        <v>589</v>
      </c>
      <c r="BA170" t="s">
        <v>74</v>
      </c>
      <c r="BB170">
        <v>925</v>
      </c>
      <c r="BC170">
        <v>945</v>
      </c>
      <c r="BD170" t="s">
        <v>74</v>
      </c>
      <c r="BE170" t="s">
        <v>3604</v>
      </c>
      <c r="BF170" t="str">
        <f>HYPERLINK("http://dx.doi.org/10.1007/s00300-016-1910-5","http://dx.doi.org/10.1007/s00300-016-1910-5")</f>
        <v>http://dx.doi.org/10.1007/s00300-016-1910-5</v>
      </c>
      <c r="BG170" t="s">
        <v>74</v>
      </c>
      <c r="BH170" t="s">
        <v>74</v>
      </c>
      <c r="BI170">
        <v>21</v>
      </c>
      <c r="BJ170" t="s">
        <v>291</v>
      </c>
      <c r="BK170" t="s">
        <v>102</v>
      </c>
      <c r="BL170" t="s">
        <v>133</v>
      </c>
      <c r="BM170" t="s">
        <v>3471</v>
      </c>
      <c r="BN170" t="s">
        <v>74</v>
      </c>
      <c r="BO170" t="s">
        <v>74</v>
      </c>
      <c r="BP170" t="s">
        <v>74</v>
      </c>
      <c r="BQ170" t="s">
        <v>74</v>
      </c>
      <c r="BR170" t="s">
        <v>106</v>
      </c>
      <c r="BS170" t="s">
        <v>3605</v>
      </c>
      <c r="BT170" t="str">
        <f>HYPERLINK("https%3A%2F%2Fwww.webofscience.com%2Fwos%2Fwoscc%2Ffull-record%2FWOS:000374662500012","View Full Record in Web of Science")</f>
        <v>View Full Record in Web of Science</v>
      </c>
    </row>
    <row r="171" spans="1:72" x14ac:dyDescent="0.15">
      <c r="A171" t="s">
        <v>72</v>
      </c>
      <c r="B171" t="s">
        <v>3606</v>
      </c>
      <c r="C171" t="s">
        <v>74</v>
      </c>
      <c r="D171" t="s">
        <v>74</v>
      </c>
      <c r="E171" t="s">
        <v>74</v>
      </c>
      <c r="F171" t="s">
        <v>3607</v>
      </c>
      <c r="G171" t="s">
        <v>74</v>
      </c>
      <c r="H171" t="s">
        <v>74</v>
      </c>
      <c r="I171" t="s">
        <v>3608</v>
      </c>
      <c r="J171" t="s">
        <v>3609</v>
      </c>
      <c r="K171" t="s">
        <v>74</v>
      </c>
      <c r="L171" t="s">
        <v>74</v>
      </c>
      <c r="M171" t="s">
        <v>78</v>
      </c>
      <c r="N171" t="s">
        <v>79</v>
      </c>
      <c r="O171" t="s">
        <v>74</v>
      </c>
      <c r="P171" t="s">
        <v>74</v>
      </c>
      <c r="Q171" t="s">
        <v>74</v>
      </c>
      <c r="R171" t="s">
        <v>74</v>
      </c>
      <c r="S171" t="s">
        <v>74</v>
      </c>
      <c r="T171" t="s">
        <v>3610</v>
      </c>
      <c r="U171" t="s">
        <v>3611</v>
      </c>
      <c r="V171" t="s">
        <v>3612</v>
      </c>
      <c r="W171" t="s">
        <v>3613</v>
      </c>
      <c r="X171" t="s">
        <v>3614</v>
      </c>
      <c r="Y171" t="s">
        <v>3615</v>
      </c>
      <c r="Z171" t="s">
        <v>3616</v>
      </c>
      <c r="AA171" t="s">
        <v>3617</v>
      </c>
      <c r="AB171" t="s">
        <v>3618</v>
      </c>
      <c r="AC171" t="s">
        <v>3619</v>
      </c>
      <c r="AD171" t="s">
        <v>3620</v>
      </c>
      <c r="AE171" t="s">
        <v>3621</v>
      </c>
      <c r="AF171" t="s">
        <v>74</v>
      </c>
      <c r="AG171">
        <v>21</v>
      </c>
      <c r="AH171">
        <v>8</v>
      </c>
      <c r="AI171">
        <v>8</v>
      </c>
      <c r="AJ171">
        <v>0</v>
      </c>
      <c r="AK171">
        <v>23</v>
      </c>
      <c r="AL171" t="s">
        <v>1829</v>
      </c>
      <c r="AM171" t="s">
        <v>679</v>
      </c>
      <c r="AN171" t="s">
        <v>1830</v>
      </c>
      <c r="AO171" t="s">
        <v>3622</v>
      </c>
      <c r="AP171" t="s">
        <v>3623</v>
      </c>
      <c r="AQ171" t="s">
        <v>74</v>
      </c>
      <c r="AR171" t="s">
        <v>3624</v>
      </c>
      <c r="AS171" t="s">
        <v>3625</v>
      </c>
      <c r="AT171" t="s">
        <v>2239</v>
      </c>
      <c r="AU171">
        <v>2016</v>
      </c>
      <c r="AV171">
        <v>142</v>
      </c>
      <c r="AW171" t="s">
        <v>74</v>
      </c>
      <c r="AX171" t="s">
        <v>74</v>
      </c>
      <c r="AY171" t="s">
        <v>74</v>
      </c>
      <c r="AZ171" t="s">
        <v>74</v>
      </c>
      <c r="BA171" t="s">
        <v>74</v>
      </c>
      <c r="BB171">
        <v>20</v>
      </c>
      <c r="BC171">
        <v>24</v>
      </c>
      <c r="BD171" t="s">
        <v>74</v>
      </c>
      <c r="BE171" t="s">
        <v>3626</v>
      </c>
      <c r="BF171" t="str">
        <f>HYPERLINK("http://dx.doi.org/10.1016/j.jastp.2016.02.019","http://dx.doi.org/10.1016/j.jastp.2016.02.019")</f>
        <v>http://dx.doi.org/10.1016/j.jastp.2016.02.019</v>
      </c>
      <c r="BG171" t="s">
        <v>74</v>
      </c>
      <c r="BH171" t="s">
        <v>74</v>
      </c>
      <c r="BI171">
        <v>5</v>
      </c>
      <c r="BJ171" t="s">
        <v>3627</v>
      </c>
      <c r="BK171" t="s">
        <v>102</v>
      </c>
      <c r="BL171" t="s">
        <v>3627</v>
      </c>
      <c r="BM171" t="s">
        <v>3628</v>
      </c>
      <c r="BN171" t="s">
        <v>74</v>
      </c>
      <c r="BO171" t="s">
        <v>74</v>
      </c>
      <c r="BP171" t="s">
        <v>74</v>
      </c>
      <c r="BQ171" t="s">
        <v>74</v>
      </c>
      <c r="BR171" t="s">
        <v>106</v>
      </c>
      <c r="BS171" t="s">
        <v>3629</v>
      </c>
      <c r="BT171" t="str">
        <f>HYPERLINK("https%3A%2F%2Fwww.webofscience.com%2Fwos%2Fwoscc%2Ffull-record%2FWOS:000374079700002","View Full Record in Web of Science")</f>
        <v>View Full Record in Web of Science</v>
      </c>
    </row>
    <row r="172" spans="1:72" x14ac:dyDescent="0.15">
      <c r="A172" t="s">
        <v>72</v>
      </c>
      <c r="B172" t="s">
        <v>3630</v>
      </c>
      <c r="C172" t="s">
        <v>74</v>
      </c>
      <c r="D172" t="s">
        <v>74</v>
      </c>
      <c r="E172" t="s">
        <v>74</v>
      </c>
      <c r="F172" t="s">
        <v>3631</v>
      </c>
      <c r="G172" t="s">
        <v>74</v>
      </c>
      <c r="H172" t="s">
        <v>74</v>
      </c>
      <c r="I172" t="s">
        <v>3632</v>
      </c>
      <c r="J172" t="s">
        <v>3609</v>
      </c>
      <c r="K172" t="s">
        <v>74</v>
      </c>
      <c r="L172" t="s">
        <v>74</v>
      </c>
      <c r="M172" t="s">
        <v>78</v>
      </c>
      <c r="N172" t="s">
        <v>79</v>
      </c>
      <c r="O172" t="s">
        <v>74</v>
      </c>
      <c r="P172" t="s">
        <v>74</v>
      </c>
      <c r="Q172" t="s">
        <v>74</v>
      </c>
      <c r="R172" t="s">
        <v>74</v>
      </c>
      <c r="S172" t="s">
        <v>74</v>
      </c>
      <c r="T172" t="s">
        <v>3633</v>
      </c>
      <c r="U172" t="s">
        <v>74</v>
      </c>
      <c r="V172" t="s">
        <v>3634</v>
      </c>
      <c r="W172" t="s">
        <v>3635</v>
      </c>
      <c r="X172" t="s">
        <v>3636</v>
      </c>
      <c r="Y172" t="s">
        <v>3637</v>
      </c>
      <c r="Z172" t="s">
        <v>3638</v>
      </c>
      <c r="AA172" t="s">
        <v>3639</v>
      </c>
      <c r="AB172" t="s">
        <v>3640</v>
      </c>
      <c r="AC172" t="s">
        <v>3641</v>
      </c>
      <c r="AD172" t="s">
        <v>3642</v>
      </c>
      <c r="AE172" t="s">
        <v>3643</v>
      </c>
      <c r="AF172" t="s">
        <v>74</v>
      </c>
      <c r="AG172">
        <v>26</v>
      </c>
      <c r="AH172">
        <v>4</v>
      </c>
      <c r="AI172">
        <v>4</v>
      </c>
      <c r="AJ172">
        <v>0</v>
      </c>
      <c r="AK172">
        <v>5</v>
      </c>
      <c r="AL172" t="s">
        <v>1829</v>
      </c>
      <c r="AM172" t="s">
        <v>679</v>
      </c>
      <c r="AN172" t="s">
        <v>1830</v>
      </c>
      <c r="AO172" t="s">
        <v>3622</v>
      </c>
      <c r="AP172" t="s">
        <v>3623</v>
      </c>
      <c r="AQ172" t="s">
        <v>74</v>
      </c>
      <c r="AR172" t="s">
        <v>3624</v>
      </c>
      <c r="AS172" t="s">
        <v>3625</v>
      </c>
      <c r="AT172" t="s">
        <v>2239</v>
      </c>
      <c r="AU172">
        <v>2016</v>
      </c>
      <c r="AV172">
        <v>142</v>
      </c>
      <c r="AW172" t="s">
        <v>74</v>
      </c>
      <c r="AX172" t="s">
        <v>74</v>
      </c>
      <c r="AY172" t="s">
        <v>74</v>
      </c>
      <c r="AZ172" t="s">
        <v>74</v>
      </c>
      <c r="BA172" t="s">
        <v>74</v>
      </c>
      <c r="BB172">
        <v>72</v>
      </c>
      <c r="BC172">
        <v>82</v>
      </c>
      <c r="BD172" t="s">
        <v>74</v>
      </c>
      <c r="BE172" t="s">
        <v>3644</v>
      </c>
      <c r="BF172" t="str">
        <f>HYPERLINK("http://dx.doi.org/10.1016/j.jastp.2016.02.015","http://dx.doi.org/10.1016/j.jastp.2016.02.015")</f>
        <v>http://dx.doi.org/10.1016/j.jastp.2016.02.015</v>
      </c>
      <c r="BG172" t="s">
        <v>74</v>
      </c>
      <c r="BH172" t="s">
        <v>74</v>
      </c>
      <c r="BI172">
        <v>11</v>
      </c>
      <c r="BJ172" t="s">
        <v>3627</v>
      </c>
      <c r="BK172" t="s">
        <v>102</v>
      </c>
      <c r="BL172" t="s">
        <v>3627</v>
      </c>
      <c r="BM172" t="s">
        <v>3628</v>
      </c>
      <c r="BN172" t="s">
        <v>74</v>
      </c>
      <c r="BO172" t="s">
        <v>74</v>
      </c>
      <c r="BP172" t="s">
        <v>74</v>
      </c>
      <c r="BQ172" t="s">
        <v>74</v>
      </c>
      <c r="BR172" t="s">
        <v>106</v>
      </c>
      <c r="BS172" t="s">
        <v>3645</v>
      </c>
      <c r="BT172" t="str">
        <f>HYPERLINK("https%3A%2F%2Fwww.webofscience.com%2Fwos%2Fwoscc%2Ffull-record%2FWOS:000374079700008","View Full Record in Web of Science")</f>
        <v>View Full Record in Web of Science</v>
      </c>
    </row>
    <row r="173" spans="1:72" x14ac:dyDescent="0.15">
      <c r="A173" t="s">
        <v>72</v>
      </c>
      <c r="B173" t="s">
        <v>3646</v>
      </c>
      <c r="C173" t="s">
        <v>74</v>
      </c>
      <c r="D173" t="s">
        <v>74</v>
      </c>
      <c r="E173" t="s">
        <v>74</v>
      </c>
      <c r="F173" t="s">
        <v>3647</v>
      </c>
      <c r="G173" t="s">
        <v>74</v>
      </c>
      <c r="H173" t="s">
        <v>74</v>
      </c>
      <c r="I173" t="s">
        <v>3648</v>
      </c>
      <c r="J173" t="s">
        <v>3649</v>
      </c>
      <c r="K173" t="s">
        <v>74</v>
      </c>
      <c r="L173" t="s">
        <v>74</v>
      </c>
      <c r="M173" t="s">
        <v>78</v>
      </c>
      <c r="N173" t="s">
        <v>79</v>
      </c>
      <c r="O173" t="s">
        <v>74</v>
      </c>
      <c r="P173" t="s">
        <v>74</v>
      </c>
      <c r="Q173" t="s">
        <v>74</v>
      </c>
      <c r="R173" t="s">
        <v>74</v>
      </c>
      <c r="S173" t="s">
        <v>74</v>
      </c>
      <c r="T173" t="s">
        <v>3650</v>
      </c>
      <c r="U173" t="s">
        <v>3651</v>
      </c>
      <c r="V173" t="s">
        <v>3652</v>
      </c>
      <c r="W173" t="s">
        <v>3653</v>
      </c>
      <c r="X173" t="s">
        <v>3654</v>
      </c>
      <c r="Y173" t="s">
        <v>3655</v>
      </c>
      <c r="Z173" t="s">
        <v>3656</v>
      </c>
      <c r="AA173" t="s">
        <v>3657</v>
      </c>
      <c r="AB173" t="s">
        <v>3658</v>
      </c>
      <c r="AC173" t="s">
        <v>3659</v>
      </c>
      <c r="AD173" t="s">
        <v>3660</v>
      </c>
      <c r="AE173" t="s">
        <v>3661</v>
      </c>
      <c r="AF173" t="s">
        <v>74</v>
      </c>
      <c r="AG173">
        <v>33</v>
      </c>
      <c r="AH173">
        <v>5</v>
      </c>
      <c r="AI173">
        <v>5</v>
      </c>
      <c r="AJ173">
        <v>0</v>
      </c>
      <c r="AK173">
        <v>5</v>
      </c>
      <c r="AL173" t="s">
        <v>3662</v>
      </c>
      <c r="AM173" t="s">
        <v>262</v>
      </c>
      <c r="AN173" t="s">
        <v>3663</v>
      </c>
      <c r="AO173" t="s">
        <v>3664</v>
      </c>
      <c r="AP173" t="s">
        <v>3665</v>
      </c>
      <c r="AQ173" t="s">
        <v>74</v>
      </c>
      <c r="AR173" t="s">
        <v>3666</v>
      </c>
      <c r="AS173" t="s">
        <v>3667</v>
      </c>
      <c r="AT173" t="s">
        <v>2239</v>
      </c>
      <c r="AU173">
        <v>2016</v>
      </c>
      <c r="AV173">
        <v>96</v>
      </c>
      <c r="AW173">
        <v>3</v>
      </c>
      <c r="AX173" t="s">
        <v>74</v>
      </c>
      <c r="AY173" t="s">
        <v>74</v>
      </c>
      <c r="AZ173" t="s">
        <v>74</v>
      </c>
      <c r="BA173" t="s">
        <v>74</v>
      </c>
      <c r="BB173">
        <v>597</v>
      </c>
      <c r="BC173">
        <v>604</v>
      </c>
      <c r="BD173" t="s">
        <v>74</v>
      </c>
      <c r="BE173" t="s">
        <v>3668</v>
      </c>
      <c r="BF173" t="str">
        <f>HYPERLINK("http://dx.doi.org/10.1017/S0025315414000538","http://dx.doi.org/10.1017/S0025315414000538")</f>
        <v>http://dx.doi.org/10.1017/S0025315414000538</v>
      </c>
      <c r="BG173" t="s">
        <v>74</v>
      </c>
      <c r="BH173" t="s">
        <v>74</v>
      </c>
      <c r="BI173">
        <v>8</v>
      </c>
      <c r="BJ173" t="s">
        <v>201</v>
      </c>
      <c r="BK173" t="s">
        <v>102</v>
      </c>
      <c r="BL173" t="s">
        <v>201</v>
      </c>
      <c r="BM173" t="s">
        <v>3669</v>
      </c>
      <c r="BN173" t="s">
        <v>74</v>
      </c>
      <c r="BO173" t="s">
        <v>74</v>
      </c>
      <c r="BP173" t="s">
        <v>74</v>
      </c>
      <c r="BQ173" t="s">
        <v>74</v>
      </c>
      <c r="BR173" t="s">
        <v>106</v>
      </c>
      <c r="BS173" t="s">
        <v>3670</v>
      </c>
      <c r="BT173" t="str">
        <f>HYPERLINK("https%3A%2F%2Fwww.webofscience.com%2Fwos%2Fwoscc%2Ffull-record%2FWOS:000373919900003","View Full Record in Web of Science")</f>
        <v>View Full Record in Web of Science</v>
      </c>
    </row>
    <row r="174" spans="1:72" x14ac:dyDescent="0.15">
      <c r="A174" t="s">
        <v>72</v>
      </c>
      <c r="B174" t="s">
        <v>3671</v>
      </c>
      <c r="C174" t="s">
        <v>74</v>
      </c>
      <c r="D174" t="s">
        <v>74</v>
      </c>
      <c r="E174" t="s">
        <v>74</v>
      </c>
      <c r="F174" t="s">
        <v>3672</v>
      </c>
      <c r="G174" t="s">
        <v>74</v>
      </c>
      <c r="H174" t="s">
        <v>74</v>
      </c>
      <c r="I174" t="s">
        <v>3673</v>
      </c>
      <c r="J174" t="s">
        <v>3674</v>
      </c>
      <c r="K174" t="s">
        <v>74</v>
      </c>
      <c r="L174" t="s">
        <v>74</v>
      </c>
      <c r="M174" t="s">
        <v>78</v>
      </c>
      <c r="N174" t="s">
        <v>79</v>
      </c>
      <c r="O174" t="s">
        <v>74</v>
      </c>
      <c r="P174" t="s">
        <v>74</v>
      </c>
      <c r="Q174" t="s">
        <v>74</v>
      </c>
      <c r="R174" t="s">
        <v>74</v>
      </c>
      <c r="S174" t="s">
        <v>74</v>
      </c>
      <c r="T174" t="s">
        <v>74</v>
      </c>
      <c r="U174" t="s">
        <v>3675</v>
      </c>
      <c r="V174" t="s">
        <v>3676</v>
      </c>
      <c r="W174" t="s">
        <v>3677</v>
      </c>
      <c r="X174" t="s">
        <v>3678</v>
      </c>
      <c r="Y174" t="s">
        <v>3679</v>
      </c>
      <c r="Z174" t="s">
        <v>3680</v>
      </c>
      <c r="AA174" t="s">
        <v>3681</v>
      </c>
      <c r="AB174" t="s">
        <v>3682</v>
      </c>
      <c r="AC174" t="s">
        <v>3683</v>
      </c>
      <c r="AD174" t="s">
        <v>3683</v>
      </c>
      <c r="AE174" t="s">
        <v>3684</v>
      </c>
      <c r="AF174" t="s">
        <v>74</v>
      </c>
      <c r="AG174">
        <v>42</v>
      </c>
      <c r="AH174">
        <v>8</v>
      </c>
      <c r="AI174">
        <v>8</v>
      </c>
      <c r="AJ174">
        <v>0</v>
      </c>
      <c r="AK174">
        <v>5</v>
      </c>
      <c r="AL174" t="s">
        <v>3662</v>
      </c>
      <c r="AM174" t="s">
        <v>262</v>
      </c>
      <c r="AN174" t="s">
        <v>3663</v>
      </c>
      <c r="AO174" t="s">
        <v>3685</v>
      </c>
      <c r="AP174" t="s">
        <v>3686</v>
      </c>
      <c r="AQ174" t="s">
        <v>74</v>
      </c>
      <c r="AR174" t="s">
        <v>3687</v>
      </c>
      <c r="AS174" t="s">
        <v>3688</v>
      </c>
      <c r="AT174" t="s">
        <v>2239</v>
      </c>
      <c r="AU174">
        <v>2016</v>
      </c>
      <c r="AV174">
        <v>52</v>
      </c>
      <c r="AW174">
        <v>3</v>
      </c>
      <c r="AX174" t="s">
        <v>74</v>
      </c>
      <c r="AY174" t="s">
        <v>74</v>
      </c>
      <c r="AZ174" t="s">
        <v>74</v>
      </c>
      <c r="BA174" t="s">
        <v>74</v>
      </c>
      <c r="BB174">
        <v>305</v>
      </c>
      <c r="BC174">
        <v>315</v>
      </c>
      <c r="BD174" t="s">
        <v>74</v>
      </c>
      <c r="BE174" t="s">
        <v>3689</v>
      </c>
      <c r="BF174" t="str">
        <f>HYPERLINK("http://dx.doi.org/10.1017/S0032247415000790","http://dx.doi.org/10.1017/S0032247415000790")</f>
        <v>http://dx.doi.org/10.1017/S0032247415000790</v>
      </c>
      <c r="BG174" t="s">
        <v>74</v>
      </c>
      <c r="BH174" t="s">
        <v>74</v>
      </c>
      <c r="BI174">
        <v>11</v>
      </c>
      <c r="BJ174" t="s">
        <v>3690</v>
      </c>
      <c r="BK174" t="s">
        <v>102</v>
      </c>
      <c r="BL174" t="s">
        <v>465</v>
      </c>
      <c r="BM174" t="s">
        <v>3691</v>
      </c>
      <c r="BN174" t="s">
        <v>74</v>
      </c>
      <c r="BO174" t="s">
        <v>74</v>
      </c>
      <c r="BP174" t="s">
        <v>74</v>
      </c>
      <c r="BQ174" t="s">
        <v>74</v>
      </c>
      <c r="BR174" t="s">
        <v>106</v>
      </c>
      <c r="BS174" t="s">
        <v>3692</v>
      </c>
      <c r="BT174" t="str">
        <f>HYPERLINK("https%3A%2F%2Fwww.webofscience.com%2Fwos%2Fwoscc%2Ffull-record%2FWOS:000373920700004","View Full Record in Web of Science")</f>
        <v>View Full Record in Web of Science</v>
      </c>
    </row>
    <row r="175" spans="1:72" x14ac:dyDescent="0.15">
      <c r="A175" t="s">
        <v>72</v>
      </c>
      <c r="B175" t="s">
        <v>3693</v>
      </c>
      <c r="C175" t="s">
        <v>74</v>
      </c>
      <c r="D175" t="s">
        <v>74</v>
      </c>
      <c r="E175" t="s">
        <v>74</v>
      </c>
      <c r="F175" t="s">
        <v>3694</v>
      </c>
      <c r="G175" t="s">
        <v>74</v>
      </c>
      <c r="H175" t="s">
        <v>74</v>
      </c>
      <c r="I175" t="s">
        <v>3695</v>
      </c>
      <c r="J175" t="s">
        <v>3696</v>
      </c>
      <c r="K175" t="s">
        <v>74</v>
      </c>
      <c r="L175" t="s">
        <v>74</v>
      </c>
      <c r="M175" t="s">
        <v>78</v>
      </c>
      <c r="N175" t="s">
        <v>79</v>
      </c>
      <c r="O175" t="s">
        <v>74</v>
      </c>
      <c r="P175" t="s">
        <v>74</v>
      </c>
      <c r="Q175" t="s">
        <v>74</v>
      </c>
      <c r="R175" t="s">
        <v>74</v>
      </c>
      <c r="S175" t="s">
        <v>74</v>
      </c>
      <c r="T175" t="s">
        <v>3697</v>
      </c>
      <c r="U175" t="s">
        <v>3698</v>
      </c>
      <c r="V175" t="s">
        <v>3699</v>
      </c>
      <c r="W175" t="s">
        <v>3700</v>
      </c>
      <c r="X175" t="s">
        <v>3701</v>
      </c>
      <c r="Y175" t="s">
        <v>3702</v>
      </c>
      <c r="Z175" t="s">
        <v>3703</v>
      </c>
      <c r="AA175" t="s">
        <v>3704</v>
      </c>
      <c r="AB175" t="s">
        <v>3705</v>
      </c>
      <c r="AC175" t="s">
        <v>3706</v>
      </c>
      <c r="AD175" t="s">
        <v>3707</v>
      </c>
      <c r="AE175" t="s">
        <v>3708</v>
      </c>
      <c r="AF175" t="s">
        <v>74</v>
      </c>
      <c r="AG175">
        <v>28</v>
      </c>
      <c r="AH175">
        <v>19</v>
      </c>
      <c r="AI175">
        <v>25</v>
      </c>
      <c r="AJ175">
        <v>6</v>
      </c>
      <c r="AK175">
        <v>39</v>
      </c>
      <c r="AL175" t="s">
        <v>3709</v>
      </c>
      <c r="AM175" t="s">
        <v>3710</v>
      </c>
      <c r="AN175" t="s">
        <v>3711</v>
      </c>
      <c r="AO175" t="s">
        <v>3712</v>
      </c>
      <c r="AP175" t="s">
        <v>3713</v>
      </c>
      <c r="AQ175" t="s">
        <v>74</v>
      </c>
      <c r="AR175" t="s">
        <v>3714</v>
      </c>
      <c r="AS175" t="s">
        <v>3715</v>
      </c>
      <c r="AT175" t="s">
        <v>2239</v>
      </c>
      <c r="AU175">
        <v>2016</v>
      </c>
      <c r="AV175">
        <v>33</v>
      </c>
      <c r="AW175">
        <v>5</v>
      </c>
      <c r="AX175" t="s">
        <v>74</v>
      </c>
      <c r="AY175" t="s">
        <v>74</v>
      </c>
      <c r="AZ175" t="s">
        <v>74</v>
      </c>
      <c r="BA175" t="s">
        <v>74</v>
      </c>
      <c r="BB175">
        <v>535</v>
      </c>
      <c r="BC175">
        <v>543</v>
      </c>
      <c r="BD175" t="s">
        <v>74</v>
      </c>
      <c r="BE175" t="s">
        <v>3716</v>
      </c>
      <c r="BF175" t="str">
        <f>HYPERLINK("http://dx.doi.org/10.1007/s00376-015-5114-7","http://dx.doi.org/10.1007/s00376-015-5114-7")</f>
        <v>http://dx.doi.org/10.1007/s00376-015-5114-7</v>
      </c>
      <c r="BG175" t="s">
        <v>74</v>
      </c>
      <c r="BH175" t="s">
        <v>74</v>
      </c>
      <c r="BI175">
        <v>9</v>
      </c>
      <c r="BJ175" t="s">
        <v>1726</v>
      </c>
      <c r="BK175" t="s">
        <v>102</v>
      </c>
      <c r="BL175" t="s">
        <v>1726</v>
      </c>
      <c r="BM175" t="s">
        <v>3717</v>
      </c>
      <c r="BN175" t="s">
        <v>74</v>
      </c>
      <c r="BO175" t="s">
        <v>74</v>
      </c>
      <c r="BP175" t="s">
        <v>74</v>
      </c>
      <c r="BQ175" t="s">
        <v>74</v>
      </c>
      <c r="BR175" t="s">
        <v>106</v>
      </c>
      <c r="BS175" t="s">
        <v>3718</v>
      </c>
      <c r="BT175" t="str">
        <f>HYPERLINK("https%3A%2F%2Fwww.webofscience.com%2Fwos%2Fwoscc%2Ffull-record%2FWOS:000371234300001","View Full Record in Web of Science")</f>
        <v>View Full Record in Web of Science</v>
      </c>
    </row>
    <row r="176" spans="1:72" x14ac:dyDescent="0.15">
      <c r="A176" t="s">
        <v>72</v>
      </c>
      <c r="B176" t="s">
        <v>3719</v>
      </c>
      <c r="C176" t="s">
        <v>74</v>
      </c>
      <c r="D176" t="s">
        <v>74</v>
      </c>
      <c r="E176" t="s">
        <v>74</v>
      </c>
      <c r="F176" t="s">
        <v>3720</v>
      </c>
      <c r="G176" t="s">
        <v>74</v>
      </c>
      <c r="H176" t="s">
        <v>74</v>
      </c>
      <c r="I176" t="s">
        <v>3721</v>
      </c>
      <c r="J176" t="s">
        <v>3696</v>
      </c>
      <c r="K176" t="s">
        <v>74</v>
      </c>
      <c r="L176" t="s">
        <v>74</v>
      </c>
      <c r="M176" t="s">
        <v>78</v>
      </c>
      <c r="N176" t="s">
        <v>573</v>
      </c>
      <c r="O176" t="s">
        <v>74</v>
      </c>
      <c r="P176" t="s">
        <v>74</v>
      </c>
      <c r="Q176" t="s">
        <v>74</v>
      </c>
      <c r="R176" t="s">
        <v>74</v>
      </c>
      <c r="S176" t="s">
        <v>74</v>
      </c>
      <c r="T176" t="s">
        <v>74</v>
      </c>
      <c r="U176" t="s">
        <v>74</v>
      </c>
      <c r="V176" t="s">
        <v>74</v>
      </c>
      <c r="W176" t="s">
        <v>3722</v>
      </c>
      <c r="X176" t="s">
        <v>3723</v>
      </c>
      <c r="Y176" t="s">
        <v>3724</v>
      </c>
      <c r="Z176" t="s">
        <v>3725</v>
      </c>
      <c r="AA176" t="s">
        <v>3726</v>
      </c>
      <c r="AB176" t="s">
        <v>74</v>
      </c>
      <c r="AC176" t="s">
        <v>3727</v>
      </c>
      <c r="AD176" t="s">
        <v>3728</v>
      </c>
      <c r="AE176" t="s">
        <v>3729</v>
      </c>
      <c r="AF176" t="s">
        <v>74</v>
      </c>
      <c r="AG176">
        <v>0</v>
      </c>
      <c r="AH176">
        <v>4</v>
      </c>
      <c r="AI176">
        <v>5</v>
      </c>
      <c r="AJ176">
        <v>1</v>
      </c>
      <c r="AK176">
        <v>13</v>
      </c>
      <c r="AL176" t="s">
        <v>3709</v>
      </c>
      <c r="AM176" t="s">
        <v>3710</v>
      </c>
      <c r="AN176" t="s">
        <v>3711</v>
      </c>
      <c r="AO176" t="s">
        <v>3712</v>
      </c>
      <c r="AP176" t="s">
        <v>3713</v>
      </c>
      <c r="AQ176" t="s">
        <v>74</v>
      </c>
      <c r="AR176" t="s">
        <v>3714</v>
      </c>
      <c r="AS176" t="s">
        <v>3715</v>
      </c>
      <c r="AT176" t="s">
        <v>2239</v>
      </c>
      <c r="AU176">
        <v>2016</v>
      </c>
      <c r="AV176">
        <v>33</v>
      </c>
      <c r="AW176">
        <v>5</v>
      </c>
      <c r="AX176" t="s">
        <v>74</v>
      </c>
      <c r="AY176" t="s">
        <v>74</v>
      </c>
      <c r="AZ176" t="s">
        <v>74</v>
      </c>
      <c r="BA176" t="s">
        <v>74</v>
      </c>
      <c r="BB176">
        <v>656</v>
      </c>
      <c r="BC176">
        <v>658</v>
      </c>
      <c r="BD176" t="s">
        <v>74</v>
      </c>
      <c r="BE176" t="s">
        <v>3730</v>
      </c>
      <c r="BF176" t="str">
        <f>HYPERLINK("http://dx.doi.org/10.1007/s00376-016-6012-3","http://dx.doi.org/10.1007/s00376-016-6012-3")</f>
        <v>http://dx.doi.org/10.1007/s00376-016-6012-3</v>
      </c>
      <c r="BG176" t="s">
        <v>74</v>
      </c>
      <c r="BH176" t="s">
        <v>74</v>
      </c>
      <c r="BI176">
        <v>3</v>
      </c>
      <c r="BJ176" t="s">
        <v>1726</v>
      </c>
      <c r="BK176" t="s">
        <v>102</v>
      </c>
      <c r="BL176" t="s">
        <v>1726</v>
      </c>
      <c r="BM176" t="s">
        <v>3717</v>
      </c>
      <c r="BN176" t="s">
        <v>74</v>
      </c>
      <c r="BO176" t="s">
        <v>1412</v>
      </c>
      <c r="BP176" t="s">
        <v>74</v>
      </c>
      <c r="BQ176" t="s">
        <v>74</v>
      </c>
      <c r="BR176" t="s">
        <v>106</v>
      </c>
      <c r="BS176" t="s">
        <v>3731</v>
      </c>
      <c r="BT176" t="str">
        <f>HYPERLINK("https%3A%2F%2Fwww.webofscience.com%2Fwos%2Fwoscc%2Ffull-record%2FWOS:000371234300011","View Full Record in Web of Science")</f>
        <v>View Full Record in Web of Science</v>
      </c>
    </row>
    <row r="177" spans="1:72" x14ac:dyDescent="0.15">
      <c r="A177" t="s">
        <v>72</v>
      </c>
      <c r="B177" t="s">
        <v>3732</v>
      </c>
      <c r="C177" t="s">
        <v>74</v>
      </c>
      <c r="D177" t="s">
        <v>74</v>
      </c>
      <c r="E177" t="s">
        <v>74</v>
      </c>
      <c r="F177" t="s">
        <v>3733</v>
      </c>
      <c r="G177" t="s">
        <v>74</v>
      </c>
      <c r="H177" t="s">
        <v>74</v>
      </c>
      <c r="I177" t="s">
        <v>3734</v>
      </c>
      <c r="J177" t="s">
        <v>3735</v>
      </c>
      <c r="K177" t="s">
        <v>74</v>
      </c>
      <c r="L177" t="s">
        <v>74</v>
      </c>
      <c r="M177" t="s">
        <v>78</v>
      </c>
      <c r="N177" t="s">
        <v>3736</v>
      </c>
      <c r="O177" t="s">
        <v>3737</v>
      </c>
      <c r="P177" t="s">
        <v>3738</v>
      </c>
      <c r="Q177" t="s">
        <v>3739</v>
      </c>
      <c r="R177" t="s">
        <v>74</v>
      </c>
      <c r="S177" t="s">
        <v>74</v>
      </c>
      <c r="T177" t="s">
        <v>74</v>
      </c>
      <c r="U177" t="s">
        <v>3740</v>
      </c>
      <c r="V177" t="s">
        <v>74</v>
      </c>
      <c r="W177" t="s">
        <v>3741</v>
      </c>
      <c r="X177" t="s">
        <v>3742</v>
      </c>
      <c r="Y177" t="s">
        <v>3743</v>
      </c>
      <c r="Z177" t="s">
        <v>3744</v>
      </c>
      <c r="AA177" t="s">
        <v>3745</v>
      </c>
      <c r="AB177" t="s">
        <v>3746</v>
      </c>
      <c r="AC177" t="s">
        <v>3747</v>
      </c>
      <c r="AD177" t="s">
        <v>3748</v>
      </c>
      <c r="AE177" t="s">
        <v>3749</v>
      </c>
      <c r="AF177" t="s">
        <v>74</v>
      </c>
      <c r="AG177">
        <v>23</v>
      </c>
      <c r="AH177">
        <v>24</v>
      </c>
      <c r="AI177">
        <v>26</v>
      </c>
      <c r="AJ177">
        <v>1</v>
      </c>
      <c r="AK177">
        <v>22</v>
      </c>
      <c r="AL177" t="s">
        <v>3750</v>
      </c>
      <c r="AM177" t="s">
        <v>3751</v>
      </c>
      <c r="AN177" t="s">
        <v>3752</v>
      </c>
      <c r="AO177" t="s">
        <v>3753</v>
      </c>
      <c r="AP177" t="s">
        <v>3754</v>
      </c>
      <c r="AQ177" t="s">
        <v>74</v>
      </c>
      <c r="AR177" t="s">
        <v>3755</v>
      </c>
      <c r="AS177" t="s">
        <v>3756</v>
      </c>
      <c r="AT177" t="s">
        <v>2239</v>
      </c>
      <c r="AU177">
        <v>2016</v>
      </c>
      <c r="AV177">
        <v>106</v>
      </c>
      <c r="AW177">
        <v>5</v>
      </c>
      <c r="AX177" t="s">
        <v>74</v>
      </c>
      <c r="AY177" t="s">
        <v>74</v>
      </c>
      <c r="AZ177" t="s">
        <v>74</v>
      </c>
      <c r="BA177" t="s">
        <v>74</v>
      </c>
      <c r="BB177">
        <v>607</v>
      </c>
      <c r="BC177">
        <v>611</v>
      </c>
      <c r="BD177" t="s">
        <v>74</v>
      </c>
      <c r="BE177" t="s">
        <v>3757</v>
      </c>
      <c r="BF177" t="str">
        <f>HYPERLINK("http://dx.doi.org/10.1257/aer.p20161103","http://dx.doi.org/10.1257/aer.p20161103")</f>
        <v>http://dx.doi.org/10.1257/aer.p20161103</v>
      </c>
      <c r="BG177" t="s">
        <v>74</v>
      </c>
      <c r="BH177" t="s">
        <v>74</v>
      </c>
      <c r="BI177">
        <v>5</v>
      </c>
      <c r="BJ177" t="s">
        <v>3758</v>
      </c>
      <c r="BK177" t="s">
        <v>3759</v>
      </c>
      <c r="BL177" t="s">
        <v>3760</v>
      </c>
      <c r="BM177" t="s">
        <v>3761</v>
      </c>
      <c r="BN177" t="s">
        <v>74</v>
      </c>
      <c r="BO177" t="s">
        <v>1412</v>
      </c>
      <c r="BP177" t="s">
        <v>74</v>
      </c>
      <c r="BQ177" t="s">
        <v>74</v>
      </c>
      <c r="BR177" t="s">
        <v>106</v>
      </c>
      <c r="BS177" t="s">
        <v>3762</v>
      </c>
      <c r="BT177" t="str">
        <f>HYPERLINK("https%3A%2F%2Fwww.webofscience.com%2Fwos%2Fwoscc%2Ffull-record%2FWOS:000379341300114","View Full Record in Web of Science")</f>
        <v>View Full Record in Web of Science</v>
      </c>
    </row>
    <row r="178" spans="1:72" x14ac:dyDescent="0.15">
      <c r="A178" t="s">
        <v>72</v>
      </c>
      <c r="B178" t="s">
        <v>3763</v>
      </c>
      <c r="C178" t="s">
        <v>74</v>
      </c>
      <c r="D178" t="s">
        <v>74</v>
      </c>
      <c r="E178" t="s">
        <v>74</v>
      </c>
      <c r="F178" t="s">
        <v>3764</v>
      </c>
      <c r="G178" t="s">
        <v>74</v>
      </c>
      <c r="H178" t="s">
        <v>74</v>
      </c>
      <c r="I178" t="s">
        <v>3765</v>
      </c>
      <c r="J178" t="s">
        <v>2842</v>
      </c>
      <c r="K178" t="s">
        <v>74</v>
      </c>
      <c r="L178" t="s">
        <v>74</v>
      </c>
      <c r="M178" t="s">
        <v>78</v>
      </c>
      <c r="N178" t="s">
        <v>79</v>
      </c>
      <c r="O178" t="s">
        <v>74</v>
      </c>
      <c r="P178" t="s">
        <v>74</v>
      </c>
      <c r="Q178" t="s">
        <v>74</v>
      </c>
      <c r="R178" t="s">
        <v>74</v>
      </c>
      <c r="S178" t="s">
        <v>74</v>
      </c>
      <c r="T178" t="s">
        <v>74</v>
      </c>
      <c r="U178" t="s">
        <v>3766</v>
      </c>
      <c r="V178" t="s">
        <v>3767</v>
      </c>
      <c r="W178" t="s">
        <v>3768</v>
      </c>
      <c r="X178" t="s">
        <v>3769</v>
      </c>
      <c r="Y178" t="s">
        <v>3770</v>
      </c>
      <c r="Z178" t="s">
        <v>3771</v>
      </c>
      <c r="AA178" t="s">
        <v>3772</v>
      </c>
      <c r="AB178" t="s">
        <v>3773</v>
      </c>
      <c r="AC178" t="s">
        <v>3774</v>
      </c>
      <c r="AD178" t="s">
        <v>3775</v>
      </c>
      <c r="AE178" t="s">
        <v>3776</v>
      </c>
      <c r="AF178" t="s">
        <v>74</v>
      </c>
      <c r="AG178">
        <v>68</v>
      </c>
      <c r="AH178">
        <v>33</v>
      </c>
      <c r="AI178">
        <v>33</v>
      </c>
      <c r="AJ178">
        <v>1</v>
      </c>
      <c r="AK178">
        <v>40</v>
      </c>
      <c r="AL178" t="s">
        <v>454</v>
      </c>
      <c r="AM178" t="s">
        <v>455</v>
      </c>
      <c r="AN178" t="s">
        <v>456</v>
      </c>
      <c r="AO178" t="s">
        <v>2852</v>
      </c>
      <c r="AP178" t="s">
        <v>2853</v>
      </c>
      <c r="AQ178" t="s">
        <v>74</v>
      </c>
      <c r="AR178" t="s">
        <v>2854</v>
      </c>
      <c r="AS178" t="s">
        <v>2855</v>
      </c>
      <c r="AT178" t="s">
        <v>2239</v>
      </c>
      <c r="AU178">
        <v>2016</v>
      </c>
      <c r="AV178">
        <v>48</v>
      </c>
      <c r="AW178">
        <v>2</v>
      </c>
      <c r="AX178" t="s">
        <v>74</v>
      </c>
      <c r="AY178" t="s">
        <v>74</v>
      </c>
      <c r="AZ178" t="s">
        <v>74</v>
      </c>
      <c r="BA178" t="s">
        <v>74</v>
      </c>
      <c r="BB178">
        <v>229</v>
      </c>
      <c r="BC178">
        <v>240</v>
      </c>
      <c r="BD178" t="s">
        <v>74</v>
      </c>
      <c r="BE178" t="s">
        <v>3777</v>
      </c>
      <c r="BF178" t="str">
        <f>HYPERLINK("http://dx.doi.org/10.1657/AAAR0015-034","http://dx.doi.org/10.1657/AAAR0015-034")</f>
        <v>http://dx.doi.org/10.1657/AAAR0015-034</v>
      </c>
      <c r="BG178" t="s">
        <v>74</v>
      </c>
      <c r="BH178" t="s">
        <v>74</v>
      </c>
      <c r="BI178">
        <v>12</v>
      </c>
      <c r="BJ178" t="s">
        <v>2857</v>
      </c>
      <c r="BK178" t="s">
        <v>102</v>
      </c>
      <c r="BL178" t="s">
        <v>158</v>
      </c>
      <c r="BM178" t="s">
        <v>2858</v>
      </c>
      <c r="BN178" t="s">
        <v>74</v>
      </c>
      <c r="BO178" t="s">
        <v>293</v>
      </c>
      <c r="BP178" t="s">
        <v>74</v>
      </c>
      <c r="BQ178" t="s">
        <v>74</v>
      </c>
      <c r="BR178" t="s">
        <v>106</v>
      </c>
      <c r="BS178" t="s">
        <v>3778</v>
      </c>
      <c r="BT178" t="str">
        <f>HYPERLINK("https%3A%2F%2Fwww.webofscience.com%2Fwos%2Fwoscc%2Ffull-record%2FWOS:000376226700001","View Full Record in Web of Science")</f>
        <v>View Full Record in Web of Science</v>
      </c>
    </row>
    <row r="179" spans="1:72" x14ac:dyDescent="0.15">
      <c r="A179" t="s">
        <v>72</v>
      </c>
      <c r="B179" t="s">
        <v>3779</v>
      </c>
      <c r="C179" t="s">
        <v>74</v>
      </c>
      <c r="D179" t="s">
        <v>74</v>
      </c>
      <c r="E179" t="s">
        <v>74</v>
      </c>
      <c r="F179" t="s">
        <v>3780</v>
      </c>
      <c r="G179" t="s">
        <v>74</v>
      </c>
      <c r="H179" t="s">
        <v>74</v>
      </c>
      <c r="I179" t="s">
        <v>3781</v>
      </c>
      <c r="J179" t="s">
        <v>2842</v>
      </c>
      <c r="K179" t="s">
        <v>74</v>
      </c>
      <c r="L179" t="s">
        <v>74</v>
      </c>
      <c r="M179" t="s">
        <v>78</v>
      </c>
      <c r="N179" t="s">
        <v>79</v>
      </c>
      <c r="O179" t="s">
        <v>74</v>
      </c>
      <c r="P179" t="s">
        <v>74</v>
      </c>
      <c r="Q179" t="s">
        <v>74</v>
      </c>
      <c r="R179" t="s">
        <v>74</v>
      </c>
      <c r="S179" t="s">
        <v>74</v>
      </c>
      <c r="T179" t="s">
        <v>74</v>
      </c>
      <c r="U179" t="s">
        <v>3782</v>
      </c>
      <c r="V179" t="s">
        <v>3783</v>
      </c>
      <c r="W179" t="s">
        <v>3784</v>
      </c>
      <c r="X179" t="s">
        <v>3785</v>
      </c>
      <c r="Y179" t="s">
        <v>3786</v>
      </c>
      <c r="Z179" t="s">
        <v>3787</v>
      </c>
      <c r="AA179" t="s">
        <v>3788</v>
      </c>
      <c r="AB179" t="s">
        <v>74</v>
      </c>
      <c r="AC179" t="s">
        <v>3789</v>
      </c>
      <c r="AD179" t="s">
        <v>3790</v>
      </c>
      <c r="AE179" t="s">
        <v>3791</v>
      </c>
      <c r="AF179" t="s">
        <v>74</v>
      </c>
      <c r="AG179">
        <v>44</v>
      </c>
      <c r="AH179">
        <v>11</v>
      </c>
      <c r="AI179">
        <v>14</v>
      </c>
      <c r="AJ179">
        <v>0</v>
      </c>
      <c r="AK179">
        <v>33</v>
      </c>
      <c r="AL179" t="s">
        <v>2874</v>
      </c>
      <c r="AM179" t="s">
        <v>2233</v>
      </c>
      <c r="AN179" t="s">
        <v>2875</v>
      </c>
      <c r="AO179" t="s">
        <v>2852</v>
      </c>
      <c r="AP179" t="s">
        <v>2853</v>
      </c>
      <c r="AQ179" t="s">
        <v>74</v>
      </c>
      <c r="AR179" t="s">
        <v>2854</v>
      </c>
      <c r="AS179" t="s">
        <v>2855</v>
      </c>
      <c r="AT179" t="s">
        <v>2239</v>
      </c>
      <c r="AU179">
        <v>2016</v>
      </c>
      <c r="AV179">
        <v>48</v>
      </c>
      <c r="AW179">
        <v>2</v>
      </c>
      <c r="AX179" t="s">
        <v>74</v>
      </c>
      <c r="AY179" t="s">
        <v>74</v>
      </c>
      <c r="AZ179" t="s">
        <v>74</v>
      </c>
      <c r="BA179" t="s">
        <v>74</v>
      </c>
      <c r="BB179">
        <v>241</v>
      </c>
      <c r="BC179">
        <v>252</v>
      </c>
      <c r="BD179" t="s">
        <v>74</v>
      </c>
      <c r="BE179" t="s">
        <v>3792</v>
      </c>
      <c r="BF179" t="str">
        <f>HYPERLINK("http://dx.doi.org/10.1657/AAAR0014-079","http://dx.doi.org/10.1657/AAAR0014-079")</f>
        <v>http://dx.doi.org/10.1657/AAAR0014-079</v>
      </c>
      <c r="BG179" t="s">
        <v>74</v>
      </c>
      <c r="BH179" t="s">
        <v>74</v>
      </c>
      <c r="BI179">
        <v>12</v>
      </c>
      <c r="BJ179" t="s">
        <v>2857</v>
      </c>
      <c r="BK179" t="s">
        <v>102</v>
      </c>
      <c r="BL179" t="s">
        <v>158</v>
      </c>
      <c r="BM179" t="s">
        <v>2858</v>
      </c>
      <c r="BN179" t="s">
        <v>74</v>
      </c>
      <c r="BO179" t="s">
        <v>842</v>
      </c>
      <c r="BP179" t="s">
        <v>74</v>
      </c>
      <c r="BQ179" t="s">
        <v>74</v>
      </c>
      <c r="BR179" t="s">
        <v>106</v>
      </c>
      <c r="BS179" t="s">
        <v>3793</v>
      </c>
      <c r="BT179" t="str">
        <f>HYPERLINK("https%3A%2F%2Fwww.webofscience.com%2Fwos%2Fwoscc%2Ffull-record%2FWOS:000376226700002","View Full Record in Web of Science")</f>
        <v>View Full Record in Web of Science</v>
      </c>
    </row>
    <row r="180" spans="1:72" x14ac:dyDescent="0.15">
      <c r="A180" t="s">
        <v>72</v>
      </c>
      <c r="B180" t="s">
        <v>3794</v>
      </c>
      <c r="C180" t="s">
        <v>74</v>
      </c>
      <c r="D180" t="s">
        <v>74</v>
      </c>
      <c r="E180" t="s">
        <v>74</v>
      </c>
      <c r="F180" t="s">
        <v>3795</v>
      </c>
      <c r="G180" t="s">
        <v>74</v>
      </c>
      <c r="H180" t="s">
        <v>74</v>
      </c>
      <c r="I180" t="s">
        <v>3796</v>
      </c>
      <c r="J180" t="s">
        <v>2842</v>
      </c>
      <c r="K180" t="s">
        <v>74</v>
      </c>
      <c r="L180" t="s">
        <v>74</v>
      </c>
      <c r="M180" t="s">
        <v>78</v>
      </c>
      <c r="N180" t="s">
        <v>79</v>
      </c>
      <c r="O180" t="s">
        <v>74</v>
      </c>
      <c r="P180" t="s">
        <v>74</v>
      </c>
      <c r="Q180" t="s">
        <v>74</v>
      </c>
      <c r="R180" t="s">
        <v>74</v>
      </c>
      <c r="S180" t="s">
        <v>74</v>
      </c>
      <c r="T180" t="s">
        <v>74</v>
      </c>
      <c r="U180" t="s">
        <v>3797</v>
      </c>
      <c r="V180" t="s">
        <v>3798</v>
      </c>
      <c r="W180" t="s">
        <v>3799</v>
      </c>
      <c r="X180" t="s">
        <v>3800</v>
      </c>
      <c r="Y180" t="s">
        <v>3801</v>
      </c>
      <c r="Z180" t="s">
        <v>3802</v>
      </c>
      <c r="AA180" t="s">
        <v>74</v>
      </c>
      <c r="AB180" t="s">
        <v>74</v>
      </c>
      <c r="AC180" t="s">
        <v>74</v>
      </c>
      <c r="AD180" t="s">
        <v>74</v>
      </c>
      <c r="AE180" t="s">
        <v>74</v>
      </c>
      <c r="AF180" t="s">
        <v>74</v>
      </c>
      <c r="AG180">
        <v>35</v>
      </c>
      <c r="AH180">
        <v>24</v>
      </c>
      <c r="AI180">
        <v>30</v>
      </c>
      <c r="AJ180">
        <v>0</v>
      </c>
      <c r="AK180">
        <v>53</v>
      </c>
      <c r="AL180" t="s">
        <v>2874</v>
      </c>
      <c r="AM180" t="s">
        <v>2233</v>
      </c>
      <c r="AN180" t="s">
        <v>2875</v>
      </c>
      <c r="AO180" t="s">
        <v>2852</v>
      </c>
      <c r="AP180" t="s">
        <v>2853</v>
      </c>
      <c r="AQ180" t="s">
        <v>74</v>
      </c>
      <c r="AR180" t="s">
        <v>2854</v>
      </c>
      <c r="AS180" t="s">
        <v>2855</v>
      </c>
      <c r="AT180" t="s">
        <v>2239</v>
      </c>
      <c r="AU180">
        <v>2016</v>
      </c>
      <c r="AV180">
        <v>48</v>
      </c>
      <c r="AW180">
        <v>2</v>
      </c>
      <c r="AX180" t="s">
        <v>74</v>
      </c>
      <c r="AY180" t="s">
        <v>74</v>
      </c>
      <c r="AZ180" t="s">
        <v>74</v>
      </c>
      <c r="BA180" t="s">
        <v>74</v>
      </c>
      <c r="BB180">
        <v>327</v>
      </c>
      <c r="BC180">
        <v>343</v>
      </c>
      <c r="BD180" t="s">
        <v>74</v>
      </c>
      <c r="BE180" t="s">
        <v>3803</v>
      </c>
      <c r="BF180" t="str">
        <f>HYPERLINK("http://dx.doi.org/10.1657/AAAR0015-046","http://dx.doi.org/10.1657/AAAR0015-046")</f>
        <v>http://dx.doi.org/10.1657/AAAR0015-046</v>
      </c>
      <c r="BG180" t="s">
        <v>74</v>
      </c>
      <c r="BH180" t="s">
        <v>74</v>
      </c>
      <c r="BI180">
        <v>17</v>
      </c>
      <c r="BJ180" t="s">
        <v>2857</v>
      </c>
      <c r="BK180" t="s">
        <v>102</v>
      </c>
      <c r="BL180" t="s">
        <v>158</v>
      </c>
      <c r="BM180" t="s">
        <v>2858</v>
      </c>
      <c r="BN180" t="s">
        <v>74</v>
      </c>
      <c r="BO180" t="s">
        <v>3370</v>
      </c>
      <c r="BP180" t="s">
        <v>74</v>
      </c>
      <c r="BQ180" t="s">
        <v>74</v>
      </c>
      <c r="BR180" t="s">
        <v>106</v>
      </c>
      <c r="BS180" t="s">
        <v>3804</v>
      </c>
      <c r="BT180" t="str">
        <f>HYPERLINK("https%3A%2F%2Fwww.webofscience.com%2Fwos%2Fwoscc%2Ffull-record%2FWOS:000376226700008","View Full Record in Web of Science")</f>
        <v>View Full Record in Web of Science</v>
      </c>
    </row>
    <row r="181" spans="1:72" x14ac:dyDescent="0.15">
      <c r="A181" t="s">
        <v>72</v>
      </c>
      <c r="B181" t="s">
        <v>3805</v>
      </c>
      <c r="C181" t="s">
        <v>74</v>
      </c>
      <c r="D181" t="s">
        <v>74</v>
      </c>
      <c r="E181" t="s">
        <v>74</v>
      </c>
      <c r="F181" t="s">
        <v>3806</v>
      </c>
      <c r="G181" t="s">
        <v>74</v>
      </c>
      <c r="H181" t="s">
        <v>74</v>
      </c>
      <c r="I181" t="s">
        <v>3807</v>
      </c>
      <c r="J181" t="s">
        <v>2842</v>
      </c>
      <c r="K181" t="s">
        <v>74</v>
      </c>
      <c r="L181" t="s">
        <v>74</v>
      </c>
      <c r="M181" t="s">
        <v>78</v>
      </c>
      <c r="N181" t="s">
        <v>79</v>
      </c>
      <c r="O181" t="s">
        <v>74</v>
      </c>
      <c r="P181" t="s">
        <v>74</v>
      </c>
      <c r="Q181" t="s">
        <v>74</v>
      </c>
      <c r="R181" t="s">
        <v>74</v>
      </c>
      <c r="S181" t="s">
        <v>74</v>
      </c>
      <c r="T181" t="s">
        <v>74</v>
      </c>
      <c r="U181" t="s">
        <v>3808</v>
      </c>
      <c r="V181" t="s">
        <v>3809</v>
      </c>
      <c r="W181" t="s">
        <v>3810</v>
      </c>
      <c r="X181" t="s">
        <v>3811</v>
      </c>
      <c r="Y181" t="s">
        <v>3812</v>
      </c>
      <c r="Z181" t="s">
        <v>3813</v>
      </c>
      <c r="AA181" t="s">
        <v>3814</v>
      </c>
      <c r="AB181" t="s">
        <v>3815</v>
      </c>
      <c r="AC181" t="s">
        <v>3816</v>
      </c>
      <c r="AD181" t="s">
        <v>3816</v>
      </c>
      <c r="AE181" t="s">
        <v>3817</v>
      </c>
      <c r="AF181" t="s">
        <v>74</v>
      </c>
      <c r="AG181">
        <v>67</v>
      </c>
      <c r="AH181">
        <v>28</v>
      </c>
      <c r="AI181">
        <v>30</v>
      </c>
      <c r="AJ181">
        <v>5</v>
      </c>
      <c r="AK181">
        <v>47</v>
      </c>
      <c r="AL181" t="s">
        <v>454</v>
      </c>
      <c r="AM181" t="s">
        <v>455</v>
      </c>
      <c r="AN181" t="s">
        <v>456</v>
      </c>
      <c r="AO181" t="s">
        <v>2852</v>
      </c>
      <c r="AP181" t="s">
        <v>2853</v>
      </c>
      <c r="AQ181" t="s">
        <v>74</v>
      </c>
      <c r="AR181" t="s">
        <v>2854</v>
      </c>
      <c r="AS181" t="s">
        <v>2855</v>
      </c>
      <c r="AT181" t="s">
        <v>2239</v>
      </c>
      <c r="AU181">
        <v>2016</v>
      </c>
      <c r="AV181">
        <v>48</v>
      </c>
      <c r="AW181">
        <v>2</v>
      </c>
      <c r="AX181" t="s">
        <v>74</v>
      </c>
      <c r="AY181" t="s">
        <v>74</v>
      </c>
      <c r="AZ181" t="s">
        <v>74</v>
      </c>
      <c r="BA181" t="s">
        <v>74</v>
      </c>
      <c r="BB181">
        <v>361</v>
      </c>
      <c r="BC181">
        <v>376</v>
      </c>
      <c r="BD181" t="s">
        <v>74</v>
      </c>
      <c r="BE181" t="s">
        <v>3818</v>
      </c>
      <c r="BF181" t="str">
        <f>HYPERLINK("http://dx.doi.org/10.1657/AAAR0015-058","http://dx.doi.org/10.1657/AAAR0015-058")</f>
        <v>http://dx.doi.org/10.1657/AAAR0015-058</v>
      </c>
      <c r="BG181" t="s">
        <v>74</v>
      </c>
      <c r="BH181" t="s">
        <v>74</v>
      </c>
      <c r="BI181">
        <v>16</v>
      </c>
      <c r="BJ181" t="s">
        <v>2857</v>
      </c>
      <c r="BK181" t="s">
        <v>102</v>
      </c>
      <c r="BL181" t="s">
        <v>158</v>
      </c>
      <c r="BM181" t="s">
        <v>2858</v>
      </c>
      <c r="BN181" t="s">
        <v>74</v>
      </c>
      <c r="BO181" t="s">
        <v>3819</v>
      </c>
      <c r="BP181" t="s">
        <v>74</v>
      </c>
      <c r="BQ181" t="s">
        <v>74</v>
      </c>
      <c r="BR181" t="s">
        <v>106</v>
      </c>
      <c r="BS181" t="s">
        <v>3820</v>
      </c>
      <c r="BT181" t="str">
        <f>HYPERLINK("https%3A%2F%2Fwww.webofscience.com%2Fwos%2Fwoscc%2Ffull-record%2FWOS:000376226700010","View Full Record in Web of Science")</f>
        <v>View Full Record in Web of Science</v>
      </c>
    </row>
    <row r="182" spans="1:72" x14ac:dyDescent="0.15">
      <c r="A182" t="s">
        <v>72</v>
      </c>
      <c r="B182" t="s">
        <v>3821</v>
      </c>
      <c r="C182" t="s">
        <v>74</v>
      </c>
      <c r="D182" t="s">
        <v>74</v>
      </c>
      <c r="E182" t="s">
        <v>74</v>
      </c>
      <c r="F182" t="s">
        <v>3822</v>
      </c>
      <c r="G182" t="s">
        <v>74</v>
      </c>
      <c r="H182" t="s">
        <v>74</v>
      </c>
      <c r="I182" t="s">
        <v>3823</v>
      </c>
      <c r="J182" t="s">
        <v>2842</v>
      </c>
      <c r="K182" t="s">
        <v>74</v>
      </c>
      <c r="L182" t="s">
        <v>74</v>
      </c>
      <c r="M182" t="s">
        <v>78</v>
      </c>
      <c r="N182" t="s">
        <v>79</v>
      </c>
      <c r="O182" t="s">
        <v>74</v>
      </c>
      <c r="P182" t="s">
        <v>74</v>
      </c>
      <c r="Q182" t="s">
        <v>74</v>
      </c>
      <c r="R182" t="s">
        <v>74</v>
      </c>
      <c r="S182" t="s">
        <v>74</v>
      </c>
      <c r="T182" t="s">
        <v>74</v>
      </c>
      <c r="U182" t="s">
        <v>3824</v>
      </c>
      <c r="V182" t="s">
        <v>3825</v>
      </c>
      <c r="W182" t="s">
        <v>3826</v>
      </c>
      <c r="X182" t="s">
        <v>3827</v>
      </c>
      <c r="Y182" t="s">
        <v>3828</v>
      </c>
      <c r="Z182" t="s">
        <v>3829</v>
      </c>
      <c r="AA182" t="s">
        <v>3830</v>
      </c>
      <c r="AB182" t="s">
        <v>3831</v>
      </c>
      <c r="AC182" t="s">
        <v>3832</v>
      </c>
      <c r="AD182" t="s">
        <v>3833</v>
      </c>
      <c r="AE182" t="s">
        <v>3834</v>
      </c>
      <c r="AF182" t="s">
        <v>74</v>
      </c>
      <c r="AG182">
        <v>63</v>
      </c>
      <c r="AH182">
        <v>6</v>
      </c>
      <c r="AI182">
        <v>6</v>
      </c>
      <c r="AJ182">
        <v>0</v>
      </c>
      <c r="AK182">
        <v>20</v>
      </c>
      <c r="AL182" t="s">
        <v>454</v>
      </c>
      <c r="AM182" t="s">
        <v>455</v>
      </c>
      <c r="AN182" t="s">
        <v>456</v>
      </c>
      <c r="AO182" t="s">
        <v>2852</v>
      </c>
      <c r="AP182" t="s">
        <v>2853</v>
      </c>
      <c r="AQ182" t="s">
        <v>74</v>
      </c>
      <c r="AR182" t="s">
        <v>2854</v>
      </c>
      <c r="AS182" t="s">
        <v>2855</v>
      </c>
      <c r="AT182" t="s">
        <v>2239</v>
      </c>
      <c r="AU182">
        <v>2016</v>
      </c>
      <c r="AV182">
        <v>48</v>
      </c>
      <c r="AW182">
        <v>2</v>
      </c>
      <c r="AX182" t="s">
        <v>74</v>
      </c>
      <c r="AY182" t="s">
        <v>74</v>
      </c>
      <c r="AZ182" t="s">
        <v>74</v>
      </c>
      <c r="BA182" t="s">
        <v>74</v>
      </c>
      <c r="BB182">
        <v>377</v>
      </c>
      <c r="BC182">
        <v>393</v>
      </c>
      <c r="BD182" t="s">
        <v>74</v>
      </c>
      <c r="BE182" t="s">
        <v>3835</v>
      </c>
      <c r="BF182" t="str">
        <f>HYPERLINK("http://dx.doi.org/10.1657/AAAR0014-081","http://dx.doi.org/10.1657/AAAR0014-081")</f>
        <v>http://dx.doi.org/10.1657/AAAR0014-081</v>
      </c>
      <c r="BG182" t="s">
        <v>74</v>
      </c>
      <c r="BH182" t="s">
        <v>74</v>
      </c>
      <c r="BI182">
        <v>17</v>
      </c>
      <c r="BJ182" t="s">
        <v>2857</v>
      </c>
      <c r="BK182" t="s">
        <v>102</v>
      </c>
      <c r="BL182" t="s">
        <v>158</v>
      </c>
      <c r="BM182" t="s">
        <v>2858</v>
      </c>
      <c r="BN182" t="s">
        <v>74</v>
      </c>
      <c r="BO182" t="s">
        <v>293</v>
      </c>
      <c r="BP182" t="s">
        <v>74</v>
      </c>
      <c r="BQ182" t="s">
        <v>74</v>
      </c>
      <c r="BR182" t="s">
        <v>106</v>
      </c>
      <c r="BS182" t="s">
        <v>3836</v>
      </c>
      <c r="BT182" t="str">
        <f>HYPERLINK("https%3A%2F%2Fwww.webofscience.com%2Fwos%2Fwoscc%2Ffull-record%2FWOS:000376226700011","View Full Record in Web of Science")</f>
        <v>View Full Record in Web of Science</v>
      </c>
    </row>
    <row r="183" spans="1:72" x14ac:dyDescent="0.15">
      <c r="A183" t="s">
        <v>72</v>
      </c>
      <c r="B183" t="s">
        <v>3837</v>
      </c>
      <c r="C183" t="s">
        <v>74</v>
      </c>
      <c r="D183" t="s">
        <v>74</v>
      </c>
      <c r="E183" t="s">
        <v>74</v>
      </c>
      <c r="F183" t="s">
        <v>3838</v>
      </c>
      <c r="G183" t="s">
        <v>74</v>
      </c>
      <c r="H183" t="s">
        <v>74</v>
      </c>
      <c r="I183" t="s">
        <v>3839</v>
      </c>
      <c r="J183" t="s">
        <v>2842</v>
      </c>
      <c r="K183" t="s">
        <v>74</v>
      </c>
      <c r="L183" t="s">
        <v>74</v>
      </c>
      <c r="M183" t="s">
        <v>78</v>
      </c>
      <c r="N183" t="s">
        <v>79</v>
      </c>
      <c r="O183" t="s">
        <v>74</v>
      </c>
      <c r="P183" t="s">
        <v>74</v>
      </c>
      <c r="Q183" t="s">
        <v>74</v>
      </c>
      <c r="R183" t="s">
        <v>74</v>
      </c>
      <c r="S183" t="s">
        <v>74</v>
      </c>
      <c r="T183" t="s">
        <v>74</v>
      </c>
      <c r="U183" t="s">
        <v>3840</v>
      </c>
      <c r="V183" t="s">
        <v>3841</v>
      </c>
      <c r="W183" t="s">
        <v>3842</v>
      </c>
      <c r="X183" t="s">
        <v>3843</v>
      </c>
      <c r="Y183" t="s">
        <v>3844</v>
      </c>
      <c r="Z183" t="s">
        <v>3845</v>
      </c>
      <c r="AA183" t="s">
        <v>74</v>
      </c>
      <c r="AB183" t="s">
        <v>3846</v>
      </c>
      <c r="AC183" t="s">
        <v>3847</v>
      </c>
      <c r="AD183" t="s">
        <v>510</v>
      </c>
      <c r="AE183" t="s">
        <v>74</v>
      </c>
      <c r="AF183" t="s">
        <v>74</v>
      </c>
      <c r="AG183">
        <v>59</v>
      </c>
      <c r="AH183">
        <v>24</v>
      </c>
      <c r="AI183">
        <v>25</v>
      </c>
      <c r="AJ183">
        <v>0</v>
      </c>
      <c r="AK183">
        <v>17</v>
      </c>
      <c r="AL183" t="s">
        <v>454</v>
      </c>
      <c r="AM183" t="s">
        <v>455</v>
      </c>
      <c r="AN183" t="s">
        <v>456</v>
      </c>
      <c r="AO183" t="s">
        <v>2852</v>
      </c>
      <c r="AP183" t="s">
        <v>2853</v>
      </c>
      <c r="AQ183" t="s">
        <v>74</v>
      </c>
      <c r="AR183" t="s">
        <v>2854</v>
      </c>
      <c r="AS183" t="s">
        <v>2855</v>
      </c>
      <c r="AT183" t="s">
        <v>2239</v>
      </c>
      <c r="AU183">
        <v>2016</v>
      </c>
      <c r="AV183">
        <v>48</v>
      </c>
      <c r="AW183">
        <v>2</v>
      </c>
      <c r="AX183" t="s">
        <v>74</v>
      </c>
      <c r="AY183" t="s">
        <v>74</v>
      </c>
      <c r="AZ183" t="s">
        <v>74</v>
      </c>
      <c r="BA183" t="s">
        <v>74</v>
      </c>
      <c r="BB183">
        <v>411</v>
      </c>
      <c r="BC183">
        <v>426</v>
      </c>
      <c r="BD183" t="s">
        <v>74</v>
      </c>
      <c r="BE183" t="s">
        <v>3848</v>
      </c>
      <c r="BF183" t="str">
        <f>HYPERLINK("http://dx.doi.org/10.1657/AAAR0014-094","http://dx.doi.org/10.1657/AAAR0014-094")</f>
        <v>http://dx.doi.org/10.1657/AAAR0014-094</v>
      </c>
      <c r="BG183" t="s">
        <v>74</v>
      </c>
      <c r="BH183" t="s">
        <v>74</v>
      </c>
      <c r="BI183">
        <v>16</v>
      </c>
      <c r="BJ183" t="s">
        <v>2857</v>
      </c>
      <c r="BK183" t="s">
        <v>102</v>
      </c>
      <c r="BL183" t="s">
        <v>158</v>
      </c>
      <c r="BM183" t="s">
        <v>2858</v>
      </c>
      <c r="BN183" t="s">
        <v>74</v>
      </c>
      <c r="BO183" t="s">
        <v>3849</v>
      </c>
      <c r="BP183" t="s">
        <v>74</v>
      </c>
      <c r="BQ183" t="s">
        <v>74</v>
      </c>
      <c r="BR183" t="s">
        <v>106</v>
      </c>
      <c r="BS183" t="s">
        <v>3850</v>
      </c>
      <c r="BT183" t="str">
        <f>HYPERLINK("https%3A%2F%2Fwww.webofscience.com%2Fwos%2Fwoscc%2Ffull-record%2FWOS:000376226700013","View Full Record in Web of Science")</f>
        <v>View Full Record in Web of Science</v>
      </c>
    </row>
    <row r="184" spans="1:72" x14ac:dyDescent="0.15">
      <c r="A184" t="s">
        <v>72</v>
      </c>
      <c r="B184" t="s">
        <v>3851</v>
      </c>
      <c r="C184" t="s">
        <v>74</v>
      </c>
      <c r="D184" t="s">
        <v>74</v>
      </c>
      <c r="E184" t="s">
        <v>74</v>
      </c>
      <c r="F184" t="s">
        <v>3852</v>
      </c>
      <c r="G184" t="s">
        <v>74</v>
      </c>
      <c r="H184" t="s">
        <v>74</v>
      </c>
      <c r="I184" t="s">
        <v>3853</v>
      </c>
      <c r="J184" t="s">
        <v>2842</v>
      </c>
      <c r="K184" t="s">
        <v>74</v>
      </c>
      <c r="L184" t="s">
        <v>74</v>
      </c>
      <c r="M184" t="s">
        <v>78</v>
      </c>
      <c r="N184" t="s">
        <v>79</v>
      </c>
      <c r="O184" t="s">
        <v>74</v>
      </c>
      <c r="P184" t="s">
        <v>74</v>
      </c>
      <c r="Q184" t="s">
        <v>74</v>
      </c>
      <c r="R184" t="s">
        <v>74</v>
      </c>
      <c r="S184" t="s">
        <v>74</v>
      </c>
      <c r="T184" t="s">
        <v>74</v>
      </c>
      <c r="U184" t="s">
        <v>3854</v>
      </c>
      <c r="V184" t="s">
        <v>3855</v>
      </c>
      <c r="W184" t="s">
        <v>3856</v>
      </c>
      <c r="X184" t="s">
        <v>3857</v>
      </c>
      <c r="Y184" t="s">
        <v>3858</v>
      </c>
      <c r="Z184" t="s">
        <v>3859</v>
      </c>
      <c r="AA184" t="s">
        <v>74</v>
      </c>
      <c r="AB184" t="s">
        <v>74</v>
      </c>
      <c r="AC184" t="s">
        <v>3860</v>
      </c>
      <c r="AD184" t="s">
        <v>3861</v>
      </c>
      <c r="AE184" t="s">
        <v>3862</v>
      </c>
      <c r="AF184" t="s">
        <v>74</v>
      </c>
      <c r="AG184">
        <v>68</v>
      </c>
      <c r="AH184">
        <v>18</v>
      </c>
      <c r="AI184">
        <v>24</v>
      </c>
      <c r="AJ184">
        <v>1</v>
      </c>
      <c r="AK184">
        <v>32</v>
      </c>
      <c r="AL184" t="s">
        <v>454</v>
      </c>
      <c r="AM184" t="s">
        <v>455</v>
      </c>
      <c r="AN184" t="s">
        <v>456</v>
      </c>
      <c r="AO184" t="s">
        <v>2852</v>
      </c>
      <c r="AP184" t="s">
        <v>2853</v>
      </c>
      <c r="AQ184" t="s">
        <v>74</v>
      </c>
      <c r="AR184" t="s">
        <v>2854</v>
      </c>
      <c r="AS184" t="s">
        <v>2855</v>
      </c>
      <c r="AT184" t="s">
        <v>2239</v>
      </c>
      <c r="AU184">
        <v>2016</v>
      </c>
      <c r="AV184">
        <v>48</v>
      </c>
      <c r="AW184">
        <v>2</v>
      </c>
      <c r="AX184" t="s">
        <v>74</v>
      </c>
      <c r="AY184" t="s">
        <v>74</v>
      </c>
      <c r="AZ184" t="s">
        <v>74</v>
      </c>
      <c r="BA184" t="s">
        <v>74</v>
      </c>
      <c r="BB184">
        <v>427</v>
      </c>
      <c r="BC184">
        <v>444</v>
      </c>
      <c r="BD184" t="s">
        <v>74</v>
      </c>
      <c r="BE184" t="s">
        <v>3863</v>
      </c>
      <c r="BF184" t="str">
        <f>HYPERLINK("http://dx.doi.org/10.1657/AAAR0015-055","http://dx.doi.org/10.1657/AAAR0015-055")</f>
        <v>http://dx.doi.org/10.1657/AAAR0015-055</v>
      </c>
      <c r="BG184" t="s">
        <v>74</v>
      </c>
      <c r="BH184" t="s">
        <v>74</v>
      </c>
      <c r="BI184">
        <v>18</v>
      </c>
      <c r="BJ184" t="s">
        <v>2857</v>
      </c>
      <c r="BK184" t="s">
        <v>102</v>
      </c>
      <c r="BL184" t="s">
        <v>158</v>
      </c>
      <c r="BM184" t="s">
        <v>2858</v>
      </c>
      <c r="BN184" t="s">
        <v>74</v>
      </c>
      <c r="BO184" t="s">
        <v>293</v>
      </c>
      <c r="BP184" t="s">
        <v>74</v>
      </c>
      <c r="BQ184" t="s">
        <v>74</v>
      </c>
      <c r="BR184" t="s">
        <v>106</v>
      </c>
      <c r="BS184" t="s">
        <v>3864</v>
      </c>
      <c r="BT184" t="str">
        <f>HYPERLINK("https%3A%2F%2Fwww.webofscience.com%2Fwos%2Fwoscc%2Ffull-record%2FWOS:000376226700014","View Full Record in Web of Science")</f>
        <v>View Full Record in Web of Science</v>
      </c>
    </row>
    <row r="185" spans="1:72" x14ac:dyDescent="0.15">
      <c r="A185" t="s">
        <v>72</v>
      </c>
      <c r="B185" t="s">
        <v>3865</v>
      </c>
      <c r="C185" t="s">
        <v>74</v>
      </c>
      <c r="D185" t="s">
        <v>74</v>
      </c>
      <c r="E185" t="s">
        <v>74</v>
      </c>
      <c r="F185" t="s">
        <v>3866</v>
      </c>
      <c r="G185" t="s">
        <v>74</v>
      </c>
      <c r="H185" t="s">
        <v>74</v>
      </c>
      <c r="I185" t="s">
        <v>3867</v>
      </c>
      <c r="J185" t="s">
        <v>3868</v>
      </c>
      <c r="K185" t="s">
        <v>74</v>
      </c>
      <c r="L185" t="s">
        <v>74</v>
      </c>
      <c r="M185" t="s">
        <v>78</v>
      </c>
      <c r="N185" t="s">
        <v>79</v>
      </c>
      <c r="O185" t="s">
        <v>74</v>
      </c>
      <c r="P185" t="s">
        <v>74</v>
      </c>
      <c r="Q185" t="s">
        <v>74</v>
      </c>
      <c r="R185" t="s">
        <v>74</v>
      </c>
      <c r="S185" t="s">
        <v>74</v>
      </c>
      <c r="T185" t="s">
        <v>3869</v>
      </c>
      <c r="U185" t="s">
        <v>3870</v>
      </c>
      <c r="V185" t="s">
        <v>3871</v>
      </c>
      <c r="W185" t="s">
        <v>3872</v>
      </c>
      <c r="X185" t="s">
        <v>3873</v>
      </c>
      <c r="Y185" t="s">
        <v>3874</v>
      </c>
      <c r="Z185" t="s">
        <v>3875</v>
      </c>
      <c r="AA185" t="s">
        <v>3876</v>
      </c>
      <c r="AB185" t="s">
        <v>3877</v>
      </c>
      <c r="AC185" t="s">
        <v>3878</v>
      </c>
      <c r="AD185" t="s">
        <v>3879</v>
      </c>
      <c r="AE185" t="s">
        <v>3880</v>
      </c>
      <c r="AF185" t="s">
        <v>74</v>
      </c>
      <c r="AG185">
        <v>47</v>
      </c>
      <c r="AH185">
        <v>164</v>
      </c>
      <c r="AI185">
        <v>217</v>
      </c>
      <c r="AJ185">
        <v>8</v>
      </c>
      <c r="AK185">
        <v>242</v>
      </c>
      <c r="AL185" t="s">
        <v>678</v>
      </c>
      <c r="AM185" t="s">
        <v>679</v>
      </c>
      <c r="AN185" t="s">
        <v>680</v>
      </c>
      <c r="AO185" t="s">
        <v>3881</v>
      </c>
      <c r="AP185" t="s">
        <v>3882</v>
      </c>
      <c r="AQ185" t="s">
        <v>74</v>
      </c>
      <c r="AR185" t="s">
        <v>3883</v>
      </c>
      <c r="AS185" t="s">
        <v>3884</v>
      </c>
      <c r="AT185" t="s">
        <v>2239</v>
      </c>
      <c r="AU185">
        <v>2016</v>
      </c>
      <c r="AV185">
        <v>197</v>
      </c>
      <c r="AW185" t="s">
        <v>74</v>
      </c>
      <c r="AX185" t="s">
        <v>74</v>
      </c>
      <c r="AY185" t="s">
        <v>74</v>
      </c>
      <c r="AZ185" t="s">
        <v>74</v>
      </c>
      <c r="BA185" t="s">
        <v>74</v>
      </c>
      <c r="BB185">
        <v>131</v>
      </c>
      <c r="BC185">
        <v>138</v>
      </c>
      <c r="BD185" t="s">
        <v>74</v>
      </c>
      <c r="BE185" t="s">
        <v>3885</v>
      </c>
      <c r="BF185" t="str">
        <f>HYPERLINK("http://dx.doi.org/10.1016/j.biocon.2016.03.010","http://dx.doi.org/10.1016/j.biocon.2016.03.010")</f>
        <v>http://dx.doi.org/10.1016/j.biocon.2016.03.010</v>
      </c>
      <c r="BG185" t="s">
        <v>74</v>
      </c>
      <c r="BH185" t="s">
        <v>74</v>
      </c>
      <c r="BI185">
        <v>8</v>
      </c>
      <c r="BJ185" t="s">
        <v>132</v>
      </c>
      <c r="BK185" t="s">
        <v>102</v>
      </c>
      <c r="BL185" t="s">
        <v>133</v>
      </c>
      <c r="BM185" t="s">
        <v>3886</v>
      </c>
      <c r="BN185" t="s">
        <v>74</v>
      </c>
      <c r="BO185" t="s">
        <v>74</v>
      </c>
      <c r="BP185" t="s">
        <v>74</v>
      </c>
      <c r="BQ185" t="s">
        <v>74</v>
      </c>
      <c r="BR185" t="s">
        <v>106</v>
      </c>
      <c r="BS185" t="s">
        <v>3887</v>
      </c>
      <c r="BT185" t="str">
        <f>HYPERLINK("https%3A%2F%2Fwww.webofscience.com%2Fwos%2Fwoscc%2Ffull-record%2FWOS:000376798800017","View Full Record in Web of Science")</f>
        <v>View Full Record in Web of Science</v>
      </c>
    </row>
    <row r="186" spans="1:72" x14ac:dyDescent="0.15">
      <c r="A186" t="s">
        <v>72</v>
      </c>
      <c r="B186" t="s">
        <v>3888</v>
      </c>
      <c r="C186" t="s">
        <v>74</v>
      </c>
      <c r="D186" t="s">
        <v>74</v>
      </c>
      <c r="E186" t="s">
        <v>74</v>
      </c>
      <c r="F186" t="s">
        <v>3889</v>
      </c>
      <c r="G186" t="s">
        <v>74</v>
      </c>
      <c r="H186" t="s">
        <v>74</v>
      </c>
      <c r="I186" t="s">
        <v>3890</v>
      </c>
      <c r="J186" t="s">
        <v>3891</v>
      </c>
      <c r="K186" t="s">
        <v>74</v>
      </c>
      <c r="L186" t="s">
        <v>74</v>
      </c>
      <c r="M186" t="s">
        <v>78</v>
      </c>
      <c r="N186" t="s">
        <v>79</v>
      </c>
      <c r="O186" t="s">
        <v>74</v>
      </c>
      <c r="P186" t="s">
        <v>74</v>
      </c>
      <c r="Q186" t="s">
        <v>74</v>
      </c>
      <c r="R186" t="s">
        <v>74</v>
      </c>
      <c r="S186" t="s">
        <v>74</v>
      </c>
      <c r="T186" t="s">
        <v>3892</v>
      </c>
      <c r="U186" t="s">
        <v>3893</v>
      </c>
      <c r="V186" t="s">
        <v>3894</v>
      </c>
      <c r="W186" t="s">
        <v>3895</v>
      </c>
      <c r="X186" t="s">
        <v>3896</v>
      </c>
      <c r="Y186" t="s">
        <v>3897</v>
      </c>
      <c r="Z186" t="s">
        <v>3898</v>
      </c>
      <c r="AA186" t="s">
        <v>74</v>
      </c>
      <c r="AB186" t="s">
        <v>74</v>
      </c>
      <c r="AC186" t="s">
        <v>3899</v>
      </c>
      <c r="AD186" t="s">
        <v>3900</v>
      </c>
      <c r="AE186" t="s">
        <v>3901</v>
      </c>
      <c r="AF186" t="s">
        <v>74</v>
      </c>
      <c r="AG186">
        <v>35</v>
      </c>
      <c r="AH186">
        <v>19</v>
      </c>
      <c r="AI186">
        <v>19</v>
      </c>
      <c r="AJ186">
        <v>2</v>
      </c>
      <c r="AK186">
        <v>17</v>
      </c>
      <c r="AL186" t="s">
        <v>1829</v>
      </c>
      <c r="AM186" t="s">
        <v>679</v>
      </c>
      <c r="AN186" t="s">
        <v>1830</v>
      </c>
      <c r="AO186" t="s">
        <v>3902</v>
      </c>
      <c r="AP186" t="s">
        <v>3903</v>
      </c>
      <c r="AQ186" t="s">
        <v>74</v>
      </c>
      <c r="AR186" t="s">
        <v>3904</v>
      </c>
      <c r="AS186" t="s">
        <v>3905</v>
      </c>
      <c r="AT186" t="s">
        <v>2239</v>
      </c>
      <c r="AU186">
        <v>2016</v>
      </c>
      <c r="AV186">
        <v>111</v>
      </c>
      <c r="AW186" t="s">
        <v>74</v>
      </c>
      <c r="AX186" t="s">
        <v>74</v>
      </c>
      <c r="AY186" t="s">
        <v>74</v>
      </c>
      <c r="AZ186" t="s">
        <v>74</v>
      </c>
      <c r="BA186" t="s">
        <v>74</v>
      </c>
      <c r="BB186">
        <v>79</v>
      </c>
      <c r="BC186">
        <v>90</v>
      </c>
      <c r="BD186" t="s">
        <v>74</v>
      </c>
      <c r="BE186" t="s">
        <v>3906</v>
      </c>
      <c r="BF186" t="str">
        <f>HYPERLINK("http://dx.doi.org/10.1016/j.dsr.2016.02.009","http://dx.doi.org/10.1016/j.dsr.2016.02.009")</f>
        <v>http://dx.doi.org/10.1016/j.dsr.2016.02.009</v>
      </c>
      <c r="BG186" t="s">
        <v>74</v>
      </c>
      <c r="BH186" t="s">
        <v>74</v>
      </c>
      <c r="BI186">
        <v>12</v>
      </c>
      <c r="BJ186" t="s">
        <v>361</v>
      </c>
      <c r="BK186" t="s">
        <v>102</v>
      </c>
      <c r="BL186" t="s">
        <v>361</v>
      </c>
      <c r="BM186" t="s">
        <v>3907</v>
      </c>
      <c r="BN186" t="s">
        <v>74</v>
      </c>
      <c r="BO186" t="s">
        <v>3908</v>
      </c>
      <c r="BP186" t="s">
        <v>74</v>
      </c>
      <c r="BQ186" t="s">
        <v>74</v>
      </c>
      <c r="BR186" t="s">
        <v>106</v>
      </c>
      <c r="BS186" t="s">
        <v>3909</v>
      </c>
      <c r="BT186" t="str">
        <f>HYPERLINK("https%3A%2F%2Fwww.webofscience.com%2Fwos%2Fwoscc%2Ffull-record%2FWOS:000375161500009","View Full Record in Web of Science")</f>
        <v>View Full Record in Web of Science</v>
      </c>
    </row>
    <row r="187" spans="1:72" x14ac:dyDescent="0.15">
      <c r="A187" t="s">
        <v>72</v>
      </c>
      <c r="B187" t="s">
        <v>3910</v>
      </c>
      <c r="C187" t="s">
        <v>74</v>
      </c>
      <c r="D187" t="s">
        <v>74</v>
      </c>
      <c r="E187" t="s">
        <v>74</v>
      </c>
      <c r="F187" t="s">
        <v>3911</v>
      </c>
      <c r="G187" t="s">
        <v>74</v>
      </c>
      <c r="H187" t="s">
        <v>74</v>
      </c>
      <c r="I187" t="s">
        <v>3912</v>
      </c>
      <c r="J187" t="s">
        <v>3891</v>
      </c>
      <c r="K187" t="s">
        <v>74</v>
      </c>
      <c r="L187" t="s">
        <v>74</v>
      </c>
      <c r="M187" t="s">
        <v>78</v>
      </c>
      <c r="N187" t="s">
        <v>79</v>
      </c>
      <c r="O187" t="s">
        <v>74</v>
      </c>
      <c r="P187" t="s">
        <v>74</v>
      </c>
      <c r="Q187" t="s">
        <v>74</v>
      </c>
      <c r="R187" t="s">
        <v>74</v>
      </c>
      <c r="S187" t="s">
        <v>74</v>
      </c>
      <c r="T187" t="s">
        <v>3913</v>
      </c>
      <c r="U187" t="s">
        <v>3914</v>
      </c>
      <c r="V187" t="s">
        <v>3915</v>
      </c>
      <c r="W187" t="s">
        <v>3916</v>
      </c>
      <c r="X187" t="s">
        <v>3917</v>
      </c>
      <c r="Y187" t="s">
        <v>3918</v>
      </c>
      <c r="Z187" t="s">
        <v>3919</v>
      </c>
      <c r="AA187" t="s">
        <v>3920</v>
      </c>
      <c r="AB187" t="s">
        <v>3921</v>
      </c>
      <c r="AC187" t="s">
        <v>3922</v>
      </c>
      <c r="AD187" t="s">
        <v>3923</v>
      </c>
      <c r="AE187" t="s">
        <v>3924</v>
      </c>
      <c r="AF187" t="s">
        <v>74</v>
      </c>
      <c r="AG187">
        <v>113</v>
      </c>
      <c r="AH187">
        <v>26</v>
      </c>
      <c r="AI187">
        <v>29</v>
      </c>
      <c r="AJ187">
        <v>2</v>
      </c>
      <c r="AK187">
        <v>32</v>
      </c>
      <c r="AL187" t="s">
        <v>1829</v>
      </c>
      <c r="AM187" t="s">
        <v>679</v>
      </c>
      <c r="AN187" t="s">
        <v>1830</v>
      </c>
      <c r="AO187" t="s">
        <v>3902</v>
      </c>
      <c r="AP187" t="s">
        <v>3903</v>
      </c>
      <c r="AQ187" t="s">
        <v>74</v>
      </c>
      <c r="AR187" t="s">
        <v>3904</v>
      </c>
      <c r="AS187" t="s">
        <v>3905</v>
      </c>
      <c r="AT187" t="s">
        <v>2239</v>
      </c>
      <c r="AU187">
        <v>2016</v>
      </c>
      <c r="AV187">
        <v>111</v>
      </c>
      <c r="AW187" t="s">
        <v>74</v>
      </c>
      <c r="AX187" t="s">
        <v>74</v>
      </c>
      <c r="AY187" t="s">
        <v>74</v>
      </c>
      <c r="AZ187" t="s">
        <v>74</v>
      </c>
      <c r="BA187" t="s">
        <v>74</v>
      </c>
      <c r="BB187">
        <v>91</v>
      </c>
      <c r="BC187">
        <v>101</v>
      </c>
      <c r="BD187" t="s">
        <v>74</v>
      </c>
      <c r="BE187" t="s">
        <v>3925</v>
      </c>
      <c r="BF187" t="str">
        <f>HYPERLINK("http://dx.doi.org/10.1016/j.dsr.2016.02.017","http://dx.doi.org/10.1016/j.dsr.2016.02.017")</f>
        <v>http://dx.doi.org/10.1016/j.dsr.2016.02.017</v>
      </c>
      <c r="BG187" t="s">
        <v>74</v>
      </c>
      <c r="BH187" t="s">
        <v>74</v>
      </c>
      <c r="BI187">
        <v>11</v>
      </c>
      <c r="BJ187" t="s">
        <v>361</v>
      </c>
      <c r="BK187" t="s">
        <v>102</v>
      </c>
      <c r="BL187" t="s">
        <v>361</v>
      </c>
      <c r="BM187" t="s">
        <v>3907</v>
      </c>
      <c r="BN187" t="s">
        <v>74</v>
      </c>
      <c r="BO187" t="s">
        <v>2559</v>
      </c>
      <c r="BP187" t="s">
        <v>74</v>
      </c>
      <c r="BQ187" t="s">
        <v>74</v>
      </c>
      <c r="BR187" t="s">
        <v>106</v>
      </c>
      <c r="BS187" t="s">
        <v>3926</v>
      </c>
      <c r="BT187" t="str">
        <f>HYPERLINK("https%3A%2F%2Fwww.webofscience.com%2Fwos%2Fwoscc%2Ffull-record%2FWOS:000375161500010","View Full Record in Web of Science")</f>
        <v>View Full Record in Web of Science</v>
      </c>
    </row>
    <row r="188" spans="1:72" x14ac:dyDescent="0.15">
      <c r="A188" t="s">
        <v>72</v>
      </c>
      <c r="B188" t="s">
        <v>3927</v>
      </c>
      <c r="C188" t="s">
        <v>74</v>
      </c>
      <c r="D188" t="s">
        <v>74</v>
      </c>
      <c r="E188" t="s">
        <v>74</v>
      </c>
      <c r="F188" t="s">
        <v>3928</v>
      </c>
      <c r="G188" t="s">
        <v>74</v>
      </c>
      <c r="H188" t="s">
        <v>74</v>
      </c>
      <c r="I188" t="s">
        <v>3929</v>
      </c>
      <c r="J188" t="s">
        <v>3930</v>
      </c>
      <c r="K188" t="s">
        <v>74</v>
      </c>
      <c r="L188" t="s">
        <v>74</v>
      </c>
      <c r="M188" t="s">
        <v>78</v>
      </c>
      <c r="N188" t="s">
        <v>573</v>
      </c>
      <c r="O188" t="s">
        <v>74</v>
      </c>
      <c r="P188" t="s">
        <v>74</v>
      </c>
      <c r="Q188" t="s">
        <v>74</v>
      </c>
      <c r="R188" t="s">
        <v>74</v>
      </c>
      <c r="S188" t="s">
        <v>74</v>
      </c>
      <c r="T188" t="s">
        <v>74</v>
      </c>
      <c r="U188" t="s">
        <v>3931</v>
      </c>
      <c r="V188" t="s">
        <v>74</v>
      </c>
      <c r="W188" t="s">
        <v>3932</v>
      </c>
      <c r="X188" t="s">
        <v>3933</v>
      </c>
      <c r="Y188" t="s">
        <v>3934</v>
      </c>
      <c r="Z188" t="s">
        <v>74</v>
      </c>
      <c r="AA188" t="s">
        <v>74</v>
      </c>
      <c r="AB188" t="s">
        <v>3935</v>
      </c>
      <c r="AC188" t="s">
        <v>3936</v>
      </c>
      <c r="AD188" t="s">
        <v>333</v>
      </c>
      <c r="AE188" t="s">
        <v>74</v>
      </c>
      <c r="AF188" t="s">
        <v>74</v>
      </c>
      <c r="AG188">
        <v>12</v>
      </c>
      <c r="AH188">
        <v>1</v>
      </c>
      <c r="AI188">
        <v>1</v>
      </c>
      <c r="AJ188">
        <v>0</v>
      </c>
      <c r="AK188">
        <v>8</v>
      </c>
      <c r="AL188" t="s">
        <v>1829</v>
      </c>
      <c r="AM188" t="s">
        <v>679</v>
      </c>
      <c r="AN188" t="s">
        <v>1830</v>
      </c>
      <c r="AO188" t="s">
        <v>3937</v>
      </c>
      <c r="AP188" t="s">
        <v>3938</v>
      </c>
      <c r="AQ188" t="s">
        <v>74</v>
      </c>
      <c r="AR188" t="s">
        <v>3939</v>
      </c>
      <c r="AS188" t="s">
        <v>3940</v>
      </c>
      <c r="AT188" t="s">
        <v>2239</v>
      </c>
      <c r="AU188">
        <v>2016</v>
      </c>
      <c r="AV188">
        <v>127</v>
      </c>
      <c r="AW188" t="s">
        <v>74</v>
      </c>
      <c r="AX188" t="s">
        <v>74</v>
      </c>
      <c r="AY188" t="s">
        <v>74</v>
      </c>
      <c r="AZ188" t="s">
        <v>74</v>
      </c>
      <c r="BA188" t="s">
        <v>74</v>
      </c>
      <c r="BB188">
        <v>1</v>
      </c>
      <c r="BC188">
        <v>6</v>
      </c>
      <c r="BD188" t="s">
        <v>74</v>
      </c>
      <c r="BE188" t="s">
        <v>3941</v>
      </c>
      <c r="BF188" t="str">
        <f>HYPERLINK("http://dx.doi.org/10.1016/j.dsr2.2016.02.009","http://dx.doi.org/10.1016/j.dsr2.2016.02.009")</f>
        <v>http://dx.doi.org/10.1016/j.dsr2.2016.02.009</v>
      </c>
      <c r="BG188" t="s">
        <v>74</v>
      </c>
      <c r="BH188" t="s">
        <v>74</v>
      </c>
      <c r="BI188">
        <v>6</v>
      </c>
      <c r="BJ188" t="s">
        <v>361</v>
      </c>
      <c r="BK188" t="s">
        <v>102</v>
      </c>
      <c r="BL188" t="s">
        <v>361</v>
      </c>
      <c r="BM188" t="s">
        <v>3942</v>
      </c>
      <c r="BN188" t="s">
        <v>74</v>
      </c>
      <c r="BO188" t="s">
        <v>203</v>
      </c>
      <c r="BP188" t="s">
        <v>74</v>
      </c>
      <c r="BQ188" t="s">
        <v>74</v>
      </c>
      <c r="BR188" t="s">
        <v>106</v>
      </c>
      <c r="BS188" t="s">
        <v>3943</v>
      </c>
      <c r="BT188" t="str">
        <f>HYPERLINK("https%3A%2F%2Fwww.webofscience.com%2Fwos%2Fwoscc%2Ffull-record%2FWOS:000376545500001","View Full Record in Web of Science")</f>
        <v>View Full Record in Web of Science</v>
      </c>
    </row>
    <row r="189" spans="1:72" x14ac:dyDescent="0.15">
      <c r="A189" t="s">
        <v>72</v>
      </c>
      <c r="B189" t="s">
        <v>3944</v>
      </c>
      <c r="C189" t="s">
        <v>74</v>
      </c>
      <c r="D189" t="s">
        <v>74</v>
      </c>
      <c r="E189" t="s">
        <v>74</v>
      </c>
      <c r="F189" t="s">
        <v>3945</v>
      </c>
      <c r="G189" t="s">
        <v>74</v>
      </c>
      <c r="H189" t="s">
        <v>74</v>
      </c>
      <c r="I189" t="s">
        <v>3946</v>
      </c>
      <c r="J189" t="s">
        <v>3930</v>
      </c>
      <c r="K189" t="s">
        <v>74</v>
      </c>
      <c r="L189" t="s">
        <v>74</v>
      </c>
      <c r="M189" t="s">
        <v>78</v>
      </c>
      <c r="N189" t="s">
        <v>79</v>
      </c>
      <c r="O189" t="s">
        <v>74</v>
      </c>
      <c r="P189" t="s">
        <v>74</v>
      </c>
      <c r="Q189" t="s">
        <v>74</v>
      </c>
      <c r="R189" t="s">
        <v>74</v>
      </c>
      <c r="S189" t="s">
        <v>74</v>
      </c>
      <c r="T189" t="s">
        <v>3947</v>
      </c>
      <c r="U189" t="s">
        <v>3948</v>
      </c>
      <c r="V189" t="s">
        <v>3949</v>
      </c>
      <c r="W189" t="s">
        <v>3950</v>
      </c>
      <c r="X189" t="s">
        <v>3951</v>
      </c>
      <c r="Y189" t="s">
        <v>3952</v>
      </c>
      <c r="Z189" t="s">
        <v>3953</v>
      </c>
      <c r="AA189" t="s">
        <v>3954</v>
      </c>
      <c r="AB189" t="s">
        <v>3955</v>
      </c>
      <c r="AC189" t="s">
        <v>3956</v>
      </c>
      <c r="AD189" t="s">
        <v>3957</v>
      </c>
      <c r="AE189" t="s">
        <v>3958</v>
      </c>
      <c r="AF189" t="s">
        <v>74</v>
      </c>
      <c r="AG189">
        <v>151</v>
      </c>
      <c r="AH189">
        <v>28</v>
      </c>
      <c r="AI189">
        <v>28</v>
      </c>
      <c r="AJ189">
        <v>0</v>
      </c>
      <c r="AK189">
        <v>39</v>
      </c>
      <c r="AL189" t="s">
        <v>1829</v>
      </c>
      <c r="AM189" t="s">
        <v>679</v>
      </c>
      <c r="AN189" t="s">
        <v>1830</v>
      </c>
      <c r="AO189" t="s">
        <v>3937</v>
      </c>
      <c r="AP189" t="s">
        <v>3938</v>
      </c>
      <c r="AQ189" t="s">
        <v>74</v>
      </c>
      <c r="AR189" t="s">
        <v>3939</v>
      </c>
      <c r="AS189" t="s">
        <v>3940</v>
      </c>
      <c r="AT189" t="s">
        <v>2239</v>
      </c>
      <c r="AU189">
        <v>2016</v>
      </c>
      <c r="AV189">
        <v>127</v>
      </c>
      <c r="AW189" t="s">
        <v>74</v>
      </c>
      <c r="AX189" t="s">
        <v>74</v>
      </c>
      <c r="AY189" t="s">
        <v>74</v>
      </c>
      <c r="AZ189" t="s">
        <v>74</v>
      </c>
      <c r="BA189" t="s">
        <v>74</v>
      </c>
      <c r="BB189">
        <v>7</v>
      </c>
      <c r="BC189">
        <v>27</v>
      </c>
      <c r="BD189" t="s">
        <v>74</v>
      </c>
      <c r="BE189" t="s">
        <v>3959</v>
      </c>
      <c r="BF189" t="str">
        <f>HYPERLINK("http://dx.doi.org/10.1016/j.dsr2.2016.01.001","http://dx.doi.org/10.1016/j.dsr2.2016.01.001")</f>
        <v>http://dx.doi.org/10.1016/j.dsr2.2016.01.001</v>
      </c>
      <c r="BG189" t="s">
        <v>74</v>
      </c>
      <c r="BH189" t="s">
        <v>74</v>
      </c>
      <c r="BI189">
        <v>21</v>
      </c>
      <c r="BJ189" t="s">
        <v>361</v>
      </c>
      <c r="BK189" t="s">
        <v>102</v>
      </c>
      <c r="BL189" t="s">
        <v>361</v>
      </c>
      <c r="BM189" t="s">
        <v>3942</v>
      </c>
      <c r="BN189" t="s">
        <v>74</v>
      </c>
      <c r="BO189" t="s">
        <v>203</v>
      </c>
      <c r="BP189" t="s">
        <v>74</v>
      </c>
      <c r="BQ189" t="s">
        <v>74</v>
      </c>
      <c r="BR189" t="s">
        <v>106</v>
      </c>
      <c r="BS189" t="s">
        <v>3960</v>
      </c>
      <c r="BT189" t="str">
        <f>HYPERLINK("https%3A%2F%2Fwww.webofscience.com%2Fwos%2Fwoscc%2Ffull-record%2FWOS:000376545500002","View Full Record in Web of Science")</f>
        <v>View Full Record in Web of Science</v>
      </c>
    </row>
    <row r="190" spans="1:72" x14ac:dyDescent="0.15">
      <c r="A190" t="s">
        <v>72</v>
      </c>
      <c r="B190" t="s">
        <v>3961</v>
      </c>
      <c r="C190" t="s">
        <v>74</v>
      </c>
      <c r="D190" t="s">
        <v>74</v>
      </c>
      <c r="E190" t="s">
        <v>74</v>
      </c>
      <c r="F190" t="s">
        <v>3962</v>
      </c>
      <c r="G190" t="s">
        <v>74</v>
      </c>
      <c r="H190" t="s">
        <v>74</v>
      </c>
      <c r="I190" t="s">
        <v>3963</v>
      </c>
      <c r="J190" t="s">
        <v>3930</v>
      </c>
      <c r="K190" t="s">
        <v>74</v>
      </c>
      <c r="L190" t="s">
        <v>74</v>
      </c>
      <c r="M190" t="s">
        <v>78</v>
      </c>
      <c r="N190" t="s">
        <v>79</v>
      </c>
      <c r="O190" t="s">
        <v>74</v>
      </c>
      <c r="P190" t="s">
        <v>74</v>
      </c>
      <c r="Q190" t="s">
        <v>74</v>
      </c>
      <c r="R190" t="s">
        <v>74</v>
      </c>
      <c r="S190" t="s">
        <v>74</v>
      </c>
      <c r="T190" t="s">
        <v>3964</v>
      </c>
      <c r="U190" t="s">
        <v>3965</v>
      </c>
      <c r="V190" t="s">
        <v>3966</v>
      </c>
      <c r="W190" t="s">
        <v>3967</v>
      </c>
      <c r="X190" t="s">
        <v>3968</v>
      </c>
      <c r="Y190" t="s">
        <v>3969</v>
      </c>
      <c r="Z190" t="s">
        <v>3970</v>
      </c>
      <c r="AA190" t="s">
        <v>148</v>
      </c>
      <c r="AB190" t="s">
        <v>3971</v>
      </c>
      <c r="AC190" t="s">
        <v>3972</v>
      </c>
      <c r="AD190" t="s">
        <v>3973</v>
      </c>
      <c r="AE190" t="s">
        <v>3974</v>
      </c>
      <c r="AF190" t="s">
        <v>74</v>
      </c>
      <c r="AG190">
        <v>50</v>
      </c>
      <c r="AH190">
        <v>45</v>
      </c>
      <c r="AI190">
        <v>49</v>
      </c>
      <c r="AJ190">
        <v>1</v>
      </c>
      <c r="AK190">
        <v>25</v>
      </c>
      <c r="AL190" t="s">
        <v>1829</v>
      </c>
      <c r="AM190" t="s">
        <v>679</v>
      </c>
      <c r="AN190" t="s">
        <v>1830</v>
      </c>
      <c r="AO190" t="s">
        <v>3937</v>
      </c>
      <c r="AP190" t="s">
        <v>3938</v>
      </c>
      <c r="AQ190" t="s">
        <v>74</v>
      </c>
      <c r="AR190" t="s">
        <v>3939</v>
      </c>
      <c r="AS190" t="s">
        <v>3940</v>
      </c>
      <c r="AT190" t="s">
        <v>2239</v>
      </c>
      <c r="AU190">
        <v>2016</v>
      </c>
      <c r="AV190">
        <v>127</v>
      </c>
      <c r="AW190" t="s">
        <v>74</v>
      </c>
      <c r="AX190" t="s">
        <v>74</v>
      </c>
      <c r="AY190" t="s">
        <v>74</v>
      </c>
      <c r="AZ190" t="s">
        <v>74</v>
      </c>
      <c r="BA190" t="s">
        <v>74</v>
      </c>
      <c r="BB190">
        <v>41</v>
      </c>
      <c r="BC190">
        <v>52</v>
      </c>
      <c r="BD190" t="s">
        <v>74</v>
      </c>
      <c r="BE190" t="s">
        <v>3975</v>
      </c>
      <c r="BF190" t="str">
        <f>HYPERLINK("http://dx.doi.org/10.1016/j.dsr2.2015.12.005","http://dx.doi.org/10.1016/j.dsr2.2015.12.005")</f>
        <v>http://dx.doi.org/10.1016/j.dsr2.2015.12.005</v>
      </c>
      <c r="BG190" t="s">
        <v>74</v>
      </c>
      <c r="BH190" t="s">
        <v>74</v>
      </c>
      <c r="BI190">
        <v>12</v>
      </c>
      <c r="BJ190" t="s">
        <v>361</v>
      </c>
      <c r="BK190" t="s">
        <v>102</v>
      </c>
      <c r="BL190" t="s">
        <v>361</v>
      </c>
      <c r="BM190" t="s">
        <v>3942</v>
      </c>
      <c r="BN190" t="s">
        <v>74</v>
      </c>
      <c r="BO190" t="s">
        <v>380</v>
      </c>
      <c r="BP190" t="s">
        <v>74</v>
      </c>
      <c r="BQ190" t="s">
        <v>74</v>
      </c>
      <c r="BR190" t="s">
        <v>106</v>
      </c>
      <c r="BS190" t="s">
        <v>3976</v>
      </c>
      <c r="BT190" t="str">
        <f>HYPERLINK("https%3A%2F%2Fwww.webofscience.com%2Fwos%2Fwoscc%2Ffull-record%2FWOS:000376545500004","View Full Record in Web of Science")</f>
        <v>View Full Record in Web of Science</v>
      </c>
    </row>
    <row r="191" spans="1:72" x14ac:dyDescent="0.15">
      <c r="A191" t="s">
        <v>72</v>
      </c>
      <c r="B191" t="s">
        <v>3977</v>
      </c>
      <c r="C191" t="s">
        <v>74</v>
      </c>
      <c r="D191" t="s">
        <v>74</v>
      </c>
      <c r="E191" t="s">
        <v>74</v>
      </c>
      <c r="F191" t="s">
        <v>3978</v>
      </c>
      <c r="G191" t="s">
        <v>74</v>
      </c>
      <c r="H191" t="s">
        <v>74</v>
      </c>
      <c r="I191" t="s">
        <v>3979</v>
      </c>
      <c r="J191" t="s">
        <v>3930</v>
      </c>
      <c r="K191" t="s">
        <v>74</v>
      </c>
      <c r="L191" t="s">
        <v>74</v>
      </c>
      <c r="M191" t="s">
        <v>78</v>
      </c>
      <c r="N191" t="s">
        <v>573</v>
      </c>
      <c r="O191" t="s">
        <v>74</v>
      </c>
      <c r="P191" t="s">
        <v>74</v>
      </c>
      <c r="Q191" t="s">
        <v>74</v>
      </c>
      <c r="R191" t="s">
        <v>74</v>
      </c>
      <c r="S191" t="s">
        <v>74</v>
      </c>
      <c r="T191" t="s">
        <v>74</v>
      </c>
      <c r="U191" t="s">
        <v>74</v>
      </c>
      <c r="V191" t="s">
        <v>74</v>
      </c>
      <c r="W191" t="s">
        <v>3980</v>
      </c>
      <c r="X191" t="s">
        <v>3981</v>
      </c>
      <c r="Y191" t="s">
        <v>3982</v>
      </c>
      <c r="Z191" t="s">
        <v>3970</v>
      </c>
      <c r="AA191" t="s">
        <v>148</v>
      </c>
      <c r="AB191" t="s">
        <v>74</v>
      </c>
      <c r="AC191" t="s">
        <v>3983</v>
      </c>
      <c r="AD191" t="s">
        <v>510</v>
      </c>
      <c r="AE191" t="s">
        <v>74</v>
      </c>
      <c r="AF191" t="s">
        <v>74</v>
      </c>
      <c r="AG191">
        <v>7</v>
      </c>
      <c r="AH191">
        <v>12</v>
      </c>
      <c r="AI191">
        <v>13</v>
      </c>
      <c r="AJ191">
        <v>0</v>
      </c>
      <c r="AK191">
        <v>10</v>
      </c>
      <c r="AL191" t="s">
        <v>1829</v>
      </c>
      <c r="AM191" t="s">
        <v>679</v>
      </c>
      <c r="AN191" t="s">
        <v>1830</v>
      </c>
      <c r="AO191" t="s">
        <v>3937</v>
      </c>
      <c r="AP191" t="s">
        <v>3938</v>
      </c>
      <c r="AQ191" t="s">
        <v>74</v>
      </c>
      <c r="AR191" t="s">
        <v>3939</v>
      </c>
      <c r="AS191" t="s">
        <v>3940</v>
      </c>
      <c r="AT191" t="s">
        <v>2239</v>
      </c>
      <c r="AU191">
        <v>2016</v>
      </c>
      <c r="AV191">
        <v>127</v>
      </c>
      <c r="AW191" t="s">
        <v>74</v>
      </c>
      <c r="AX191" t="s">
        <v>74</v>
      </c>
      <c r="AY191" t="s">
        <v>74</v>
      </c>
      <c r="AZ191" t="s">
        <v>74</v>
      </c>
      <c r="BA191" t="s">
        <v>74</v>
      </c>
      <c r="BB191">
        <v>57</v>
      </c>
      <c r="BC191">
        <v>59</v>
      </c>
      <c r="BD191" t="s">
        <v>74</v>
      </c>
      <c r="BE191" t="s">
        <v>3984</v>
      </c>
      <c r="BF191" t="str">
        <f>HYPERLINK("http://dx.doi.org/10.1016/j.dsr2.2016.03.007","http://dx.doi.org/10.1016/j.dsr2.2016.03.007")</f>
        <v>http://dx.doi.org/10.1016/j.dsr2.2016.03.007</v>
      </c>
      <c r="BG191" t="s">
        <v>74</v>
      </c>
      <c r="BH191" t="s">
        <v>74</v>
      </c>
      <c r="BI191">
        <v>3</v>
      </c>
      <c r="BJ191" t="s">
        <v>361</v>
      </c>
      <c r="BK191" t="s">
        <v>102</v>
      </c>
      <c r="BL191" t="s">
        <v>361</v>
      </c>
      <c r="BM191" t="s">
        <v>3942</v>
      </c>
      <c r="BN191" t="s">
        <v>74</v>
      </c>
      <c r="BO191" t="s">
        <v>380</v>
      </c>
      <c r="BP191" t="s">
        <v>74</v>
      </c>
      <c r="BQ191" t="s">
        <v>74</v>
      </c>
      <c r="BR191" t="s">
        <v>106</v>
      </c>
      <c r="BS191" t="s">
        <v>3985</v>
      </c>
      <c r="BT191" t="str">
        <f>HYPERLINK("https%3A%2F%2Fwww.webofscience.com%2Fwos%2Fwoscc%2Ffull-record%2FWOS:000376545500006","View Full Record in Web of Science")</f>
        <v>View Full Record in Web of Science</v>
      </c>
    </row>
    <row r="192" spans="1:72" x14ac:dyDescent="0.15">
      <c r="A192" t="s">
        <v>72</v>
      </c>
      <c r="B192" t="s">
        <v>3986</v>
      </c>
      <c r="C192" t="s">
        <v>74</v>
      </c>
      <c r="D192" t="s">
        <v>74</v>
      </c>
      <c r="E192" t="s">
        <v>74</v>
      </c>
      <c r="F192" t="s">
        <v>3987</v>
      </c>
      <c r="G192" t="s">
        <v>74</v>
      </c>
      <c r="H192" t="s">
        <v>74</v>
      </c>
      <c r="I192" t="s">
        <v>3988</v>
      </c>
      <c r="J192" t="s">
        <v>3930</v>
      </c>
      <c r="K192" t="s">
        <v>74</v>
      </c>
      <c r="L192" t="s">
        <v>74</v>
      </c>
      <c r="M192" t="s">
        <v>78</v>
      </c>
      <c r="N192" t="s">
        <v>79</v>
      </c>
      <c r="O192" t="s">
        <v>74</v>
      </c>
      <c r="P192" t="s">
        <v>74</v>
      </c>
      <c r="Q192" t="s">
        <v>74</v>
      </c>
      <c r="R192" t="s">
        <v>74</v>
      </c>
      <c r="S192" t="s">
        <v>74</v>
      </c>
      <c r="T192" t="s">
        <v>3989</v>
      </c>
      <c r="U192" t="s">
        <v>3990</v>
      </c>
      <c r="V192" t="s">
        <v>3991</v>
      </c>
      <c r="W192" t="s">
        <v>3992</v>
      </c>
      <c r="X192" t="s">
        <v>3993</v>
      </c>
      <c r="Y192" t="s">
        <v>3994</v>
      </c>
      <c r="Z192" t="s">
        <v>3995</v>
      </c>
      <c r="AA192" t="s">
        <v>3996</v>
      </c>
      <c r="AB192" t="s">
        <v>3997</v>
      </c>
      <c r="AC192" t="s">
        <v>3998</v>
      </c>
      <c r="AD192" t="s">
        <v>3999</v>
      </c>
      <c r="AE192" t="s">
        <v>4000</v>
      </c>
      <c r="AF192" t="s">
        <v>74</v>
      </c>
      <c r="AG192">
        <v>91</v>
      </c>
      <c r="AH192">
        <v>12</v>
      </c>
      <c r="AI192">
        <v>13</v>
      </c>
      <c r="AJ192">
        <v>3</v>
      </c>
      <c r="AK192">
        <v>53</v>
      </c>
      <c r="AL192" t="s">
        <v>1829</v>
      </c>
      <c r="AM192" t="s">
        <v>679</v>
      </c>
      <c r="AN192" t="s">
        <v>1830</v>
      </c>
      <c r="AO192" t="s">
        <v>3937</v>
      </c>
      <c r="AP192" t="s">
        <v>3938</v>
      </c>
      <c r="AQ192" t="s">
        <v>74</v>
      </c>
      <c r="AR192" t="s">
        <v>3939</v>
      </c>
      <c r="AS192" t="s">
        <v>3940</v>
      </c>
      <c r="AT192" t="s">
        <v>2239</v>
      </c>
      <c r="AU192">
        <v>2016</v>
      </c>
      <c r="AV192">
        <v>127</v>
      </c>
      <c r="AW192" t="s">
        <v>74</v>
      </c>
      <c r="AX192" t="s">
        <v>74</v>
      </c>
      <c r="AY192" t="s">
        <v>74</v>
      </c>
      <c r="AZ192" t="s">
        <v>74</v>
      </c>
      <c r="BA192" t="s">
        <v>74</v>
      </c>
      <c r="BB192">
        <v>75</v>
      </c>
      <c r="BC192">
        <v>92</v>
      </c>
      <c r="BD192" t="s">
        <v>74</v>
      </c>
      <c r="BE192" t="s">
        <v>4001</v>
      </c>
      <c r="BF192" t="str">
        <f>HYPERLINK("http://dx.doi.org/10.1016/j.dsr2.2016.02.008","http://dx.doi.org/10.1016/j.dsr2.2016.02.008")</f>
        <v>http://dx.doi.org/10.1016/j.dsr2.2016.02.008</v>
      </c>
      <c r="BG192" t="s">
        <v>74</v>
      </c>
      <c r="BH192" t="s">
        <v>74</v>
      </c>
      <c r="BI192">
        <v>18</v>
      </c>
      <c r="BJ192" t="s">
        <v>361</v>
      </c>
      <c r="BK192" t="s">
        <v>102</v>
      </c>
      <c r="BL192" t="s">
        <v>361</v>
      </c>
      <c r="BM192" t="s">
        <v>3942</v>
      </c>
      <c r="BN192" t="s">
        <v>74</v>
      </c>
      <c r="BO192" t="s">
        <v>203</v>
      </c>
      <c r="BP192" t="s">
        <v>74</v>
      </c>
      <c r="BQ192" t="s">
        <v>74</v>
      </c>
      <c r="BR192" t="s">
        <v>106</v>
      </c>
      <c r="BS192" t="s">
        <v>4002</v>
      </c>
      <c r="BT192" t="str">
        <f>HYPERLINK("https%3A%2F%2Fwww.webofscience.com%2Fwos%2Fwoscc%2Ffull-record%2FWOS:000376545500008","View Full Record in Web of Science")</f>
        <v>View Full Record in Web of Science</v>
      </c>
    </row>
    <row r="193" spans="1:72" x14ac:dyDescent="0.15">
      <c r="A193" t="s">
        <v>72</v>
      </c>
      <c r="B193" t="s">
        <v>4003</v>
      </c>
      <c r="C193" t="s">
        <v>74</v>
      </c>
      <c r="D193" t="s">
        <v>74</v>
      </c>
      <c r="E193" t="s">
        <v>74</v>
      </c>
      <c r="F193" t="s">
        <v>4004</v>
      </c>
      <c r="G193" t="s">
        <v>74</v>
      </c>
      <c r="H193" t="s">
        <v>74</v>
      </c>
      <c r="I193" t="s">
        <v>4005</v>
      </c>
      <c r="J193" t="s">
        <v>3930</v>
      </c>
      <c r="K193" t="s">
        <v>74</v>
      </c>
      <c r="L193" t="s">
        <v>74</v>
      </c>
      <c r="M193" t="s">
        <v>78</v>
      </c>
      <c r="N193" t="s">
        <v>79</v>
      </c>
      <c r="O193" t="s">
        <v>74</v>
      </c>
      <c r="P193" t="s">
        <v>74</v>
      </c>
      <c r="Q193" t="s">
        <v>74</v>
      </c>
      <c r="R193" t="s">
        <v>74</v>
      </c>
      <c r="S193" t="s">
        <v>74</v>
      </c>
      <c r="T193" t="s">
        <v>4006</v>
      </c>
      <c r="U193" t="s">
        <v>4007</v>
      </c>
      <c r="V193" t="s">
        <v>4008</v>
      </c>
      <c r="W193" t="s">
        <v>4009</v>
      </c>
      <c r="X193" t="s">
        <v>4010</v>
      </c>
      <c r="Y193" t="s">
        <v>4011</v>
      </c>
      <c r="Z193" t="s">
        <v>4012</v>
      </c>
      <c r="AA193" t="s">
        <v>4013</v>
      </c>
      <c r="AB193" t="s">
        <v>4014</v>
      </c>
      <c r="AC193" t="s">
        <v>4015</v>
      </c>
      <c r="AD193" t="s">
        <v>4016</v>
      </c>
      <c r="AE193" t="s">
        <v>4017</v>
      </c>
      <c r="AF193" t="s">
        <v>74</v>
      </c>
      <c r="AG193">
        <v>53</v>
      </c>
      <c r="AH193">
        <v>25</v>
      </c>
      <c r="AI193">
        <v>27</v>
      </c>
      <c r="AJ193">
        <v>1</v>
      </c>
      <c r="AK193">
        <v>57</v>
      </c>
      <c r="AL193" t="s">
        <v>1829</v>
      </c>
      <c r="AM193" t="s">
        <v>679</v>
      </c>
      <c r="AN193" t="s">
        <v>1830</v>
      </c>
      <c r="AO193" t="s">
        <v>3937</v>
      </c>
      <c r="AP193" t="s">
        <v>3938</v>
      </c>
      <c r="AQ193" t="s">
        <v>74</v>
      </c>
      <c r="AR193" t="s">
        <v>3939</v>
      </c>
      <c r="AS193" t="s">
        <v>3940</v>
      </c>
      <c r="AT193" t="s">
        <v>2239</v>
      </c>
      <c r="AU193">
        <v>2016</v>
      </c>
      <c r="AV193">
        <v>127</v>
      </c>
      <c r="AW193" t="s">
        <v>74</v>
      </c>
      <c r="AX193" t="s">
        <v>74</v>
      </c>
      <c r="AY193" t="s">
        <v>74</v>
      </c>
      <c r="AZ193" t="s">
        <v>74</v>
      </c>
      <c r="BA193" t="s">
        <v>74</v>
      </c>
      <c r="BB193">
        <v>93</v>
      </c>
      <c r="BC193">
        <v>101</v>
      </c>
      <c r="BD193" t="s">
        <v>74</v>
      </c>
      <c r="BE193" t="s">
        <v>4018</v>
      </c>
      <c r="BF193" t="str">
        <f>HYPERLINK("http://dx.doi.org/10.1016/j.dsr2.2015.12.006","http://dx.doi.org/10.1016/j.dsr2.2015.12.006")</f>
        <v>http://dx.doi.org/10.1016/j.dsr2.2015.12.006</v>
      </c>
      <c r="BG193" t="s">
        <v>74</v>
      </c>
      <c r="BH193" t="s">
        <v>74</v>
      </c>
      <c r="BI193">
        <v>9</v>
      </c>
      <c r="BJ193" t="s">
        <v>361</v>
      </c>
      <c r="BK193" t="s">
        <v>102</v>
      </c>
      <c r="BL193" t="s">
        <v>361</v>
      </c>
      <c r="BM193" t="s">
        <v>3942</v>
      </c>
      <c r="BN193" t="s">
        <v>74</v>
      </c>
      <c r="BO193" t="s">
        <v>203</v>
      </c>
      <c r="BP193" t="s">
        <v>74</v>
      </c>
      <c r="BQ193" t="s">
        <v>74</v>
      </c>
      <c r="BR193" t="s">
        <v>106</v>
      </c>
      <c r="BS193" t="s">
        <v>4019</v>
      </c>
      <c r="BT193" t="str">
        <f>HYPERLINK("https%3A%2F%2Fwww.webofscience.com%2Fwos%2Fwoscc%2Ffull-record%2FWOS:000376545500009","View Full Record in Web of Science")</f>
        <v>View Full Record in Web of Science</v>
      </c>
    </row>
    <row r="194" spans="1:72" x14ac:dyDescent="0.15">
      <c r="A194" t="s">
        <v>72</v>
      </c>
      <c r="B194" t="s">
        <v>4020</v>
      </c>
      <c r="C194" t="s">
        <v>74</v>
      </c>
      <c r="D194" t="s">
        <v>74</v>
      </c>
      <c r="E194" t="s">
        <v>74</v>
      </c>
      <c r="F194" t="s">
        <v>4021</v>
      </c>
      <c r="G194" t="s">
        <v>74</v>
      </c>
      <c r="H194" t="s">
        <v>74</v>
      </c>
      <c r="I194" t="s">
        <v>4022</v>
      </c>
      <c r="J194" t="s">
        <v>4023</v>
      </c>
      <c r="K194" t="s">
        <v>74</v>
      </c>
      <c r="L194" t="s">
        <v>74</v>
      </c>
      <c r="M194" t="s">
        <v>78</v>
      </c>
      <c r="N194" t="s">
        <v>79</v>
      </c>
      <c r="O194" t="s">
        <v>74</v>
      </c>
      <c r="P194" t="s">
        <v>74</v>
      </c>
      <c r="Q194" t="s">
        <v>74</v>
      </c>
      <c r="R194" t="s">
        <v>74</v>
      </c>
      <c r="S194" t="s">
        <v>74</v>
      </c>
      <c r="T194" t="s">
        <v>4024</v>
      </c>
      <c r="U194" t="s">
        <v>4025</v>
      </c>
      <c r="V194" t="s">
        <v>4026</v>
      </c>
      <c r="W194" t="s">
        <v>4027</v>
      </c>
      <c r="X194" t="s">
        <v>4028</v>
      </c>
      <c r="Y194" t="s">
        <v>4029</v>
      </c>
      <c r="Z194" t="s">
        <v>4030</v>
      </c>
      <c r="AA194" t="s">
        <v>4031</v>
      </c>
      <c r="AB194" t="s">
        <v>4032</v>
      </c>
      <c r="AC194" t="s">
        <v>4033</v>
      </c>
      <c r="AD194" t="s">
        <v>4034</v>
      </c>
      <c r="AE194" t="s">
        <v>4035</v>
      </c>
      <c r="AF194" t="s">
        <v>74</v>
      </c>
      <c r="AG194">
        <v>49</v>
      </c>
      <c r="AH194">
        <v>69</v>
      </c>
      <c r="AI194">
        <v>78</v>
      </c>
      <c r="AJ194">
        <v>7</v>
      </c>
      <c r="AK194">
        <v>73</v>
      </c>
      <c r="AL194" t="s">
        <v>124</v>
      </c>
      <c r="AM194" t="s">
        <v>125</v>
      </c>
      <c r="AN194" t="s">
        <v>126</v>
      </c>
      <c r="AO194" t="s">
        <v>4036</v>
      </c>
      <c r="AP194" t="s">
        <v>4037</v>
      </c>
      <c r="AQ194" t="s">
        <v>74</v>
      </c>
      <c r="AR194" t="s">
        <v>4038</v>
      </c>
      <c r="AS194" t="s">
        <v>4039</v>
      </c>
      <c r="AT194" t="s">
        <v>2239</v>
      </c>
      <c r="AU194">
        <v>2016</v>
      </c>
      <c r="AV194">
        <v>19</v>
      </c>
      <c r="AW194">
        <v>5</v>
      </c>
      <c r="AX194" t="s">
        <v>74</v>
      </c>
      <c r="AY194" t="s">
        <v>74</v>
      </c>
      <c r="AZ194" t="s">
        <v>74</v>
      </c>
      <c r="BA194" t="s">
        <v>74</v>
      </c>
      <c r="BB194">
        <v>528</v>
      </c>
      <c r="BC194">
        <v>536</v>
      </c>
      <c r="BD194" t="s">
        <v>74</v>
      </c>
      <c r="BE194" t="s">
        <v>4040</v>
      </c>
      <c r="BF194" t="str">
        <f>HYPERLINK("http://dx.doi.org/10.1111/ele.12587","http://dx.doi.org/10.1111/ele.12587")</f>
        <v>http://dx.doi.org/10.1111/ele.12587</v>
      </c>
      <c r="BG194" t="s">
        <v>74</v>
      </c>
      <c r="BH194" t="s">
        <v>74</v>
      </c>
      <c r="BI194">
        <v>9</v>
      </c>
      <c r="BJ194" t="s">
        <v>4041</v>
      </c>
      <c r="BK194" t="s">
        <v>102</v>
      </c>
      <c r="BL194" t="s">
        <v>465</v>
      </c>
      <c r="BM194" t="s">
        <v>4042</v>
      </c>
      <c r="BN194">
        <v>26932261</v>
      </c>
      <c r="BO194" t="s">
        <v>403</v>
      </c>
      <c r="BP194" t="s">
        <v>74</v>
      </c>
      <c r="BQ194" t="s">
        <v>74</v>
      </c>
      <c r="BR194" t="s">
        <v>106</v>
      </c>
      <c r="BS194" t="s">
        <v>4043</v>
      </c>
      <c r="BT194" t="str">
        <f>HYPERLINK("https%3A%2F%2Fwww.webofscience.com%2Fwos%2Fwoscc%2Ffull-record%2FWOS:000373789100004","View Full Record in Web of Science")</f>
        <v>View Full Record in Web of Science</v>
      </c>
    </row>
    <row r="195" spans="1:72" x14ac:dyDescent="0.15">
      <c r="A195" t="s">
        <v>72</v>
      </c>
      <c r="B195" t="s">
        <v>4044</v>
      </c>
      <c r="C195" t="s">
        <v>74</v>
      </c>
      <c r="D195" t="s">
        <v>74</v>
      </c>
      <c r="E195" t="s">
        <v>74</v>
      </c>
      <c r="F195" t="s">
        <v>4045</v>
      </c>
      <c r="G195" t="s">
        <v>74</v>
      </c>
      <c r="H195" t="s">
        <v>74</v>
      </c>
      <c r="I195" t="s">
        <v>4046</v>
      </c>
      <c r="J195" t="s">
        <v>4047</v>
      </c>
      <c r="K195" t="s">
        <v>74</v>
      </c>
      <c r="L195" t="s">
        <v>74</v>
      </c>
      <c r="M195" t="s">
        <v>78</v>
      </c>
      <c r="N195" t="s">
        <v>79</v>
      </c>
      <c r="O195" t="s">
        <v>74</v>
      </c>
      <c r="P195" t="s">
        <v>74</v>
      </c>
      <c r="Q195" t="s">
        <v>74</v>
      </c>
      <c r="R195" t="s">
        <v>74</v>
      </c>
      <c r="S195" t="s">
        <v>74</v>
      </c>
      <c r="T195" t="s">
        <v>4048</v>
      </c>
      <c r="U195" t="s">
        <v>4049</v>
      </c>
      <c r="V195" t="s">
        <v>4050</v>
      </c>
      <c r="W195" t="s">
        <v>4051</v>
      </c>
      <c r="X195" t="s">
        <v>4052</v>
      </c>
      <c r="Y195" t="s">
        <v>4053</v>
      </c>
      <c r="Z195" t="s">
        <v>4054</v>
      </c>
      <c r="AA195" t="s">
        <v>4055</v>
      </c>
      <c r="AB195" t="s">
        <v>4056</v>
      </c>
      <c r="AC195" t="s">
        <v>4057</v>
      </c>
      <c r="AD195" t="s">
        <v>3011</v>
      </c>
      <c r="AE195" t="s">
        <v>74</v>
      </c>
      <c r="AF195" t="s">
        <v>74</v>
      </c>
      <c r="AG195">
        <v>100</v>
      </c>
      <c r="AH195">
        <v>113</v>
      </c>
      <c r="AI195">
        <v>119</v>
      </c>
      <c r="AJ195">
        <v>1</v>
      </c>
      <c r="AK195">
        <v>67</v>
      </c>
      <c r="AL195" t="s">
        <v>124</v>
      </c>
      <c r="AM195" t="s">
        <v>125</v>
      </c>
      <c r="AN195" t="s">
        <v>126</v>
      </c>
      <c r="AO195" t="s">
        <v>4058</v>
      </c>
      <c r="AP195" t="s">
        <v>74</v>
      </c>
      <c r="AQ195" t="s">
        <v>74</v>
      </c>
      <c r="AR195" t="s">
        <v>4047</v>
      </c>
      <c r="AS195" t="s">
        <v>4059</v>
      </c>
      <c r="AT195" t="s">
        <v>2239</v>
      </c>
      <c r="AU195">
        <v>2016</v>
      </c>
      <c r="AV195">
        <v>7</v>
      </c>
      <c r="AW195">
        <v>5</v>
      </c>
      <c r="AX195" t="s">
        <v>74</v>
      </c>
      <c r="AY195" t="s">
        <v>74</v>
      </c>
      <c r="AZ195" t="s">
        <v>74</v>
      </c>
      <c r="BA195" t="s">
        <v>74</v>
      </c>
      <c r="BB195" t="s">
        <v>74</v>
      </c>
      <c r="BC195" t="s">
        <v>74</v>
      </c>
      <c r="BD195" t="s">
        <v>4060</v>
      </c>
      <c r="BE195" t="s">
        <v>4061</v>
      </c>
      <c r="BF195" t="str">
        <f>HYPERLINK("http://dx.doi.org/10.1002/ecs2.1213","http://dx.doi.org/10.1002/ecs2.1213")</f>
        <v>http://dx.doi.org/10.1002/ecs2.1213</v>
      </c>
      <c r="BG195" t="s">
        <v>74</v>
      </c>
      <c r="BH195" t="s">
        <v>74</v>
      </c>
      <c r="BI195">
        <v>27</v>
      </c>
      <c r="BJ195" t="s">
        <v>4041</v>
      </c>
      <c r="BK195" t="s">
        <v>102</v>
      </c>
      <c r="BL195" t="s">
        <v>465</v>
      </c>
      <c r="BM195" t="s">
        <v>4062</v>
      </c>
      <c r="BN195" t="s">
        <v>74</v>
      </c>
      <c r="BO195" t="s">
        <v>1345</v>
      </c>
      <c r="BP195" t="s">
        <v>74</v>
      </c>
      <c r="BQ195" t="s">
        <v>74</v>
      </c>
      <c r="BR195" t="s">
        <v>106</v>
      </c>
      <c r="BS195" t="s">
        <v>4063</v>
      </c>
      <c r="BT195" t="str">
        <f>HYPERLINK("https%3A%2F%2Fwww.webofscience.com%2Fwos%2Fwoscc%2Ffull-record%2FWOS:000377215200002","View Full Record in Web of Science")</f>
        <v>View Full Record in Web of Science</v>
      </c>
    </row>
    <row r="196" spans="1:72" x14ac:dyDescent="0.15">
      <c r="A196" t="s">
        <v>72</v>
      </c>
      <c r="B196" t="s">
        <v>4064</v>
      </c>
      <c r="C196" t="s">
        <v>74</v>
      </c>
      <c r="D196" t="s">
        <v>74</v>
      </c>
      <c r="E196" t="s">
        <v>74</v>
      </c>
      <c r="F196" t="s">
        <v>4065</v>
      </c>
      <c r="G196" t="s">
        <v>74</v>
      </c>
      <c r="H196" t="s">
        <v>74</v>
      </c>
      <c r="I196" t="s">
        <v>4066</v>
      </c>
      <c r="J196" t="s">
        <v>4067</v>
      </c>
      <c r="K196" t="s">
        <v>74</v>
      </c>
      <c r="L196" t="s">
        <v>74</v>
      </c>
      <c r="M196" t="s">
        <v>78</v>
      </c>
      <c r="N196" t="s">
        <v>79</v>
      </c>
      <c r="O196" t="s">
        <v>74</v>
      </c>
      <c r="P196" t="s">
        <v>74</v>
      </c>
      <c r="Q196" t="s">
        <v>74</v>
      </c>
      <c r="R196" t="s">
        <v>74</v>
      </c>
      <c r="S196" t="s">
        <v>74</v>
      </c>
      <c r="T196" t="s">
        <v>4068</v>
      </c>
      <c r="U196" t="s">
        <v>4069</v>
      </c>
      <c r="V196" t="s">
        <v>4070</v>
      </c>
      <c r="W196" t="s">
        <v>4071</v>
      </c>
      <c r="X196" t="s">
        <v>4072</v>
      </c>
      <c r="Y196" t="s">
        <v>4073</v>
      </c>
      <c r="Z196" t="s">
        <v>4074</v>
      </c>
      <c r="AA196" t="s">
        <v>4075</v>
      </c>
      <c r="AB196" t="s">
        <v>4076</v>
      </c>
      <c r="AC196" t="s">
        <v>4077</v>
      </c>
      <c r="AD196" t="s">
        <v>4078</v>
      </c>
      <c r="AE196" t="s">
        <v>4079</v>
      </c>
      <c r="AF196" t="s">
        <v>74</v>
      </c>
      <c r="AG196">
        <v>114</v>
      </c>
      <c r="AH196">
        <v>45</v>
      </c>
      <c r="AI196">
        <v>47</v>
      </c>
      <c r="AJ196">
        <v>4</v>
      </c>
      <c r="AK196">
        <v>81</v>
      </c>
      <c r="AL196" t="s">
        <v>240</v>
      </c>
      <c r="AM196" t="s">
        <v>241</v>
      </c>
      <c r="AN196" t="s">
        <v>242</v>
      </c>
      <c r="AO196" t="s">
        <v>4080</v>
      </c>
      <c r="AP196" t="s">
        <v>4081</v>
      </c>
      <c r="AQ196" t="s">
        <v>74</v>
      </c>
      <c r="AR196" t="s">
        <v>4082</v>
      </c>
      <c r="AS196" t="s">
        <v>4083</v>
      </c>
      <c r="AT196" t="s">
        <v>2239</v>
      </c>
      <c r="AU196">
        <v>2016</v>
      </c>
      <c r="AV196">
        <v>147</v>
      </c>
      <c r="AW196" t="s">
        <v>74</v>
      </c>
      <c r="AX196" t="s">
        <v>74</v>
      </c>
      <c r="AY196" t="s">
        <v>74</v>
      </c>
      <c r="AZ196" t="s">
        <v>74</v>
      </c>
      <c r="BA196" t="s">
        <v>74</v>
      </c>
      <c r="BB196">
        <v>179</v>
      </c>
      <c r="BC196">
        <v>192</v>
      </c>
      <c r="BD196" t="s">
        <v>74</v>
      </c>
      <c r="BE196" t="s">
        <v>4084</v>
      </c>
      <c r="BF196" t="str">
        <f>HYPERLINK("http://dx.doi.org/10.1016/j.envres.2016.01.034","http://dx.doi.org/10.1016/j.envres.2016.01.034")</f>
        <v>http://dx.doi.org/10.1016/j.envres.2016.01.034</v>
      </c>
      <c r="BG196" t="s">
        <v>74</v>
      </c>
      <c r="BH196" t="s">
        <v>74</v>
      </c>
      <c r="BI196">
        <v>14</v>
      </c>
      <c r="BJ196" t="s">
        <v>4085</v>
      </c>
      <c r="BK196" t="s">
        <v>102</v>
      </c>
      <c r="BL196" t="s">
        <v>4086</v>
      </c>
      <c r="BM196" t="s">
        <v>4087</v>
      </c>
      <c r="BN196">
        <v>26882535</v>
      </c>
      <c r="BO196" t="s">
        <v>74</v>
      </c>
      <c r="BP196" t="s">
        <v>74</v>
      </c>
      <c r="BQ196" t="s">
        <v>74</v>
      </c>
      <c r="BR196" t="s">
        <v>106</v>
      </c>
      <c r="BS196" t="s">
        <v>4088</v>
      </c>
      <c r="BT196" t="str">
        <f>HYPERLINK("https%3A%2F%2Fwww.webofscience.com%2Fwos%2Fwoscc%2Ffull-record%2FWOS:000374275700023","View Full Record in Web of Science")</f>
        <v>View Full Record in Web of Science</v>
      </c>
    </row>
    <row r="197" spans="1:72" x14ac:dyDescent="0.15">
      <c r="A197" t="s">
        <v>72</v>
      </c>
      <c r="B197" t="s">
        <v>4089</v>
      </c>
      <c r="C197" t="s">
        <v>74</v>
      </c>
      <c r="D197" t="s">
        <v>74</v>
      </c>
      <c r="E197" t="s">
        <v>74</v>
      </c>
      <c r="F197" t="s">
        <v>4090</v>
      </c>
      <c r="G197" t="s">
        <v>74</v>
      </c>
      <c r="H197" t="s">
        <v>74</v>
      </c>
      <c r="I197" t="s">
        <v>4091</v>
      </c>
      <c r="J197" t="s">
        <v>4092</v>
      </c>
      <c r="K197" t="s">
        <v>74</v>
      </c>
      <c r="L197" t="s">
        <v>74</v>
      </c>
      <c r="M197" t="s">
        <v>78</v>
      </c>
      <c r="N197" t="s">
        <v>573</v>
      </c>
      <c r="O197" t="s">
        <v>74</v>
      </c>
      <c r="P197" t="s">
        <v>74</v>
      </c>
      <c r="Q197" t="s">
        <v>74</v>
      </c>
      <c r="R197" t="s">
        <v>74</v>
      </c>
      <c r="S197" t="s">
        <v>74</v>
      </c>
      <c r="T197" t="s">
        <v>4093</v>
      </c>
      <c r="U197" t="s">
        <v>4094</v>
      </c>
      <c r="V197" t="s">
        <v>74</v>
      </c>
      <c r="W197" t="s">
        <v>4095</v>
      </c>
      <c r="X197" t="s">
        <v>4096</v>
      </c>
      <c r="Y197" t="s">
        <v>4097</v>
      </c>
      <c r="Z197" t="s">
        <v>4098</v>
      </c>
      <c r="AA197" t="s">
        <v>4099</v>
      </c>
      <c r="AB197" t="s">
        <v>4100</v>
      </c>
      <c r="AC197" t="s">
        <v>74</v>
      </c>
      <c r="AD197" t="s">
        <v>74</v>
      </c>
      <c r="AE197" t="s">
        <v>74</v>
      </c>
      <c r="AF197" t="s">
        <v>74</v>
      </c>
      <c r="AG197">
        <v>6</v>
      </c>
      <c r="AH197">
        <v>1</v>
      </c>
      <c r="AI197">
        <v>1</v>
      </c>
      <c r="AJ197">
        <v>0</v>
      </c>
      <c r="AK197">
        <v>11</v>
      </c>
      <c r="AL197" t="s">
        <v>194</v>
      </c>
      <c r="AM197" t="s">
        <v>262</v>
      </c>
      <c r="AN197" t="s">
        <v>263</v>
      </c>
      <c r="AO197" t="s">
        <v>4101</v>
      </c>
      <c r="AP197" t="s">
        <v>4102</v>
      </c>
      <c r="AQ197" t="s">
        <v>74</v>
      </c>
      <c r="AR197" t="s">
        <v>4103</v>
      </c>
      <c r="AS197" t="s">
        <v>4104</v>
      </c>
      <c r="AT197" t="s">
        <v>2239</v>
      </c>
      <c r="AU197">
        <v>2016</v>
      </c>
      <c r="AV197">
        <v>39</v>
      </c>
      <c r="AW197">
        <v>3</v>
      </c>
      <c r="AX197" t="s">
        <v>74</v>
      </c>
      <c r="AY197" t="s">
        <v>74</v>
      </c>
      <c r="AZ197" t="s">
        <v>74</v>
      </c>
      <c r="BA197" t="s">
        <v>74</v>
      </c>
      <c r="BB197">
        <v>875</v>
      </c>
      <c r="BC197">
        <v>876</v>
      </c>
      <c r="BD197" t="s">
        <v>74</v>
      </c>
      <c r="BE197" t="s">
        <v>4105</v>
      </c>
      <c r="BF197" t="str">
        <f>HYPERLINK("http://dx.doi.org/10.1007/s12237-015-0040-6","http://dx.doi.org/10.1007/s12237-015-0040-6")</f>
        <v>http://dx.doi.org/10.1007/s12237-015-0040-6</v>
      </c>
      <c r="BG197" t="s">
        <v>74</v>
      </c>
      <c r="BH197" t="s">
        <v>74</v>
      </c>
      <c r="BI197">
        <v>2</v>
      </c>
      <c r="BJ197" t="s">
        <v>1838</v>
      </c>
      <c r="BK197" t="s">
        <v>102</v>
      </c>
      <c r="BL197" t="s">
        <v>1839</v>
      </c>
      <c r="BM197" t="s">
        <v>4106</v>
      </c>
      <c r="BN197" t="s">
        <v>74</v>
      </c>
      <c r="BO197" t="s">
        <v>1412</v>
      </c>
      <c r="BP197" t="s">
        <v>74</v>
      </c>
      <c r="BQ197" t="s">
        <v>74</v>
      </c>
      <c r="BR197" t="s">
        <v>106</v>
      </c>
      <c r="BS197" t="s">
        <v>4107</v>
      </c>
      <c r="BT197" t="str">
        <f>HYPERLINK("https%3A%2F%2Fwww.webofscience.com%2Fwos%2Fwoscc%2Ffull-record%2FWOS:000373360500024","View Full Record in Web of Science")</f>
        <v>View Full Record in Web of Science</v>
      </c>
    </row>
    <row r="198" spans="1:72" x14ac:dyDescent="0.15">
      <c r="A198" t="s">
        <v>72</v>
      </c>
      <c r="B198" t="s">
        <v>4108</v>
      </c>
      <c r="C198" t="s">
        <v>74</v>
      </c>
      <c r="D198" t="s">
        <v>74</v>
      </c>
      <c r="E198" t="s">
        <v>74</v>
      </c>
      <c r="F198" t="s">
        <v>4109</v>
      </c>
      <c r="G198" t="s">
        <v>74</v>
      </c>
      <c r="H198" t="s">
        <v>74</v>
      </c>
      <c r="I198" t="s">
        <v>4110</v>
      </c>
      <c r="J198" t="s">
        <v>4111</v>
      </c>
      <c r="K198" t="s">
        <v>74</v>
      </c>
      <c r="L198" t="s">
        <v>74</v>
      </c>
      <c r="M198" t="s">
        <v>78</v>
      </c>
      <c r="N198" t="s">
        <v>79</v>
      </c>
      <c r="O198" t="s">
        <v>74</v>
      </c>
      <c r="P198" t="s">
        <v>74</v>
      </c>
      <c r="Q198" t="s">
        <v>74</v>
      </c>
      <c r="R198" t="s">
        <v>74</v>
      </c>
      <c r="S198" t="s">
        <v>74</v>
      </c>
      <c r="T198" t="s">
        <v>74</v>
      </c>
      <c r="U198" t="s">
        <v>74</v>
      </c>
      <c r="V198" t="s">
        <v>4112</v>
      </c>
      <c r="W198" t="s">
        <v>4113</v>
      </c>
      <c r="X198" t="s">
        <v>4114</v>
      </c>
      <c r="Y198" t="s">
        <v>4115</v>
      </c>
      <c r="Z198" t="s">
        <v>4116</v>
      </c>
      <c r="AA198" t="s">
        <v>4117</v>
      </c>
      <c r="AB198" t="s">
        <v>4118</v>
      </c>
      <c r="AC198" t="s">
        <v>4119</v>
      </c>
      <c r="AD198" t="s">
        <v>4120</v>
      </c>
      <c r="AE198" t="s">
        <v>4121</v>
      </c>
      <c r="AF198" t="s">
        <v>74</v>
      </c>
      <c r="AG198">
        <v>5</v>
      </c>
      <c r="AH198">
        <v>7</v>
      </c>
      <c r="AI198">
        <v>8</v>
      </c>
      <c r="AJ198">
        <v>0</v>
      </c>
      <c r="AK198">
        <v>4</v>
      </c>
      <c r="AL198" t="s">
        <v>4122</v>
      </c>
      <c r="AM198" t="s">
        <v>93</v>
      </c>
      <c r="AN198" t="s">
        <v>4123</v>
      </c>
      <c r="AO198" t="s">
        <v>74</v>
      </c>
      <c r="AP198" t="s">
        <v>4124</v>
      </c>
      <c r="AQ198" t="s">
        <v>74</v>
      </c>
      <c r="AR198" t="s">
        <v>4111</v>
      </c>
      <c r="AS198" t="s">
        <v>4125</v>
      </c>
      <c r="AT198" t="s">
        <v>2513</v>
      </c>
      <c r="AU198">
        <v>2016</v>
      </c>
      <c r="AV198">
        <v>4</v>
      </c>
      <c r="AW198">
        <v>3</v>
      </c>
      <c r="AX198" t="s">
        <v>74</v>
      </c>
      <c r="AY198" t="s">
        <v>74</v>
      </c>
      <c r="AZ198" t="s">
        <v>74</v>
      </c>
      <c r="BA198" t="s">
        <v>74</v>
      </c>
      <c r="BB198" t="s">
        <v>74</v>
      </c>
      <c r="BC198" t="s">
        <v>74</v>
      </c>
      <c r="BD198" t="s">
        <v>4126</v>
      </c>
      <c r="BE198" t="s">
        <v>4127</v>
      </c>
      <c r="BF198" t="str">
        <f>HYPERLINK("http://dx.doi.org/10.1128/genomeA.00416-16","http://dx.doi.org/10.1128/genomeA.00416-16")</f>
        <v>http://dx.doi.org/10.1128/genomeA.00416-16</v>
      </c>
      <c r="BG198" t="s">
        <v>74</v>
      </c>
      <c r="BH198" t="s">
        <v>74</v>
      </c>
      <c r="BI198">
        <v>2</v>
      </c>
      <c r="BJ198" t="s">
        <v>2538</v>
      </c>
      <c r="BK198" t="s">
        <v>967</v>
      </c>
      <c r="BL198" t="s">
        <v>2538</v>
      </c>
      <c r="BM198" t="s">
        <v>4128</v>
      </c>
      <c r="BN198">
        <v>27231360</v>
      </c>
      <c r="BO198" t="s">
        <v>1684</v>
      </c>
      <c r="BP198" t="s">
        <v>74</v>
      </c>
      <c r="BQ198" t="s">
        <v>74</v>
      </c>
      <c r="BR198" t="s">
        <v>106</v>
      </c>
      <c r="BS198" t="s">
        <v>4129</v>
      </c>
      <c r="BT198" t="str">
        <f>HYPERLINK("https%3A%2F%2Fwww.webofscience.com%2Fwos%2Fwoscc%2Ffull-record%2FWOS:000460660100103","View Full Record in Web of Science")</f>
        <v>View Full Record in Web of Science</v>
      </c>
    </row>
    <row r="199" spans="1:72" x14ac:dyDescent="0.15">
      <c r="A199" t="s">
        <v>72</v>
      </c>
      <c r="B199" t="s">
        <v>4130</v>
      </c>
      <c r="C199" t="s">
        <v>74</v>
      </c>
      <c r="D199" t="s">
        <v>74</v>
      </c>
      <c r="E199" t="s">
        <v>74</v>
      </c>
      <c r="F199" t="s">
        <v>4131</v>
      </c>
      <c r="G199" t="s">
        <v>74</v>
      </c>
      <c r="H199" t="s">
        <v>74</v>
      </c>
      <c r="I199" t="s">
        <v>4132</v>
      </c>
      <c r="J199" t="s">
        <v>4111</v>
      </c>
      <c r="K199" t="s">
        <v>74</v>
      </c>
      <c r="L199" t="s">
        <v>74</v>
      </c>
      <c r="M199" t="s">
        <v>78</v>
      </c>
      <c r="N199" t="s">
        <v>79</v>
      </c>
      <c r="O199" t="s">
        <v>74</v>
      </c>
      <c r="P199" t="s">
        <v>74</v>
      </c>
      <c r="Q199" t="s">
        <v>74</v>
      </c>
      <c r="R199" t="s">
        <v>74</v>
      </c>
      <c r="S199" t="s">
        <v>74</v>
      </c>
      <c r="T199" t="s">
        <v>74</v>
      </c>
      <c r="U199" t="s">
        <v>74</v>
      </c>
      <c r="V199" t="s">
        <v>4133</v>
      </c>
      <c r="W199" t="s">
        <v>4134</v>
      </c>
      <c r="X199" t="s">
        <v>4135</v>
      </c>
      <c r="Y199" t="s">
        <v>4136</v>
      </c>
      <c r="Z199" t="s">
        <v>4137</v>
      </c>
      <c r="AA199" t="s">
        <v>4138</v>
      </c>
      <c r="AB199" t="s">
        <v>4139</v>
      </c>
      <c r="AC199" t="s">
        <v>4140</v>
      </c>
      <c r="AD199" t="s">
        <v>4141</v>
      </c>
      <c r="AE199" t="s">
        <v>4142</v>
      </c>
      <c r="AF199" t="s">
        <v>74</v>
      </c>
      <c r="AG199">
        <v>11</v>
      </c>
      <c r="AH199">
        <v>1</v>
      </c>
      <c r="AI199">
        <v>2</v>
      </c>
      <c r="AJ199">
        <v>0</v>
      </c>
      <c r="AK199">
        <v>0</v>
      </c>
      <c r="AL199" t="s">
        <v>4122</v>
      </c>
      <c r="AM199" t="s">
        <v>93</v>
      </c>
      <c r="AN199" t="s">
        <v>4123</v>
      </c>
      <c r="AO199" t="s">
        <v>74</v>
      </c>
      <c r="AP199" t="s">
        <v>4124</v>
      </c>
      <c r="AQ199" t="s">
        <v>74</v>
      </c>
      <c r="AR199" t="s">
        <v>4111</v>
      </c>
      <c r="AS199" t="s">
        <v>4125</v>
      </c>
      <c r="AT199" t="s">
        <v>2513</v>
      </c>
      <c r="AU199">
        <v>2016</v>
      </c>
      <c r="AV199">
        <v>4</v>
      </c>
      <c r="AW199">
        <v>3</v>
      </c>
      <c r="AX199" t="s">
        <v>74</v>
      </c>
      <c r="AY199" t="s">
        <v>74</v>
      </c>
      <c r="AZ199" t="s">
        <v>74</v>
      </c>
      <c r="BA199" t="s">
        <v>74</v>
      </c>
      <c r="BB199" t="s">
        <v>74</v>
      </c>
      <c r="BC199" t="s">
        <v>74</v>
      </c>
      <c r="BD199" t="s">
        <v>4143</v>
      </c>
      <c r="BE199" t="s">
        <v>4144</v>
      </c>
      <c r="BF199" t="str">
        <f>HYPERLINK("http://dx.doi.org/10.1128/genomeA.00410-16","http://dx.doi.org/10.1128/genomeA.00410-16")</f>
        <v>http://dx.doi.org/10.1128/genomeA.00410-16</v>
      </c>
      <c r="BG199" t="s">
        <v>74</v>
      </c>
      <c r="BH199" t="s">
        <v>74</v>
      </c>
      <c r="BI199">
        <v>2</v>
      </c>
      <c r="BJ199" t="s">
        <v>2538</v>
      </c>
      <c r="BK199" t="s">
        <v>967</v>
      </c>
      <c r="BL199" t="s">
        <v>2538</v>
      </c>
      <c r="BM199" t="s">
        <v>4128</v>
      </c>
      <c r="BN199">
        <v>27198032</v>
      </c>
      <c r="BO199" t="s">
        <v>1684</v>
      </c>
      <c r="BP199" t="s">
        <v>74</v>
      </c>
      <c r="BQ199" t="s">
        <v>74</v>
      </c>
      <c r="BR199" t="s">
        <v>106</v>
      </c>
      <c r="BS199" t="s">
        <v>4145</v>
      </c>
      <c r="BT199" t="str">
        <f>HYPERLINK("https%3A%2F%2Fwww.webofscience.com%2Fwos%2Fwoscc%2Ffull-record%2FWOS:000460660100098","View Full Record in Web of Science")</f>
        <v>View Full Record in Web of Science</v>
      </c>
    </row>
    <row r="200" spans="1:72" x14ac:dyDescent="0.15">
      <c r="A200" t="s">
        <v>72</v>
      </c>
      <c r="B200" t="s">
        <v>4146</v>
      </c>
      <c r="C200" t="s">
        <v>74</v>
      </c>
      <c r="D200" t="s">
        <v>74</v>
      </c>
      <c r="E200" t="s">
        <v>74</v>
      </c>
      <c r="F200" t="s">
        <v>4147</v>
      </c>
      <c r="G200" t="s">
        <v>74</v>
      </c>
      <c r="H200" t="s">
        <v>74</v>
      </c>
      <c r="I200" t="s">
        <v>4148</v>
      </c>
      <c r="J200" t="s">
        <v>4149</v>
      </c>
      <c r="K200" t="s">
        <v>74</v>
      </c>
      <c r="L200" t="s">
        <v>74</v>
      </c>
      <c r="M200" t="s">
        <v>78</v>
      </c>
      <c r="N200" t="s">
        <v>79</v>
      </c>
      <c r="O200" t="s">
        <v>74</v>
      </c>
      <c r="P200" t="s">
        <v>74</v>
      </c>
      <c r="Q200" t="s">
        <v>74</v>
      </c>
      <c r="R200" t="s">
        <v>74</v>
      </c>
      <c r="S200" t="s">
        <v>74</v>
      </c>
      <c r="T200" t="s">
        <v>74</v>
      </c>
      <c r="U200" t="s">
        <v>4150</v>
      </c>
      <c r="V200" t="s">
        <v>4151</v>
      </c>
      <c r="W200" t="s">
        <v>4152</v>
      </c>
      <c r="X200" t="s">
        <v>4153</v>
      </c>
      <c r="Y200" t="s">
        <v>4154</v>
      </c>
      <c r="Z200" t="s">
        <v>4155</v>
      </c>
      <c r="AA200" t="s">
        <v>4156</v>
      </c>
      <c r="AB200" t="s">
        <v>4157</v>
      </c>
      <c r="AC200" t="s">
        <v>4158</v>
      </c>
      <c r="AD200" t="s">
        <v>4159</v>
      </c>
      <c r="AE200" t="s">
        <v>4160</v>
      </c>
      <c r="AF200" t="s">
        <v>74</v>
      </c>
      <c r="AG200">
        <v>35</v>
      </c>
      <c r="AH200">
        <v>42</v>
      </c>
      <c r="AI200">
        <v>48</v>
      </c>
      <c r="AJ200">
        <v>1</v>
      </c>
      <c r="AK200">
        <v>38</v>
      </c>
      <c r="AL200" t="s">
        <v>2232</v>
      </c>
      <c r="AM200" t="s">
        <v>2233</v>
      </c>
      <c r="AN200" t="s">
        <v>2234</v>
      </c>
      <c r="AO200" t="s">
        <v>4161</v>
      </c>
      <c r="AP200" t="s">
        <v>4162</v>
      </c>
      <c r="AQ200" t="s">
        <v>74</v>
      </c>
      <c r="AR200" t="s">
        <v>4149</v>
      </c>
      <c r="AS200" t="s">
        <v>270</v>
      </c>
      <c r="AT200" t="s">
        <v>2239</v>
      </c>
      <c r="AU200">
        <v>2016</v>
      </c>
      <c r="AV200">
        <v>44</v>
      </c>
      <c r="AW200">
        <v>5</v>
      </c>
      <c r="AX200" t="s">
        <v>74</v>
      </c>
      <c r="AY200" t="s">
        <v>74</v>
      </c>
      <c r="AZ200" t="s">
        <v>74</v>
      </c>
      <c r="BA200" t="s">
        <v>74</v>
      </c>
      <c r="BB200">
        <v>347</v>
      </c>
      <c r="BC200">
        <v>350</v>
      </c>
      <c r="BD200" t="s">
        <v>74</v>
      </c>
      <c r="BE200" t="s">
        <v>4163</v>
      </c>
      <c r="BF200" t="str">
        <f>HYPERLINK("http://dx.doi.org/10.1130/G37639.1","http://dx.doi.org/10.1130/G37639.1")</f>
        <v>http://dx.doi.org/10.1130/G37639.1</v>
      </c>
      <c r="BG200" t="s">
        <v>74</v>
      </c>
      <c r="BH200" t="s">
        <v>74</v>
      </c>
      <c r="BI200">
        <v>4</v>
      </c>
      <c r="BJ200" t="s">
        <v>270</v>
      </c>
      <c r="BK200" t="s">
        <v>102</v>
      </c>
      <c r="BL200" t="s">
        <v>270</v>
      </c>
      <c r="BM200" t="s">
        <v>4164</v>
      </c>
      <c r="BN200" t="s">
        <v>74</v>
      </c>
      <c r="BO200" t="s">
        <v>729</v>
      </c>
      <c r="BP200" t="s">
        <v>74</v>
      </c>
      <c r="BQ200" t="s">
        <v>74</v>
      </c>
      <c r="BR200" t="s">
        <v>106</v>
      </c>
      <c r="BS200" t="s">
        <v>4165</v>
      </c>
      <c r="BT200" t="str">
        <f>HYPERLINK("https%3A%2F%2Fwww.webofscience.com%2Fwos%2Fwoscc%2Ffull-record%2FWOS:000374877500005","View Full Record in Web of Science")</f>
        <v>View Full Record in Web of Science</v>
      </c>
    </row>
    <row r="201" spans="1:72" x14ac:dyDescent="0.15">
      <c r="A201" t="s">
        <v>72</v>
      </c>
      <c r="B201" t="s">
        <v>4166</v>
      </c>
      <c r="C201" t="s">
        <v>74</v>
      </c>
      <c r="D201" t="s">
        <v>74</v>
      </c>
      <c r="E201" t="s">
        <v>74</v>
      </c>
      <c r="F201" t="s">
        <v>4167</v>
      </c>
      <c r="G201" t="s">
        <v>74</v>
      </c>
      <c r="H201" t="s">
        <v>74</v>
      </c>
      <c r="I201" t="s">
        <v>4168</v>
      </c>
      <c r="J201" t="s">
        <v>4149</v>
      </c>
      <c r="K201" t="s">
        <v>74</v>
      </c>
      <c r="L201" t="s">
        <v>74</v>
      </c>
      <c r="M201" t="s">
        <v>78</v>
      </c>
      <c r="N201" t="s">
        <v>573</v>
      </c>
      <c r="O201" t="s">
        <v>74</v>
      </c>
      <c r="P201" t="s">
        <v>74</v>
      </c>
      <c r="Q201" t="s">
        <v>74</v>
      </c>
      <c r="R201" t="s">
        <v>74</v>
      </c>
      <c r="S201" t="s">
        <v>74</v>
      </c>
      <c r="T201" t="s">
        <v>74</v>
      </c>
      <c r="U201" t="s">
        <v>4169</v>
      </c>
      <c r="V201" t="s">
        <v>74</v>
      </c>
      <c r="W201" t="s">
        <v>4170</v>
      </c>
      <c r="X201" t="s">
        <v>4171</v>
      </c>
      <c r="Y201" t="s">
        <v>4172</v>
      </c>
      <c r="Z201" t="s">
        <v>74</v>
      </c>
      <c r="AA201" t="s">
        <v>4173</v>
      </c>
      <c r="AB201" t="s">
        <v>4174</v>
      </c>
      <c r="AC201" t="s">
        <v>4175</v>
      </c>
      <c r="AD201" t="s">
        <v>4176</v>
      </c>
      <c r="AE201" t="s">
        <v>74</v>
      </c>
      <c r="AF201" t="s">
        <v>74</v>
      </c>
      <c r="AG201">
        <v>22</v>
      </c>
      <c r="AH201">
        <v>10</v>
      </c>
      <c r="AI201">
        <v>10</v>
      </c>
      <c r="AJ201">
        <v>0</v>
      </c>
      <c r="AK201">
        <v>14</v>
      </c>
      <c r="AL201" t="s">
        <v>2232</v>
      </c>
      <c r="AM201" t="s">
        <v>2233</v>
      </c>
      <c r="AN201" t="s">
        <v>2234</v>
      </c>
      <c r="AO201" t="s">
        <v>4161</v>
      </c>
      <c r="AP201" t="s">
        <v>4162</v>
      </c>
      <c r="AQ201" t="s">
        <v>74</v>
      </c>
      <c r="AR201" t="s">
        <v>4149</v>
      </c>
      <c r="AS201" t="s">
        <v>270</v>
      </c>
      <c r="AT201" t="s">
        <v>2239</v>
      </c>
      <c r="AU201">
        <v>2016</v>
      </c>
      <c r="AV201">
        <v>44</v>
      </c>
      <c r="AW201">
        <v>5</v>
      </c>
      <c r="AX201" t="s">
        <v>74</v>
      </c>
      <c r="AY201" t="s">
        <v>74</v>
      </c>
      <c r="AZ201" t="s">
        <v>74</v>
      </c>
      <c r="BA201" t="s">
        <v>74</v>
      </c>
      <c r="BB201">
        <v>399</v>
      </c>
      <c r="BC201">
        <v>400</v>
      </c>
      <c r="BD201" t="s">
        <v>74</v>
      </c>
      <c r="BE201" t="s">
        <v>4177</v>
      </c>
      <c r="BF201" t="str">
        <f>HYPERLINK("http://dx.doi.org/10.1130/focus052016.1","http://dx.doi.org/10.1130/focus052016.1")</f>
        <v>http://dx.doi.org/10.1130/focus052016.1</v>
      </c>
      <c r="BG201" t="s">
        <v>74</v>
      </c>
      <c r="BH201" t="s">
        <v>74</v>
      </c>
      <c r="BI201">
        <v>2</v>
      </c>
      <c r="BJ201" t="s">
        <v>270</v>
      </c>
      <c r="BK201" t="s">
        <v>102</v>
      </c>
      <c r="BL201" t="s">
        <v>270</v>
      </c>
      <c r="BM201" t="s">
        <v>4164</v>
      </c>
      <c r="BN201" t="s">
        <v>74</v>
      </c>
      <c r="BO201" t="s">
        <v>3370</v>
      </c>
      <c r="BP201" t="s">
        <v>74</v>
      </c>
      <c r="BQ201" t="s">
        <v>74</v>
      </c>
      <c r="BR201" t="s">
        <v>106</v>
      </c>
      <c r="BS201" t="s">
        <v>4178</v>
      </c>
      <c r="BT201" t="str">
        <f>HYPERLINK("https%3A%2F%2Fwww.webofscience.com%2Fwos%2Fwoscc%2Ffull-record%2FWOS:000374877500019","View Full Record in Web of Science")</f>
        <v>View Full Record in Web of Science</v>
      </c>
    </row>
    <row r="202" spans="1:72" x14ac:dyDescent="0.15">
      <c r="A202" t="s">
        <v>72</v>
      </c>
      <c r="B202" t="s">
        <v>4179</v>
      </c>
      <c r="C202" t="s">
        <v>74</v>
      </c>
      <c r="D202" t="s">
        <v>74</v>
      </c>
      <c r="E202" t="s">
        <v>74</v>
      </c>
      <c r="F202" t="s">
        <v>4180</v>
      </c>
      <c r="G202" t="s">
        <v>74</v>
      </c>
      <c r="H202" t="s">
        <v>74</v>
      </c>
      <c r="I202" t="s">
        <v>4181</v>
      </c>
      <c r="J202" t="s">
        <v>111</v>
      </c>
      <c r="K202" t="s">
        <v>74</v>
      </c>
      <c r="L202" t="s">
        <v>74</v>
      </c>
      <c r="M202" t="s">
        <v>78</v>
      </c>
      <c r="N202" t="s">
        <v>79</v>
      </c>
      <c r="O202" t="s">
        <v>74</v>
      </c>
      <c r="P202" t="s">
        <v>74</v>
      </c>
      <c r="Q202" t="s">
        <v>74</v>
      </c>
      <c r="R202" t="s">
        <v>74</v>
      </c>
      <c r="S202" t="s">
        <v>74</v>
      </c>
      <c r="T202" t="s">
        <v>4182</v>
      </c>
      <c r="U202" t="s">
        <v>4183</v>
      </c>
      <c r="V202" t="s">
        <v>4184</v>
      </c>
      <c r="W202" t="s">
        <v>4185</v>
      </c>
      <c r="X202" t="s">
        <v>4186</v>
      </c>
      <c r="Y202" t="s">
        <v>4187</v>
      </c>
      <c r="Z202" t="s">
        <v>4188</v>
      </c>
      <c r="AA202" t="s">
        <v>4189</v>
      </c>
      <c r="AB202" t="s">
        <v>4190</v>
      </c>
      <c r="AC202" t="s">
        <v>4191</v>
      </c>
      <c r="AD202" t="s">
        <v>4192</v>
      </c>
      <c r="AE202" t="s">
        <v>4193</v>
      </c>
      <c r="AF202" t="s">
        <v>74</v>
      </c>
      <c r="AG202">
        <v>57</v>
      </c>
      <c r="AH202">
        <v>41</v>
      </c>
      <c r="AI202">
        <v>41</v>
      </c>
      <c r="AJ202">
        <v>0</v>
      </c>
      <c r="AK202">
        <v>57</v>
      </c>
      <c r="AL202" t="s">
        <v>124</v>
      </c>
      <c r="AM202" t="s">
        <v>125</v>
      </c>
      <c r="AN202" t="s">
        <v>126</v>
      </c>
      <c r="AO202" t="s">
        <v>127</v>
      </c>
      <c r="AP202" t="s">
        <v>128</v>
      </c>
      <c r="AQ202" t="s">
        <v>74</v>
      </c>
      <c r="AR202" t="s">
        <v>129</v>
      </c>
      <c r="AS202" t="s">
        <v>130</v>
      </c>
      <c r="AT202" t="s">
        <v>2239</v>
      </c>
      <c r="AU202">
        <v>2016</v>
      </c>
      <c r="AV202">
        <v>22</v>
      </c>
      <c r="AW202">
        <v>5</v>
      </c>
      <c r="AX202" t="s">
        <v>74</v>
      </c>
      <c r="AY202" t="s">
        <v>74</v>
      </c>
      <c r="AZ202" t="s">
        <v>74</v>
      </c>
      <c r="BA202" t="s">
        <v>74</v>
      </c>
      <c r="BB202">
        <v>1710</v>
      </c>
      <c r="BC202">
        <v>1721</v>
      </c>
      <c r="BD202" t="s">
        <v>74</v>
      </c>
      <c r="BE202" t="s">
        <v>4194</v>
      </c>
      <c r="BF202" t="str">
        <f>HYPERLINK("http://dx.doi.org/10.1111/gcb.13214","http://dx.doi.org/10.1111/gcb.13214")</f>
        <v>http://dx.doi.org/10.1111/gcb.13214</v>
      </c>
      <c r="BG202" t="s">
        <v>74</v>
      </c>
      <c r="BH202" t="s">
        <v>74</v>
      </c>
      <c r="BI202">
        <v>12</v>
      </c>
      <c r="BJ202" t="s">
        <v>132</v>
      </c>
      <c r="BK202" t="s">
        <v>102</v>
      </c>
      <c r="BL202" t="s">
        <v>133</v>
      </c>
      <c r="BM202" t="s">
        <v>4195</v>
      </c>
      <c r="BN202">
        <v>26919067</v>
      </c>
      <c r="BO202" t="s">
        <v>1412</v>
      </c>
      <c r="BP202" t="s">
        <v>74</v>
      </c>
      <c r="BQ202" t="s">
        <v>74</v>
      </c>
      <c r="BR202" t="s">
        <v>106</v>
      </c>
      <c r="BS202" t="s">
        <v>4196</v>
      </c>
      <c r="BT202" t="str">
        <f>HYPERLINK("https%3A%2F%2Fwww.webofscience.com%2Fwos%2Fwoscc%2Ffull-record%2FWOS:000373130700003","View Full Record in Web of Science")</f>
        <v>View Full Record in Web of Science</v>
      </c>
    </row>
    <row r="203" spans="1:72" x14ac:dyDescent="0.15">
      <c r="A203" t="s">
        <v>72</v>
      </c>
      <c r="B203" t="s">
        <v>4197</v>
      </c>
      <c r="C203" t="s">
        <v>74</v>
      </c>
      <c r="D203" t="s">
        <v>74</v>
      </c>
      <c r="E203" t="s">
        <v>74</v>
      </c>
      <c r="F203" t="s">
        <v>4198</v>
      </c>
      <c r="G203" t="s">
        <v>74</v>
      </c>
      <c r="H203" t="s">
        <v>74</v>
      </c>
      <c r="I203" t="s">
        <v>4199</v>
      </c>
      <c r="J203" t="s">
        <v>111</v>
      </c>
      <c r="K203" t="s">
        <v>74</v>
      </c>
      <c r="L203" t="s">
        <v>74</v>
      </c>
      <c r="M203" t="s">
        <v>78</v>
      </c>
      <c r="N203" t="s">
        <v>79</v>
      </c>
      <c r="O203" t="s">
        <v>74</v>
      </c>
      <c r="P203" t="s">
        <v>74</v>
      </c>
      <c r="Q203" t="s">
        <v>74</v>
      </c>
      <c r="R203" t="s">
        <v>74</v>
      </c>
      <c r="S203" t="s">
        <v>74</v>
      </c>
      <c r="T203" t="s">
        <v>4200</v>
      </c>
      <c r="U203" t="s">
        <v>4201</v>
      </c>
      <c r="V203" t="s">
        <v>4202</v>
      </c>
      <c r="W203" t="s">
        <v>4203</v>
      </c>
      <c r="X203" t="s">
        <v>4204</v>
      </c>
      <c r="Y203" t="s">
        <v>4205</v>
      </c>
      <c r="Z203" t="s">
        <v>4206</v>
      </c>
      <c r="AA203" t="s">
        <v>4207</v>
      </c>
      <c r="AB203" t="s">
        <v>4208</v>
      </c>
      <c r="AC203" t="s">
        <v>4209</v>
      </c>
      <c r="AD203" t="s">
        <v>4210</v>
      </c>
      <c r="AE203" t="s">
        <v>4211</v>
      </c>
      <c r="AF203" t="s">
        <v>74</v>
      </c>
      <c r="AG203">
        <v>125</v>
      </c>
      <c r="AH203">
        <v>25</v>
      </c>
      <c r="AI203">
        <v>25</v>
      </c>
      <c r="AJ203">
        <v>1</v>
      </c>
      <c r="AK203">
        <v>42</v>
      </c>
      <c r="AL203" t="s">
        <v>124</v>
      </c>
      <c r="AM203" t="s">
        <v>125</v>
      </c>
      <c r="AN203" t="s">
        <v>126</v>
      </c>
      <c r="AO203" t="s">
        <v>127</v>
      </c>
      <c r="AP203" t="s">
        <v>128</v>
      </c>
      <c r="AQ203" t="s">
        <v>74</v>
      </c>
      <c r="AR203" t="s">
        <v>129</v>
      </c>
      <c r="AS203" t="s">
        <v>130</v>
      </c>
      <c r="AT203" t="s">
        <v>2239</v>
      </c>
      <c r="AU203">
        <v>2016</v>
      </c>
      <c r="AV203">
        <v>22</v>
      </c>
      <c r="AW203">
        <v>5</v>
      </c>
      <c r="AX203" t="s">
        <v>74</v>
      </c>
      <c r="AY203" t="s">
        <v>74</v>
      </c>
      <c r="AZ203" t="s">
        <v>74</v>
      </c>
      <c r="BA203" t="s">
        <v>74</v>
      </c>
      <c r="BB203">
        <v>1755</v>
      </c>
      <c r="BC203">
        <v>1768</v>
      </c>
      <c r="BD203" t="s">
        <v>74</v>
      </c>
      <c r="BE203" t="s">
        <v>4212</v>
      </c>
      <c r="BF203" t="str">
        <f>HYPERLINK("http://dx.doi.org/10.1111/gcb.13190","http://dx.doi.org/10.1111/gcb.13190")</f>
        <v>http://dx.doi.org/10.1111/gcb.13190</v>
      </c>
      <c r="BG203" t="s">
        <v>74</v>
      </c>
      <c r="BH203" t="s">
        <v>74</v>
      </c>
      <c r="BI203">
        <v>14</v>
      </c>
      <c r="BJ203" t="s">
        <v>132</v>
      </c>
      <c r="BK203" t="s">
        <v>102</v>
      </c>
      <c r="BL203" t="s">
        <v>133</v>
      </c>
      <c r="BM203" t="s">
        <v>4195</v>
      </c>
      <c r="BN203">
        <v>26667981</v>
      </c>
      <c r="BO203" t="s">
        <v>1800</v>
      </c>
      <c r="BP203" t="s">
        <v>74</v>
      </c>
      <c r="BQ203" t="s">
        <v>74</v>
      </c>
      <c r="BR203" t="s">
        <v>106</v>
      </c>
      <c r="BS203" t="s">
        <v>4213</v>
      </c>
      <c r="BT203" t="str">
        <f>HYPERLINK("https%3A%2F%2Fwww.webofscience.com%2Fwos%2Fwoscc%2Ffull-record%2FWOS:000373130700007","View Full Record in Web of Science")</f>
        <v>View Full Record in Web of Science</v>
      </c>
    </row>
    <row r="204" spans="1:72" x14ac:dyDescent="0.15">
      <c r="A204" t="s">
        <v>72</v>
      </c>
      <c r="B204" t="s">
        <v>4214</v>
      </c>
      <c r="C204" t="s">
        <v>74</v>
      </c>
      <c r="D204" t="s">
        <v>74</v>
      </c>
      <c r="E204" t="s">
        <v>74</v>
      </c>
      <c r="F204" t="s">
        <v>4215</v>
      </c>
      <c r="G204" t="s">
        <v>74</v>
      </c>
      <c r="H204" t="s">
        <v>74</v>
      </c>
      <c r="I204" t="s">
        <v>4216</v>
      </c>
      <c r="J204" t="s">
        <v>4217</v>
      </c>
      <c r="K204" t="s">
        <v>74</v>
      </c>
      <c r="L204" t="s">
        <v>74</v>
      </c>
      <c r="M204" t="s">
        <v>78</v>
      </c>
      <c r="N204" t="s">
        <v>79</v>
      </c>
      <c r="O204" t="s">
        <v>74</v>
      </c>
      <c r="P204" t="s">
        <v>74</v>
      </c>
      <c r="Q204" t="s">
        <v>74</v>
      </c>
      <c r="R204" t="s">
        <v>74</v>
      </c>
      <c r="S204" t="s">
        <v>74</v>
      </c>
      <c r="T204" t="s">
        <v>4218</v>
      </c>
      <c r="U204" t="s">
        <v>4219</v>
      </c>
      <c r="V204" t="s">
        <v>4220</v>
      </c>
      <c r="W204" t="s">
        <v>4221</v>
      </c>
      <c r="X204" t="s">
        <v>4222</v>
      </c>
      <c r="Y204" t="s">
        <v>4223</v>
      </c>
      <c r="Z204" t="s">
        <v>4224</v>
      </c>
      <c r="AA204" t="s">
        <v>4225</v>
      </c>
      <c r="AB204" t="s">
        <v>4226</v>
      </c>
      <c r="AC204" t="s">
        <v>4227</v>
      </c>
      <c r="AD204" t="s">
        <v>4228</v>
      </c>
      <c r="AE204" t="s">
        <v>4229</v>
      </c>
      <c r="AF204" t="s">
        <v>74</v>
      </c>
      <c r="AG204">
        <v>49</v>
      </c>
      <c r="AH204">
        <v>35</v>
      </c>
      <c r="AI204">
        <v>36</v>
      </c>
      <c r="AJ204">
        <v>0</v>
      </c>
      <c r="AK204">
        <v>42</v>
      </c>
      <c r="AL204" t="s">
        <v>582</v>
      </c>
      <c r="AM204" t="s">
        <v>583</v>
      </c>
      <c r="AN204" t="s">
        <v>584</v>
      </c>
      <c r="AO204" t="s">
        <v>4230</v>
      </c>
      <c r="AP204" t="s">
        <v>4231</v>
      </c>
      <c r="AQ204" t="s">
        <v>74</v>
      </c>
      <c r="AR204" t="s">
        <v>4217</v>
      </c>
      <c r="AS204" t="s">
        <v>4232</v>
      </c>
      <c r="AT204" t="s">
        <v>2239</v>
      </c>
      <c r="AU204">
        <v>2016</v>
      </c>
      <c r="AV204">
        <v>55</v>
      </c>
      <c r="AW204" t="s">
        <v>74</v>
      </c>
      <c r="AX204" t="s">
        <v>74</v>
      </c>
      <c r="AY204" t="s">
        <v>74</v>
      </c>
      <c r="AZ204" t="s">
        <v>74</v>
      </c>
      <c r="BA204" t="s">
        <v>74</v>
      </c>
      <c r="BB204">
        <v>238</v>
      </c>
      <c r="BC204">
        <v>249</v>
      </c>
      <c r="BD204" t="s">
        <v>74</v>
      </c>
      <c r="BE204" t="s">
        <v>4233</v>
      </c>
      <c r="BF204" t="str">
        <f>HYPERLINK("http://dx.doi.org/10.1016/j.hal.2016.03.020","http://dx.doi.org/10.1016/j.hal.2016.03.020")</f>
        <v>http://dx.doi.org/10.1016/j.hal.2016.03.020</v>
      </c>
      <c r="BG204" t="s">
        <v>74</v>
      </c>
      <c r="BH204" t="s">
        <v>74</v>
      </c>
      <c r="BI204">
        <v>12</v>
      </c>
      <c r="BJ204" t="s">
        <v>201</v>
      </c>
      <c r="BK204" t="s">
        <v>102</v>
      </c>
      <c r="BL204" t="s">
        <v>201</v>
      </c>
      <c r="BM204" t="s">
        <v>4234</v>
      </c>
      <c r="BN204">
        <v>28073537</v>
      </c>
      <c r="BO204" t="s">
        <v>74</v>
      </c>
      <c r="BP204" t="s">
        <v>74</v>
      </c>
      <c r="BQ204" t="s">
        <v>74</v>
      </c>
      <c r="BR204" t="s">
        <v>106</v>
      </c>
      <c r="BS204" t="s">
        <v>4235</v>
      </c>
      <c r="BT204" t="str">
        <f>HYPERLINK("https%3A%2F%2Fwww.webofscience.com%2Fwos%2Fwoscc%2Ffull-record%2FWOS:000377323300023","View Full Record in Web of Science")</f>
        <v>View Full Record in Web of Science</v>
      </c>
    </row>
    <row r="205" spans="1:72" x14ac:dyDescent="0.15">
      <c r="A205" t="s">
        <v>72</v>
      </c>
      <c r="B205" t="s">
        <v>4236</v>
      </c>
      <c r="C205" t="s">
        <v>74</v>
      </c>
      <c r="D205" t="s">
        <v>74</v>
      </c>
      <c r="E205" t="s">
        <v>74</v>
      </c>
      <c r="F205" t="s">
        <v>4237</v>
      </c>
      <c r="G205" t="s">
        <v>74</v>
      </c>
      <c r="H205" t="s">
        <v>74</v>
      </c>
      <c r="I205" t="s">
        <v>4238</v>
      </c>
      <c r="J205" t="s">
        <v>181</v>
      </c>
      <c r="K205" t="s">
        <v>74</v>
      </c>
      <c r="L205" t="s">
        <v>74</v>
      </c>
      <c r="M205" t="s">
        <v>78</v>
      </c>
      <c r="N205" t="s">
        <v>573</v>
      </c>
      <c r="O205" t="s">
        <v>74</v>
      </c>
      <c r="P205" t="s">
        <v>74</v>
      </c>
      <c r="Q205" t="s">
        <v>74</v>
      </c>
      <c r="R205" t="s">
        <v>74</v>
      </c>
      <c r="S205" t="s">
        <v>74</v>
      </c>
      <c r="T205" t="s">
        <v>4239</v>
      </c>
      <c r="U205" t="s">
        <v>4240</v>
      </c>
      <c r="V205" t="s">
        <v>4241</v>
      </c>
      <c r="W205" t="s">
        <v>4242</v>
      </c>
      <c r="X205" t="s">
        <v>4243</v>
      </c>
      <c r="Y205" t="s">
        <v>4244</v>
      </c>
      <c r="Z205" t="s">
        <v>4245</v>
      </c>
      <c r="AA205" t="s">
        <v>4246</v>
      </c>
      <c r="AB205" t="s">
        <v>4247</v>
      </c>
      <c r="AC205" t="s">
        <v>74</v>
      </c>
      <c r="AD205" t="s">
        <v>74</v>
      </c>
      <c r="AE205" t="s">
        <v>74</v>
      </c>
      <c r="AF205" t="s">
        <v>74</v>
      </c>
      <c r="AG205">
        <v>46</v>
      </c>
      <c r="AH205">
        <v>7</v>
      </c>
      <c r="AI205">
        <v>8</v>
      </c>
      <c r="AJ205">
        <v>3</v>
      </c>
      <c r="AK205">
        <v>30</v>
      </c>
      <c r="AL205" t="s">
        <v>194</v>
      </c>
      <c r="AM205" t="s">
        <v>195</v>
      </c>
      <c r="AN205" t="s">
        <v>196</v>
      </c>
      <c r="AO205" t="s">
        <v>197</v>
      </c>
      <c r="AP205" t="s">
        <v>198</v>
      </c>
      <c r="AQ205" t="s">
        <v>74</v>
      </c>
      <c r="AR205" t="s">
        <v>181</v>
      </c>
      <c r="AS205" t="s">
        <v>199</v>
      </c>
      <c r="AT205" t="s">
        <v>2239</v>
      </c>
      <c r="AU205">
        <v>2016</v>
      </c>
      <c r="AV205">
        <v>771</v>
      </c>
      <c r="AW205">
        <v>1</v>
      </c>
      <c r="AX205" t="s">
        <v>74</v>
      </c>
      <c r="AY205" t="s">
        <v>74</v>
      </c>
      <c r="AZ205" t="s">
        <v>74</v>
      </c>
      <c r="BA205" t="s">
        <v>74</v>
      </c>
      <c r="BB205">
        <v>1</v>
      </c>
      <c r="BC205">
        <v>7</v>
      </c>
      <c r="BD205" t="s">
        <v>74</v>
      </c>
      <c r="BE205" t="s">
        <v>4248</v>
      </c>
      <c r="BF205" t="str">
        <f>HYPERLINK("http://dx.doi.org/10.1007/s10750-015-2607-4","http://dx.doi.org/10.1007/s10750-015-2607-4")</f>
        <v>http://dx.doi.org/10.1007/s10750-015-2607-4</v>
      </c>
      <c r="BG205" t="s">
        <v>74</v>
      </c>
      <c r="BH205" t="s">
        <v>74</v>
      </c>
      <c r="BI205">
        <v>7</v>
      </c>
      <c r="BJ205" t="s">
        <v>201</v>
      </c>
      <c r="BK205" t="s">
        <v>102</v>
      </c>
      <c r="BL205" t="s">
        <v>201</v>
      </c>
      <c r="BM205" t="s">
        <v>4249</v>
      </c>
      <c r="BN205" t="s">
        <v>74</v>
      </c>
      <c r="BO205" t="s">
        <v>74</v>
      </c>
      <c r="BP205" t="s">
        <v>74</v>
      </c>
      <c r="BQ205" t="s">
        <v>74</v>
      </c>
      <c r="BR205" t="s">
        <v>106</v>
      </c>
      <c r="BS205" t="s">
        <v>4250</v>
      </c>
      <c r="BT205" t="str">
        <f>HYPERLINK("https%3A%2F%2Fwww.webofscience.com%2Fwos%2Fwoscc%2Ffull-record%2FWOS:000372798500001","View Full Record in Web of Science")</f>
        <v>View Full Record in Web of Science</v>
      </c>
    </row>
    <row r="206" spans="1:72" x14ac:dyDescent="0.15">
      <c r="A206" t="s">
        <v>72</v>
      </c>
      <c r="B206" t="s">
        <v>4251</v>
      </c>
      <c r="C206" t="s">
        <v>74</v>
      </c>
      <c r="D206" t="s">
        <v>74</v>
      </c>
      <c r="E206" t="s">
        <v>74</v>
      </c>
      <c r="F206" t="s">
        <v>4252</v>
      </c>
      <c r="G206" t="s">
        <v>74</v>
      </c>
      <c r="H206" t="s">
        <v>74</v>
      </c>
      <c r="I206" t="s">
        <v>4253</v>
      </c>
      <c r="J206" t="s">
        <v>181</v>
      </c>
      <c r="K206" t="s">
        <v>74</v>
      </c>
      <c r="L206" t="s">
        <v>74</v>
      </c>
      <c r="M206" t="s">
        <v>78</v>
      </c>
      <c r="N206" t="s">
        <v>573</v>
      </c>
      <c r="O206" t="s">
        <v>74</v>
      </c>
      <c r="P206" t="s">
        <v>74</v>
      </c>
      <c r="Q206" t="s">
        <v>74</v>
      </c>
      <c r="R206" t="s">
        <v>74</v>
      </c>
      <c r="S206" t="s">
        <v>74</v>
      </c>
      <c r="T206" t="s">
        <v>4254</v>
      </c>
      <c r="U206" t="s">
        <v>4255</v>
      </c>
      <c r="V206" t="s">
        <v>4256</v>
      </c>
      <c r="W206" t="s">
        <v>4257</v>
      </c>
      <c r="X206" t="s">
        <v>4258</v>
      </c>
      <c r="Y206" t="s">
        <v>4259</v>
      </c>
      <c r="Z206" t="s">
        <v>4260</v>
      </c>
      <c r="AA206" t="s">
        <v>4261</v>
      </c>
      <c r="AB206" t="s">
        <v>4262</v>
      </c>
      <c r="AC206" t="s">
        <v>74</v>
      </c>
      <c r="AD206" t="s">
        <v>74</v>
      </c>
      <c r="AE206" t="s">
        <v>74</v>
      </c>
      <c r="AF206" t="s">
        <v>74</v>
      </c>
      <c r="AG206">
        <v>17</v>
      </c>
      <c r="AH206">
        <v>1</v>
      </c>
      <c r="AI206">
        <v>1</v>
      </c>
      <c r="AJ206">
        <v>1</v>
      </c>
      <c r="AK206">
        <v>17</v>
      </c>
      <c r="AL206" t="s">
        <v>194</v>
      </c>
      <c r="AM206" t="s">
        <v>195</v>
      </c>
      <c r="AN206" t="s">
        <v>196</v>
      </c>
      <c r="AO206" t="s">
        <v>197</v>
      </c>
      <c r="AP206" t="s">
        <v>198</v>
      </c>
      <c r="AQ206" t="s">
        <v>74</v>
      </c>
      <c r="AR206" t="s">
        <v>181</v>
      </c>
      <c r="AS206" t="s">
        <v>199</v>
      </c>
      <c r="AT206" t="s">
        <v>2239</v>
      </c>
      <c r="AU206">
        <v>2016</v>
      </c>
      <c r="AV206">
        <v>771</v>
      </c>
      <c r="AW206">
        <v>1</v>
      </c>
      <c r="AX206" t="s">
        <v>74</v>
      </c>
      <c r="AY206" t="s">
        <v>74</v>
      </c>
      <c r="AZ206" t="s">
        <v>74</v>
      </c>
      <c r="BA206" t="s">
        <v>74</v>
      </c>
      <c r="BB206">
        <v>9</v>
      </c>
      <c r="BC206">
        <v>12</v>
      </c>
      <c r="BD206" t="s">
        <v>74</v>
      </c>
      <c r="BE206" t="s">
        <v>4263</v>
      </c>
      <c r="BF206" t="str">
        <f>HYPERLINK("http://dx.doi.org/10.1007/s10750-016-2691-0","http://dx.doi.org/10.1007/s10750-016-2691-0")</f>
        <v>http://dx.doi.org/10.1007/s10750-016-2691-0</v>
      </c>
      <c r="BG206" t="s">
        <v>74</v>
      </c>
      <c r="BH206" t="s">
        <v>74</v>
      </c>
      <c r="BI206">
        <v>4</v>
      </c>
      <c r="BJ206" t="s">
        <v>201</v>
      </c>
      <c r="BK206" t="s">
        <v>102</v>
      </c>
      <c r="BL206" t="s">
        <v>201</v>
      </c>
      <c r="BM206" t="s">
        <v>4249</v>
      </c>
      <c r="BN206" t="s">
        <v>74</v>
      </c>
      <c r="BO206" t="s">
        <v>74</v>
      </c>
      <c r="BP206" t="s">
        <v>74</v>
      </c>
      <c r="BQ206" t="s">
        <v>74</v>
      </c>
      <c r="BR206" t="s">
        <v>106</v>
      </c>
      <c r="BS206" t="s">
        <v>4264</v>
      </c>
      <c r="BT206" t="str">
        <f>HYPERLINK("https%3A%2F%2Fwww.webofscience.com%2Fwos%2Fwoscc%2Ffull-record%2FWOS:000372798500002","View Full Record in Web of Science")</f>
        <v>View Full Record in Web of Science</v>
      </c>
    </row>
    <row r="207" spans="1:72" x14ac:dyDescent="0.15">
      <c r="A207" t="s">
        <v>72</v>
      </c>
      <c r="B207" t="s">
        <v>4265</v>
      </c>
      <c r="C207" t="s">
        <v>74</v>
      </c>
      <c r="D207" t="s">
        <v>74</v>
      </c>
      <c r="E207" t="s">
        <v>74</v>
      </c>
      <c r="F207" t="s">
        <v>4266</v>
      </c>
      <c r="G207" t="s">
        <v>74</v>
      </c>
      <c r="H207" t="s">
        <v>74</v>
      </c>
      <c r="I207" t="s">
        <v>4267</v>
      </c>
      <c r="J207" t="s">
        <v>4268</v>
      </c>
      <c r="K207" t="s">
        <v>74</v>
      </c>
      <c r="L207" t="s">
        <v>74</v>
      </c>
      <c r="M207" t="s">
        <v>78</v>
      </c>
      <c r="N207" t="s">
        <v>3736</v>
      </c>
      <c r="O207" t="s">
        <v>4269</v>
      </c>
      <c r="P207" t="s">
        <v>4270</v>
      </c>
      <c r="Q207" t="s">
        <v>4271</v>
      </c>
      <c r="R207" t="s">
        <v>74</v>
      </c>
      <c r="S207" t="s">
        <v>4272</v>
      </c>
      <c r="T207" t="s">
        <v>4273</v>
      </c>
      <c r="U207" t="s">
        <v>4274</v>
      </c>
      <c r="V207" t="s">
        <v>4275</v>
      </c>
      <c r="W207" t="s">
        <v>4276</v>
      </c>
      <c r="X207" t="s">
        <v>4277</v>
      </c>
      <c r="Y207" t="s">
        <v>4278</v>
      </c>
      <c r="Z207" t="s">
        <v>933</v>
      </c>
      <c r="AA207" t="s">
        <v>4279</v>
      </c>
      <c r="AB207" t="s">
        <v>4280</v>
      </c>
      <c r="AC207" t="s">
        <v>74</v>
      </c>
      <c r="AD207" t="s">
        <v>74</v>
      </c>
      <c r="AE207" t="s">
        <v>74</v>
      </c>
      <c r="AF207" t="s">
        <v>74</v>
      </c>
      <c r="AG207">
        <v>107</v>
      </c>
      <c r="AH207">
        <v>18</v>
      </c>
      <c r="AI207">
        <v>19</v>
      </c>
      <c r="AJ207">
        <v>0</v>
      </c>
      <c r="AK207">
        <v>44</v>
      </c>
      <c r="AL207" t="s">
        <v>1657</v>
      </c>
      <c r="AM207" t="s">
        <v>679</v>
      </c>
      <c r="AN207" t="s">
        <v>1658</v>
      </c>
      <c r="AO207" t="s">
        <v>4281</v>
      </c>
      <c r="AP207" t="s">
        <v>4282</v>
      </c>
      <c r="AQ207" t="s">
        <v>74</v>
      </c>
      <c r="AR207" t="s">
        <v>4283</v>
      </c>
      <c r="AS207" t="s">
        <v>4284</v>
      </c>
      <c r="AT207" t="s">
        <v>2513</v>
      </c>
      <c r="AU207">
        <v>2016</v>
      </c>
      <c r="AV207">
        <v>73</v>
      </c>
      <c r="AW207">
        <v>5</v>
      </c>
      <c r="AX207" t="s">
        <v>74</v>
      </c>
      <c r="AY207" t="s">
        <v>74</v>
      </c>
      <c r="AZ207" t="s">
        <v>74</v>
      </c>
      <c r="BA207" t="s">
        <v>74</v>
      </c>
      <c r="BB207">
        <v>1306</v>
      </c>
      <c r="BC207">
        <v>1318</v>
      </c>
      <c r="BD207" t="s">
        <v>74</v>
      </c>
      <c r="BE207" t="s">
        <v>4285</v>
      </c>
      <c r="BF207" t="str">
        <f>HYPERLINK("http://dx.doi.org/10.1093/icesjms/fsv192","http://dx.doi.org/10.1093/icesjms/fsv192")</f>
        <v>http://dx.doi.org/10.1093/icesjms/fsv192</v>
      </c>
      <c r="BG207" t="s">
        <v>74</v>
      </c>
      <c r="BH207" t="s">
        <v>74</v>
      </c>
      <c r="BI207">
        <v>13</v>
      </c>
      <c r="BJ207" t="s">
        <v>4286</v>
      </c>
      <c r="BK207" t="s">
        <v>4287</v>
      </c>
      <c r="BL207" t="s">
        <v>4286</v>
      </c>
      <c r="BM207" t="s">
        <v>4288</v>
      </c>
      <c r="BN207" t="s">
        <v>74</v>
      </c>
      <c r="BO207" t="s">
        <v>420</v>
      </c>
      <c r="BP207" t="s">
        <v>74</v>
      </c>
      <c r="BQ207" t="s">
        <v>74</v>
      </c>
      <c r="BR207" t="s">
        <v>106</v>
      </c>
      <c r="BS207" t="s">
        <v>4289</v>
      </c>
      <c r="BT207" t="str">
        <f>HYPERLINK("https%3A%2F%2Fwww.webofscience.com%2Fwos%2Fwoscc%2Ffull-record%2FWOS:000378640100005","View Full Record in Web of Science")</f>
        <v>View Full Record in Web of Science</v>
      </c>
    </row>
    <row r="208" spans="1:72" x14ac:dyDescent="0.15">
      <c r="A208" t="s">
        <v>72</v>
      </c>
      <c r="B208" t="s">
        <v>4290</v>
      </c>
      <c r="C208" t="s">
        <v>74</v>
      </c>
      <c r="D208" t="s">
        <v>74</v>
      </c>
      <c r="E208" t="s">
        <v>74</v>
      </c>
      <c r="F208" t="s">
        <v>4291</v>
      </c>
      <c r="G208" t="s">
        <v>74</v>
      </c>
      <c r="H208" t="s">
        <v>74</v>
      </c>
      <c r="I208" t="s">
        <v>4292</v>
      </c>
      <c r="J208" t="s">
        <v>4268</v>
      </c>
      <c r="K208" t="s">
        <v>74</v>
      </c>
      <c r="L208" t="s">
        <v>74</v>
      </c>
      <c r="M208" t="s">
        <v>78</v>
      </c>
      <c r="N208" t="s">
        <v>573</v>
      </c>
      <c r="O208" t="s">
        <v>74</v>
      </c>
      <c r="P208" t="s">
        <v>74</v>
      </c>
      <c r="Q208" t="s">
        <v>74</v>
      </c>
      <c r="R208" t="s">
        <v>74</v>
      </c>
      <c r="S208" t="s">
        <v>74</v>
      </c>
      <c r="T208" t="s">
        <v>4293</v>
      </c>
      <c r="U208" t="s">
        <v>4294</v>
      </c>
      <c r="V208" t="s">
        <v>4295</v>
      </c>
      <c r="W208" t="s">
        <v>4296</v>
      </c>
      <c r="X208" t="s">
        <v>4297</v>
      </c>
      <c r="Y208" t="s">
        <v>4298</v>
      </c>
      <c r="Z208" t="s">
        <v>4299</v>
      </c>
      <c r="AA208" t="s">
        <v>4300</v>
      </c>
      <c r="AB208" t="s">
        <v>4301</v>
      </c>
      <c r="AC208" t="s">
        <v>4302</v>
      </c>
      <c r="AD208" t="s">
        <v>4303</v>
      </c>
      <c r="AE208" t="s">
        <v>74</v>
      </c>
      <c r="AF208" t="s">
        <v>74</v>
      </c>
      <c r="AG208">
        <v>43</v>
      </c>
      <c r="AH208">
        <v>25</v>
      </c>
      <c r="AI208">
        <v>26</v>
      </c>
      <c r="AJ208">
        <v>1</v>
      </c>
      <c r="AK208">
        <v>23</v>
      </c>
      <c r="AL208" t="s">
        <v>1657</v>
      </c>
      <c r="AM208" t="s">
        <v>679</v>
      </c>
      <c r="AN208" t="s">
        <v>1658</v>
      </c>
      <c r="AO208" t="s">
        <v>4281</v>
      </c>
      <c r="AP208" t="s">
        <v>4282</v>
      </c>
      <c r="AQ208" t="s">
        <v>74</v>
      </c>
      <c r="AR208" t="s">
        <v>4283</v>
      </c>
      <c r="AS208" t="s">
        <v>4284</v>
      </c>
      <c r="AT208" t="s">
        <v>2513</v>
      </c>
      <c r="AU208">
        <v>2016</v>
      </c>
      <c r="AV208">
        <v>73</v>
      </c>
      <c r="AW208">
        <v>6</v>
      </c>
      <c r="AX208" t="s">
        <v>74</v>
      </c>
      <c r="AY208" t="s">
        <v>74</v>
      </c>
      <c r="AZ208" t="s">
        <v>74</v>
      </c>
      <c r="BA208" t="s">
        <v>74</v>
      </c>
      <c r="BB208">
        <v>1651</v>
      </c>
      <c r="BC208">
        <v>1655</v>
      </c>
      <c r="BD208" t="s">
        <v>74</v>
      </c>
      <c r="BE208" t="s">
        <v>4304</v>
      </c>
      <c r="BF208" t="str">
        <f>HYPERLINK("http://dx.doi.org/10.1093/icesjms/fsv211","http://dx.doi.org/10.1093/icesjms/fsv211")</f>
        <v>http://dx.doi.org/10.1093/icesjms/fsv211</v>
      </c>
      <c r="BG208" t="s">
        <v>74</v>
      </c>
      <c r="BH208" t="s">
        <v>74</v>
      </c>
      <c r="BI208">
        <v>5</v>
      </c>
      <c r="BJ208" t="s">
        <v>4286</v>
      </c>
      <c r="BK208" t="s">
        <v>102</v>
      </c>
      <c r="BL208" t="s">
        <v>4286</v>
      </c>
      <c r="BM208" t="s">
        <v>4305</v>
      </c>
      <c r="BN208" t="s">
        <v>74</v>
      </c>
      <c r="BO208" t="s">
        <v>420</v>
      </c>
      <c r="BP208" t="s">
        <v>74</v>
      </c>
      <c r="BQ208" t="s">
        <v>74</v>
      </c>
      <c r="BR208" t="s">
        <v>106</v>
      </c>
      <c r="BS208" t="s">
        <v>4306</v>
      </c>
      <c r="BT208" t="str">
        <f>HYPERLINK("https%3A%2F%2Fwww.webofscience.com%2Fwos%2Fwoscc%2Ffull-record%2FWOS:000379358600021","View Full Record in Web of Science")</f>
        <v>View Full Record in Web of Science</v>
      </c>
    </row>
    <row r="209" spans="1:72" x14ac:dyDescent="0.15">
      <c r="A209" t="s">
        <v>72</v>
      </c>
      <c r="B209" t="s">
        <v>4307</v>
      </c>
      <c r="C209" t="s">
        <v>74</v>
      </c>
      <c r="D209" t="s">
        <v>74</v>
      </c>
      <c r="E209" t="s">
        <v>74</v>
      </c>
      <c r="F209" t="s">
        <v>4308</v>
      </c>
      <c r="G209" t="s">
        <v>74</v>
      </c>
      <c r="H209" t="s">
        <v>74</v>
      </c>
      <c r="I209" t="s">
        <v>4309</v>
      </c>
      <c r="J209" t="s">
        <v>4310</v>
      </c>
      <c r="K209" t="s">
        <v>74</v>
      </c>
      <c r="L209" t="s">
        <v>74</v>
      </c>
      <c r="M209" t="s">
        <v>78</v>
      </c>
      <c r="N209" t="s">
        <v>79</v>
      </c>
      <c r="O209" t="s">
        <v>74</v>
      </c>
      <c r="P209" t="s">
        <v>74</v>
      </c>
      <c r="Q209" t="s">
        <v>74</v>
      </c>
      <c r="R209" t="s">
        <v>74</v>
      </c>
      <c r="S209" t="s">
        <v>74</v>
      </c>
      <c r="T209" t="s">
        <v>4311</v>
      </c>
      <c r="U209" t="s">
        <v>4312</v>
      </c>
      <c r="V209" t="s">
        <v>4313</v>
      </c>
      <c r="W209" t="s">
        <v>4314</v>
      </c>
      <c r="X209" t="s">
        <v>4315</v>
      </c>
      <c r="Y209" t="s">
        <v>4316</v>
      </c>
      <c r="Z209" t="s">
        <v>4317</v>
      </c>
      <c r="AA209" t="s">
        <v>4318</v>
      </c>
      <c r="AB209" t="s">
        <v>4319</v>
      </c>
      <c r="AC209" t="s">
        <v>74</v>
      </c>
      <c r="AD209" t="s">
        <v>74</v>
      </c>
      <c r="AE209" t="s">
        <v>74</v>
      </c>
      <c r="AF209" t="s">
        <v>74</v>
      </c>
      <c r="AG209">
        <v>32</v>
      </c>
      <c r="AH209">
        <v>30</v>
      </c>
      <c r="AI209">
        <v>31</v>
      </c>
      <c r="AJ209">
        <v>0</v>
      </c>
      <c r="AK209">
        <v>37</v>
      </c>
      <c r="AL209" t="s">
        <v>4320</v>
      </c>
      <c r="AM209" t="s">
        <v>4321</v>
      </c>
      <c r="AN209" t="s">
        <v>4322</v>
      </c>
      <c r="AO209" t="s">
        <v>4323</v>
      </c>
      <c r="AP209" t="s">
        <v>4324</v>
      </c>
      <c r="AQ209" t="s">
        <v>74</v>
      </c>
      <c r="AR209" t="s">
        <v>4325</v>
      </c>
      <c r="AS209" t="s">
        <v>4326</v>
      </c>
      <c r="AT209" t="s">
        <v>2239</v>
      </c>
      <c r="AU209">
        <v>2016</v>
      </c>
      <c r="AV209">
        <v>54</v>
      </c>
      <c r="AW209">
        <v>5</v>
      </c>
      <c r="AX209" t="s">
        <v>74</v>
      </c>
      <c r="AY209" t="s">
        <v>74</v>
      </c>
      <c r="AZ209" t="s">
        <v>74</v>
      </c>
      <c r="BA209" t="s">
        <v>74</v>
      </c>
      <c r="BB209">
        <v>2918</v>
      </c>
      <c r="BC209">
        <v>2924</v>
      </c>
      <c r="BD209" t="s">
        <v>74</v>
      </c>
      <c r="BE209" t="s">
        <v>4327</v>
      </c>
      <c r="BF209" t="str">
        <f>HYPERLINK("http://dx.doi.org/10.1109/TGRS.2015.2508379","http://dx.doi.org/10.1109/TGRS.2015.2508379")</f>
        <v>http://dx.doi.org/10.1109/TGRS.2015.2508379</v>
      </c>
      <c r="BG209" t="s">
        <v>74</v>
      </c>
      <c r="BH209" t="s">
        <v>74</v>
      </c>
      <c r="BI209">
        <v>7</v>
      </c>
      <c r="BJ209" t="s">
        <v>4328</v>
      </c>
      <c r="BK209" t="s">
        <v>102</v>
      </c>
      <c r="BL209" t="s">
        <v>4329</v>
      </c>
      <c r="BM209" t="s">
        <v>4330</v>
      </c>
      <c r="BN209" t="s">
        <v>74</v>
      </c>
      <c r="BO209" t="s">
        <v>74</v>
      </c>
      <c r="BP209" t="s">
        <v>74</v>
      </c>
      <c r="BQ209" t="s">
        <v>74</v>
      </c>
      <c r="BR209" t="s">
        <v>106</v>
      </c>
      <c r="BS209" t="s">
        <v>4331</v>
      </c>
      <c r="BT209" t="str">
        <f>HYPERLINK("https%3A%2F%2Fwww.webofscience.com%2Fwos%2Fwoscc%2Ffull-record%2FWOS:000374968500034","View Full Record in Web of Science")</f>
        <v>View Full Record in Web of Science</v>
      </c>
    </row>
    <row r="210" spans="1:72" x14ac:dyDescent="0.15">
      <c r="A210" t="s">
        <v>72</v>
      </c>
      <c r="B210" t="s">
        <v>4332</v>
      </c>
      <c r="C210" t="s">
        <v>74</v>
      </c>
      <c r="D210" t="s">
        <v>74</v>
      </c>
      <c r="E210" t="s">
        <v>74</v>
      </c>
      <c r="F210" t="s">
        <v>4333</v>
      </c>
      <c r="G210" t="s">
        <v>74</v>
      </c>
      <c r="H210" t="s">
        <v>74</v>
      </c>
      <c r="I210" t="s">
        <v>4334</v>
      </c>
      <c r="J210" t="s">
        <v>4310</v>
      </c>
      <c r="K210" t="s">
        <v>74</v>
      </c>
      <c r="L210" t="s">
        <v>74</v>
      </c>
      <c r="M210" t="s">
        <v>78</v>
      </c>
      <c r="N210" t="s">
        <v>79</v>
      </c>
      <c r="O210" t="s">
        <v>74</v>
      </c>
      <c r="P210" t="s">
        <v>74</v>
      </c>
      <c r="Q210" t="s">
        <v>74</v>
      </c>
      <c r="R210" t="s">
        <v>74</v>
      </c>
      <c r="S210" t="s">
        <v>74</v>
      </c>
      <c r="T210" t="s">
        <v>4335</v>
      </c>
      <c r="U210" t="s">
        <v>4336</v>
      </c>
      <c r="V210" t="s">
        <v>4337</v>
      </c>
      <c r="W210" t="s">
        <v>4338</v>
      </c>
      <c r="X210" t="s">
        <v>4339</v>
      </c>
      <c r="Y210" t="s">
        <v>4340</v>
      </c>
      <c r="Z210" t="s">
        <v>4341</v>
      </c>
      <c r="AA210" t="s">
        <v>4342</v>
      </c>
      <c r="AB210" t="s">
        <v>4343</v>
      </c>
      <c r="AC210" t="s">
        <v>4344</v>
      </c>
      <c r="AD210" t="s">
        <v>1398</v>
      </c>
      <c r="AE210" t="s">
        <v>4345</v>
      </c>
      <c r="AF210" t="s">
        <v>74</v>
      </c>
      <c r="AG210">
        <v>64</v>
      </c>
      <c r="AH210">
        <v>20</v>
      </c>
      <c r="AI210">
        <v>20</v>
      </c>
      <c r="AJ210">
        <v>0</v>
      </c>
      <c r="AK210">
        <v>16</v>
      </c>
      <c r="AL210" t="s">
        <v>4320</v>
      </c>
      <c r="AM210" t="s">
        <v>4321</v>
      </c>
      <c r="AN210" t="s">
        <v>4322</v>
      </c>
      <c r="AO210" t="s">
        <v>4323</v>
      </c>
      <c r="AP210" t="s">
        <v>4324</v>
      </c>
      <c r="AQ210" t="s">
        <v>74</v>
      </c>
      <c r="AR210" t="s">
        <v>4325</v>
      </c>
      <c r="AS210" t="s">
        <v>4326</v>
      </c>
      <c r="AT210" t="s">
        <v>2239</v>
      </c>
      <c r="AU210">
        <v>2016</v>
      </c>
      <c r="AV210">
        <v>54</v>
      </c>
      <c r="AW210">
        <v>5</v>
      </c>
      <c r="AX210" t="s">
        <v>74</v>
      </c>
      <c r="AY210" t="s">
        <v>74</v>
      </c>
      <c r="AZ210" t="s">
        <v>74</v>
      </c>
      <c r="BA210" t="s">
        <v>74</v>
      </c>
      <c r="BB210">
        <v>2935</v>
      </c>
      <c r="BC210">
        <v>2948</v>
      </c>
      <c r="BD210" t="s">
        <v>74</v>
      </c>
      <c r="BE210" t="s">
        <v>4346</v>
      </c>
      <c r="BF210" t="str">
        <f>HYPERLINK("http://dx.doi.org/10.1109/TGRS.2015.2509059","http://dx.doi.org/10.1109/TGRS.2015.2509059")</f>
        <v>http://dx.doi.org/10.1109/TGRS.2015.2509059</v>
      </c>
      <c r="BG210" t="s">
        <v>74</v>
      </c>
      <c r="BH210" t="s">
        <v>74</v>
      </c>
      <c r="BI210">
        <v>14</v>
      </c>
      <c r="BJ210" t="s">
        <v>4328</v>
      </c>
      <c r="BK210" t="s">
        <v>102</v>
      </c>
      <c r="BL210" t="s">
        <v>4329</v>
      </c>
      <c r="BM210" t="s">
        <v>4330</v>
      </c>
      <c r="BN210" t="s">
        <v>74</v>
      </c>
      <c r="BO210" t="s">
        <v>74</v>
      </c>
      <c r="BP210" t="s">
        <v>74</v>
      </c>
      <c r="BQ210" t="s">
        <v>74</v>
      </c>
      <c r="BR210" t="s">
        <v>106</v>
      </c>
      <c r="BS210" t="s">
        <v>4347</v>
      </c>
      <c r="BT210" t="str">
        <f>HYPERLINK("https%3A%2F%2Fwww.webofscience.com%2Fwos%2Fwoscc%2Ffull-record%2FWOS:000374968500036","View Full Record in Web of Science")</f>
        <v>View Full Record in Web of Science</v>
      </c>
    </row>
    <row r="211" spans="1:72" x14ac:dyDescent="0.15">
      <c r="A211" t="s">
        <v>72</v>
      </c>
      <c r="B211" t="s">
        <v>4348</v>
      </c>
      <c r="C211" t="s">
        <v>74</v>
      </c>
      <c r="D211" t="s">
        <v>74</v>
      </c>
      <c r="E211" t="s">
        <v>74</v>
      </c>
      <c r="F211" t="s">
        <v>4349</v>
      </c>
      <c r="G211" t="s">
        <v>74</v>
      </c>
      <c r="H211" t="s">
        <v>74</v>
      </c>
      <c r="I211" t="s">
        <v>4350</v>
      </c>
      <c r="J211" t="s">
        <v>3609</v>
      </c>
      <c r="K211" t="s">
        <v>74</v>
      </c>
      <c r="L211" t="s">
        <v>74</v>
      </c>
      <c r="M211" t="s">
        <v>78</v>
      </c>
      <c r="N211" t="s">
        <v>1869</v>
      </c>
      <c r="O211" t="s">
        <v>74</v>
      </c>
      <c r="P211" t="s">
        <v>74</v>
      </c>
      <c r="Q211" t="s">
        <v>74</v>
      </c>
      <c r="R211" t="s">
        <v>74</v>
      </c>
      <c r="S211" t="s">
        <v>74</v>
      </c>
      <c r="T211" t="s">
        <v>74</v>
      </c>
      <c r="U211" t="s">
        <v>74</v>
      </c>
      <c r="V211" t="s">
        <v>74</v>
      </c>
      <c r="W211" t="s">
        <v>4351</v>
      </c>
      <c r="X211" t="s">
        <v>4352</v>
      </c>
      <c r="Y211" t="s">
        <v>4353</v>
      </c>
      <c r="Z211" t="s">
        <v>4354</v>
      </c>
      <c r="AA211" t="s">
        <v>4355</v>
      </c>
      <c r="AB211" t="s">
        <v>4356</v>
      </c>
      <c r="AC211" t="s">
        <v>74</v>
      </c>
      <c r="AD211" t="s">
        <v>74</v>
      </c>
      <c r="AE211" t="s">
        <v>74</v>
      </c>
      <c r="AF211" t="s">
        <v>74</v>
      </c>
      <c r="AG211">
        <v>3</v>
      </c>
      <c r="AH211">
        <v>0</v>
      </c>
      <c r="AI211">
        <v>0</v>
      </c>
      <c r="AJ211">
        <v>0</v>
      </c>
      <c r="AK211">
        <v>1</v>
      </c>
      <c r="AL211" t="s">
        <v>1829</v>
      </c>
      <c r="AM211" t="s">
        <v>679</v>
      </c>
      <c r="AN211" t="s">
        <v>1830</v>
      </c>
      <c r="AO211" t="s">
        <v>3622</v>
      </c>
      <c r="AP211" t="s">
        <v>3623</v>
      </c>
      <c r="AQ211" t="s">
        <v>74</v>
      </c>
      <c r="AR211" t="s">
        <v>3624</v>
      </c>
      <c r="AS211" t="s">
        <v>3625</v>
      </c>
      <c r="AT211" t="s">
        <v>2239</v>
      </c>
      <c r="AU211">
        <v>2016</v>
      </c>
      <c r="AV211">
        <v>142</v>
      </c>
      <c r="AW211" t="s">
        <v>74</v>
      </c>
      <c r="AX211" t="s">
        <v>74</v>
      </c>
      <c r="AY211" t="s">
        <v>74</v>
      </c>
      <c r="AZ211" t="s">
        <v>74</v>
      </c>
      <c r="BA211" t="s">
        <v>74</v>
      </c>
      <c r="BB211">
        <v>150</v>
      </c>
      <c r="BC211">
        <v>151</v>
      </c>
      <c r="BD211" t="s">
        <v>74</v>
      </c>
      <c r="BE211" t="s">
        <v>4357</v>
      </c>
      <c r="BF211" t="str">
        <f>HYPERLINK("http://dx.doi.org/10.1016/j.jastp.2016.02.001","http://dx.doi.org/10.1016/j.jastp.2016.02.001")</f>
        <v>http://dx.doi.org/10.1016/j.jastp.2016.02.001</v>
      </c>
      <c r="BG211" t="s">
        <v>74</v>
      </c>
      <c r="BH211" t="s">
        <v>74</v>
      </c>
      <c r="BI211">
        <v>2</v>
      </c>
      <c r="BJ211" t="s">
        <v>3627</v>
      </c>
      <c r="BK211" t="s">
        <v>102</v>
      </c>
      <c r="BL211" t="s">
        <v>3627</v>
      </c>
      <c r="BM211" t="s">
        <v>3628</v>
      </c>
      <c r="BN211" t="s">
        <v>74</v>
      </c>
      <c r="BO211" t="s">
        <v>380</v>
      </c>
      <c r="BP211" t="s">
        <v>74</v>
      </c>
      <c r="BQ211" t="s">
        <v>74</v>
      </c>
      <c r="BR211" t="s">
        <v>106</v>
      </c>
      <c r="BS211" t="s">
        <v>4358</v>
      </c>
      <c r="BT211" t="str">
        <f>HYPERLINK("https%3A%2F%2Fwww.webofscience.com%2Fwos%2Fwoscc%2Ffull-record%2FWOS:000374079700014","View Full Record in Web of Science")</f>
        <v>View Full Record in Web of Science</v>
      </c>
    </row>
    <row r="212" spans="1:72" x14ac:dyDescent="0.15">
      <c r="A212" t="s">
        <v>72</v>
      </c>
      <c r="B212" t="s">
        <v>4359</v>
      </c>
      <c r="C212" t="s">
        <v>74</v>
      </c>
      <c r="D212" t="s">
        <v>74</v>
      </c>
      <c r="E212" t="s">
        <v>74</v>
      </c>
      <c r="F212" t="s">
        <v>4360</v>
      </c>
      <c r="G212" t="s">
        <v>74</v>
      </c>
      <c r="H212" t="s">
        <v>74</v>
      </c>
      <c r="I212" t="s">
        <v>4361</v>
      </c>
      <c r="J212" t="s">
        <v>4362</v>
      </c>
      <c r="K212" t="s">
        <v>74</v>
      </c>
      <c r="L212" t="s">
        <v>74</v>
      </c>
      <c r="M212" t="s">
        <v>78</v>
      </c>
      <c r="N212" t="s">
        <v>79</v>
      </c>
      <c r="O212" t="s">
        <v>74</v>
      </c>
      <c r="P212" t="s">
        <v>74</v>
      </c>
      <c r="Q212" t="s">
        <v>74</v>
      </c>
      <c r="R212" t="s">
        <v>74</v>
      </c>
      <c r="S212" t="s">
        <v>74</v>
      </c>
      <c r="T212" t="s">
        <v>74</v>
      </c>
      <c r="U212" t="s">
        <v>4363</v>
      </c>
      <c r="V212" t="s">
        <v>4364</v>
      </c>
      <c r="W212" t="s">
        <v>4365</v>
      </c>
      <c r="X212" t="s">
        <v>4366</v>
      </c>
      <c r="Y212" t="s">
        <v>4367</v>
      </c>
      <c r="Z212" t="s">
        <v>4368</v>
      </c>
      <c r="AA212" t="s">
        <v>4369</v>
      </c>
      <c r="AB212" t="s">
        <v>4370</v>
      </c>
      <c r="AC212" t="s">
        <v>4371</v>
      </c>
      <c r="AD212" t="s">
        <v>4372</v>
      </c>
      <c r="AE212" t="s">
        <v>4373</v>
      </c>
      <c r="AF212" t="s">
        <v>74</v>
      </c>
      <c r="AG212">
        <v>64</v>
      </c>
      <c r="AH212">
        <v>10</v>
      </c>
      <c r="AI212">
        <v>11</v>
      </c>
      <c r="AJ212">
        <v>0</v>
      </c>
      <c r="AK212">
        <v>0</v>
      </c>
      <c r="AL212" t="s">
        <v>124</v>
      </c>
      <c r="AM212" t="s">
        <v>125</v>
      </c>
      <c r="AN212" t="s">
        <v>126</v>
      </c>
      <c r="AO212" t="s">
        <v>4374</v>
      </c>
      <c r="AP212" t="s">
        <v>4375</v>
      </c>
      <c r="AQ212" t="s">
        <v>74</v>
      </c>
      <c r="AR212" t="s">
        <v>4376</v>
      </c>
      <c r="AS212" t="s">
        <v>4377</v>
      </c>
      <c r="AT212" t="s">
        <v>2239</v>
      </c>
      <c r="AU212">
        <v>2016</v>
      </c>
      <c r="AV212">
        <v>47</v>
      </c>
      <c r="AW212">
        <v>3</v>
      </c>
      <c r="AX212" t="s">
        <v>74</v>
      </c>
      <c r="AY212" t="s">
        <v>74</v>
      </c>
      <c r="AZ212" t="s">
        <v>74</v>
      </c>
      <c r="BA212" t="s">
        <v>74</v>
      </c>
      <c r="BB212">
        <v>321</v>
      </c>
      <c r="BC212">
        <v>334</v>
      </c>
      <c r="BD212" t="s">
        <v>74</v>
      </c>
      <c r="BE212" t="s">
        <v>4378</v>
      </c>
      <c r="BF212" t="str">
        <f>HYPERLINK("http://dx.doi.org/10.1111/jav.00829","http://dx.doi.org/10.1111/jav.00829")</f>
        <v>http://dx.doi.org/10.1111/jav.00829</v>
      </c>
      <c r="BG212" t="s">
        <v>74</v>
      </c>
      <c r="BH212" t="s">
        <v>74</v>
      </c>
      <c r="BI212">
        <v>14</v>
      </c>
      <c r="BJ212" t="s">
        <v>4379</v>
      </c>
      <c r="BK212" t="s">
        <v>102</v>
      </c>
      <c r="BL212" t="s">
        <v>541</v>
      </c>
      <c r="BM212" t="s">
        <v>4380</v>
      </c>
      <c r="BN212" t="s">
        <v>74</v>
      </c>
      <c r="BO212" t="s">
        <v>380</v>
      </c>
      <c r="BP212" t="s">
        <v>74</v>
      </c>
      <c r="BQ212" t="s">
        <v>74</v>
      </c>
      <c r="BR212" t="s">
        <v>106</v>
      </c>
      <c r="BS212" t="s">
        <v>4381</v>
      </c>
      <c r="BT212" t="str">
        <f>HYPERLINK("https%3A%2F%2Fwww.webofscience.com%2Fwos%2Fwoscc%2Ffull-record%2FWOS:000384685500004","View Full Record in Web of Science")</f>
        <v>View Full Record in Web of Science</v>
      </c>
    </row>
    <row r="213" spans="1:72" x14ac:dyDescent="0.15">
      <c r="A213" t="s">
        <v>72</v>
      </c>
      <c r="B213" t="s">
        <v>4382</v>
      </c>
      <c r="C213" t="s">
        <v>74</v>
      </c>
      <c r="D213" t="s">
        <v>74</v>
      </c>
      <c r="E213" t="s">
        <v>74</v>
      </c>
      <c r="F213" t="s">
        <v>4383</v>
      </c>
      <c r="G213" t="s">
        <v>74</v>
      </c>
      <c r="H213" t="s">
        <v>74</v>
      </c>
      <c r="I213" t="s">
        <v>4384</v>
      </c>
      <c r="J213" t="s">
        <v>4385</v>
      </c>
      <c r="K213" t="s">
        <v>74</v>
      </c>
      <c r="L213" t="s">
        <v>74</v>
      </c>
      <c r="M213" t="s">
        <v>78</v>
      </c>
      <c r="N213" t="s">
        <v>79</v>
      </c>
      <c r="O213" t="s">
        <v>74</v>
      </c>
      <c r="P213" t="s">
        <v>74</v>
      </c>
      <c r="Q213" t="s">
        <v>74</v>
      </c>
      <c r="R213" t="s">
        <v>74</v>
      </c>
      <c r="S213" t="s">
        <v>74</v>
      </c>
      <c r="T213" t="s">
        <v>4386</v>
      </c>
      <c r="U213" t="s">
        <v>4387</v>
      </c>
      <c r="V213" t="s">
        <v>4388</v>
      </c>
      <c r="W213" t="s">
        <v>4389</v>
      </c>
      <c r="X213" t="s">
        <v>4390</v>
      </c>
      <c r="Y213" t="s">
        <v>4391</v>
      </c>
      <c r="Z213" t="s">
        <v>4392</v>
      </c>
      <c r="AA213" t="s">
        <v>4393</v>
      </c>
      <c r="AB213" t="s">
        <v>4394</v>
      </c>
      <c r="AC213" t="s">
        <v>74</v>
      </c>
      <c r="AD213" t="s">
        <v>74</v>
      </c>
      <c r="AE213" t="s">
        <v>74</v>
      </c>
      <c r="AF213" t="s">
        <v>74</v>
      </c>
      <c r="AG213">
        <v>77</v>
      </c>
      <c r="AH213">
        <v>20</v>
      </c>
      <c r="AI213">
        <v>22</v>
      </c>
      <c r="AJ213">
        <v>0</v>
      </c>
      <c r="AK213">
        <v>70</v>
      </c>
      <c r="AL213" t="s">
        <v>626</v>
      </c>
      <c r="AM213" t="s">
        <v>583</v>
      </c>
      <c r="AN213" t="s">
        <v>627</v>
      </c>
      <c r="AO213" t="s">
        <v>4395</v>
      </c>
      <c r="AP213" t="s">
        <v>4396</v>
      </c>
      <c r="AQ213" t="s">
        <v>74</v>
      </c>
      <c r="AR213" t="s">
        <v>4397</v>
      </c>
      <c r="AS213" t="s">
        <v>4398</v>
      </c>
      <c r="AT213" t="s">
        <v>2239</v>
      </c>
      <c r="AU213">
        <v>2016</v>
      </c>
      <c r="AV213">
        <v>478</v>
      </c>
      <c r="AW213" t="s">
        <v>74</v>
      </c>
      <c r="AX213" t="s">
        <v>74</v>
      </c>
      <c r="AY213" t="s">
        <v>74</v>
      </c>
      <c r="AZ213" t="s">
        <v>74</v>
      </c>
      <c r="BA213" t="s">
        <v>74</v>
      </c>
      <c r="BB213">
        <v>54</v>
      </c>
      <c r="BC213">
        <v>61</v>
      </c>
      <c r="BD213" t="s">
        <v>74</v>
      </c>
      <c r="BE213" t="s">
        <v>4399</v>
      </c>
      <c r="BF213" t="str">
        <f>HYPERLINK("http://dx.doi.org/10.1016/j.jembe.2016.02.004","http://dx.doi.org/10.1016/j.jembe.2016.02.004")</f>
        <v>http://dx.doi.org/10.1016/j.jembe.2016.02.004</v>
      </c>
      <c r="BG213" t="s">
        <v>74</v>
      </c>
      <c r="BH213" t="s">
        <v>74</v>
      </c>
      <c r="BI213">
        <v>8</v>
      </c>
      <c r="BJ213" t="s">
        <v>4400</v>
      </c>
      <c r="BK213" t="s">
        <v>102</v>
      </c>
      <c r="BL213" t="s">
        <v>1839</v>
      </c>
      <c r="BM213" t="s">
        <v>4401</v>
      </c>
      <c r="BN213" t="s">
        <v>74</v>
      </c>
      <c r="BO213" t="s">
        <v>222</v>
      </c>
      <c r="BP213" t="s">
        <v>74</v>
      </c>
      <c r="BQ213" t="s">
        <v>74</v>
      </c>
      <c r="BR213" t="s">
        <v>106</v>
      </c>
      <c r="BS213" t="s">
        <v>4402</v>
      </c>
      <c r="BT213" t="str">
        <f>HYPERLINK("https%3A%2F%2Fwww.webofscience.com%2Fwos%2Fwoscc%2Ffull-record%2FWOS:000374200200007","View Full Record in Web of Science")</f>
        <v>View Full Record in Web of Science</v>
      </c>
    </row>
    <row r="214" spans="1:72" x14ac:dyDescent="0.15">
      <c r="A214" t="s">
        <v>72</v>
      </c>
      <c r="B214" t="s">
        <v>4403</v>
      </c>
      <c r="C214" t="s">
        <v>74</v>
      </c>
      <c r="D214" t="s">
        <v>74</v>
      </c>
      <c r="E214" t="s">
        <v>74</v>
      </c>
      <c r="F214" t="s">
        <v>4404</v>
      </c>
      <c r="G214" t="s">
        <v>74</v>
      </c>
      <c r="H214" t="s">
        <v>74</v>
      </c>
      <c r="I214" t="s">
        <v>4405</v>
      </c>
      <c r="J214" t="s">
        <v>2395</v>
      </c>
      <c r="K214" t="s">
        <v>74</v>
      </c>
      <c r="L214" t="s">
        <v>74</v>
      </c>
      <c r="M214" t="s">
        <v>78</v>
      </c>
      <c r="N214" t="s">
        <v>79</v>
      </c>
      <c r="O214" t="s">
        <v>74</v>
      </c>
      <c r="P214" t="s">
        <v>74</v>
      </c>
      <c r="Q214" t="s">
        <v>74</v>
      </c>
      <c r="R214" t="s">
        <v>74</v>
      </c>
      <c r="S214" t="s">
        <v>74</v>
      </c>
      <c r="T214" t="s">
        <v>74</v>
      </c>
      <c r="U214" t="s">
        <v>4406</v>
      </c>
      <c r="V214" t="s">
        <v>4407</v>
      </c>
      <c r="W214" t="s">
        <v>4408</v>
      </c>
      <c r="X214" t="s">
        <v>145</v>
      </c>
      <c r="Y214" t="s">
        <v>4409</v>
      </c>
      <c r="Z214" t="s">
        <v>4410</v>
      </c>
      <c r="AA214" t="s">
        <v>4411</v>
      </c>
      <c r="AB214" t="s">
        <v>4412</v>
      </c>
      <c r="AC214" t="s">
        <v>4413</v>
      </c>
      <c r="AD214" t="s">
        <v>4414</v>
      </c>
      <c r="AE214" t="s">
        <v>4415</v>
      </c>
      <c r="AF214" t="s">
        <v>74</v>
      </c>
      <c r="AG214">
        <v>49</v>
      </c>
      <c r="AH214">
        <v>59</v>
      </c>
      <c r="AI214">
        <v>63</v>
      </c>
      <c r="AJ214">
        <v>0</v>
      </c>
      <c r="AK214">
        <v>9</v>
      </c>
      <c r="AL214" t="s">
        <v>92</v>
      </c>
      <c r="AM214" t="s">
        <v>93</v>
      </c>
      <c r="AN214" t="s">
        <v>94</v>
      </c>
      <c r="AO214" t="s">
        <v>2407</v>
      </c>
      <c r="AP214" t="s">
        <v>2408</v>
      </c>
      <c r="AQ214" t="s">
        <v>74</v>
      </c>
      <c r="AR214" t="s">
        <v>2409</v>
      </c>
      <c r="AS214" t="s">
        <v>2410</v>
      </c>
      <c r="AT214" t="s">
        <v>2239</v>
      </c>
      <c r="AU214">
        <v>2016</v>
      </c>
      <c r="AV214">
        <v>121</v>
      </c>
      <c r="AW214">
        <v>5</v>
      </c>
      <c r="AX214" t="s">
        <v>74</v>
      </c>
      <c r="AY214" t="s">
        <v>74</v>
      </c>
      <c r="AZ214" t="s">
        <v>74</v>
      </c>
      <c r="BA214" t="s">
        <v>74</v>
      </c>
      <c r="BB214">
        <v>865</v>
      </c>
      <c r="BC214">
        <v>880</v>
      </c>
      <c r="BD214" t="s">
        <v>74</v>
      </c>
      <c r="BE214" t="s">
        <v>4416</v>
      </c>
      <c r="BF214" t="str">
        <f>HYPERLINK("http://dx.doi.org/10.1002/2015JF003791","http://dx.doi.org/10.1002/2015JF003791")</f>
        <v>http://dx.doi.org/10.1002/2015JF003791</v>
      </c>
      <c r="BG214" t="s">
        <v>74</v>
      </c>
      <c r="BH214" t="s">
        <v>74</v>
      </c>
      <c r="BI214">
        <v>16</v>
      </c>
      <c r="BJ214" t="s">
        <v>269</v>
      </c>
      <c r="BK214" t="s">
        <v>102</v>
      </c>
      <c r="BL214" t="s">
        <v>270</v>
      </c>
      <c r="BM214" t="s">
        <v>2412</v>
      </c>
      <c r="BN214" t="s">
        <v>74</v>
      </c>
      <c r="BO214" t="s">
        <v>380</v>
      </c>
      <c r="BP214" t="s">
        <v>74</v>
      </c>
      <c r="BQ214" t="s">
        <v>74</v>
      </c>
      <c r="BR214" t="s">
        <v>106</v>
      </c>
      <c r="BS214" t="s">
        <v>4417</v>
      </c>
      <c r="BT214" t="str">
        <f>HYPERLINK("https%3A%2F%2Fwww.webofscience.com%2Fwos%2Fwoscc%2Ffull-record%2FWOS:000382580100003","View Full Record in Web of Science")</f>
        <v>View Full Record in Web of Science</v>
      </c>
    </row>
    <row r="215" spans="1:72" x14ac:dyDescent="0.15">
      <c r="A215" t="s">
        <v>72</v>
      </c>
      <c r="B215" t="s">
        <v>4418</v>
      </c>
      <c r="C215" t="s">
        <v>74</v>
      </c>
      <c r="D215" t="s">
        <v>74</v>
      </c>
      <c r="E215" t="s">
        <v>74</v>
      </c>
      <c r="F215" t="s">
        <v>4419</v>
      </c>
      <c r="G215" t="s">
        <v>74</v>
      </c>
      <c r="H215" t="s">
        <v>74</v>
      </c>
      <c r="I215" t="s">
        <v>4420</v>
      </c>
      <c r="J215" t="s">
        <v>344</v>
      </c>
      <c r="K215" t="s">
        <v>74</v>
      </c>
      <c r="L215" t="s">
        <v>74</v>
      </c>
      <c r="M215" t="s">
        <v>78</v>
      </c>
      <c r="N215" t="s">
        <v>79</v>
      </c>
      <c r="O215" t="s">
        <v>74</v>
      </c>
      <c r="P215" t="s">
        <v>74</v>
      </c>
      <c r="Q215" t="s">
        <v>74</v>
      </c>
      <c r="R215" t="s">
        <v>74</v>
      </c>
      <c r="S215" t="s">
        <v>74</v>
      </c>
      <c r="T215" t="s">
        <v>74</v>
      </c>
      <c r="U215" t="s">
        <v>4421</v>
      </c>
      <c r="V215" t="s">
        <v>4422</v>
      </c>
      <c r="W215" t="s">
        <v>4423</v>
      </c>
      <c r="X215" t="s">
        <v>4424</v>
      </c>
      <c r="Y215" t="s">
        <v>4425</v>
      </c>
      <c r="Z215" t="s">
        <v>4426</v>
      </c>
      <c r="AA215" t="s">
        <v>4427</v>
      </c>
      <c r="AB215" t="s">
        <v>4428</v>
      </c>
      <c r="AC215" t="s">
        <v>4429</v>
      </c>
      <c r="AD215" t="s">
        <v>4430</v>
      </c>
      <c r="AE215" t="s">
        <v>4431</v>
      </c>
      <c r="AF215" t="s">
        <v>74</v>
      </c>
      <c r="AG215">
        <v>55</v>
      </c>
      <c r="AH215">
        <v>121</v>
      </c>
      <c r="AI215">
        <v>130</v>
      </c>
      <c r="AJ215">
        <v>4</v>
      </c>
      <c r="AK215">
        <v>43</v>
      </c>
      <c r="AL215" t="s">
        <v>92</v>
      </c>
      <c r="AM215" t="s">
        <v>93</v>
      </c>
      <c r="AN215" t="s">
        <v>94</v>
      </c>
      <c r="AO215" t="s">
        <v>356</v>
      </c>
      <c r="AP215" t="s">
        <v>357</v>
      </c>
      <c r="AQ215" t="s">
        <v>74</v>
      </c>
      <c r="AR215" t="s">
        <v>358</v>
      </c>
      <c r="AS215" t="s">
        <v>359</v>
      </c>
      <c r="AT215" t="s">
        <v>2239</v>
      </c>
      <c r="AU215">
        <v>2016</v>
      </c>
      <c r="AV215">
        <v>121</v>
      </c>
      <c r="AW215">
        <v>5</v>
      </c>
      <c r="AX215" t="s">
        <v>74</v>
      </c>
      <c r="AY215" t="s">
        <v>74</v>
      </c>
      <c r="AZ215" t="s">
        <v>74</v>
      </c>
      <c r="BA215" t="s">
        <v>74</v>
      </c>
      <c r="BB215">
        <v>2967</v>
      </c>
      <c r="BC215">
        <v>2979</v>
      </c>
      <c r="BD215" t="s">
        <v>74</v>
      </c>
      <c r="BE215" t="s">
        <v>4432</v>
      </c>
      <c r="BF215" t="str">
        <f>HYPERLINK("http://dx.doi.org/10.1002/2015JC011537","http://dx.doi.org/10.1002/2015JC011537")</f>
        <v>http://dx.doi.org/10.1002/2015JC011537</v>
      </c>
      <c r="BG215" t="s">
        <v>74</v>
      </c>
      <c r="BH215" t="s">
        <v>74</v>
      </c>
      <c r="BI215">
        <v>13</v>
      </c>
      <c r="BJ215" t="s">
        <v>361</v>
      </c>
      <c r="BK215" t="s">
        <v>102</v>
      </c>
      <c r="BL215" t="s">
        <v>361</v>
      </c>
      <c r="BM215" t="s">
        <v>2299</v>
      </c>
      <c r="BN215" t="s">
        <v>74</v>
      </c>
      <c r="BO215" t="s">
        <v>420</v>
      </c>
      <c r="BP215" t="s">
        <v>74</v>
      </c>
      <c r="BQ215" t="s">
        <v>74</v>
      </c>
      <c r="BR215" t="s">
        <v>106</v>
      </c>
      <c r="BS215" t="s">
        <v>4433</v>
      </c>
      <c r="BT215" t="str">
        <f>HYPERLINK("https%3A%2F%2Fwww.webofscience.com%2Fwos%2Fwoscc%2Ffull-record%2FWOS:000383466500008","View Full Record in Web of Science")</f>
        <v>View Full Record in Web of Science</v>
      </c>
    </row>
    <row r="216" spans="1:72" x14ac:dyDescent="0.15">
      <c r="A216" t="s">
        <v>72</v>
      </c>
      <c r="B216" t="s">
        <v>4434</v>
      </c>
      <c r="C216" t="s">
        <v>74</v>
      </c>
      <c r="D216" t="s">
        <v>74</v>
      </c>
      <c r="E216" t="s">
        <v>74</v>
      </c>
      <c r="F216" t="s">
        <v>4435</v>
      </c>
      <c r="G216" t="s">
        <v>74</v>
      </c>
      <c r="H216" t="s">
        <v>74</v>
      </c>
      <c r="I216" t="s">
        <v>4436</v>
      </c>
      <c r="J216" t="s">
        <v>344</v>
      </c>
      <c r="K216" t="s">
        <v>74</v>
      </c>
      <c r="L216" t="s">
        <v>74</v>
      </c>
      <c r="M216" t="s">
        <v>78</v>
      </c>
      <c r="N216" t="s">
        <v>79</v>
      </c>
      <c r="O216" t="s">
        <v>74</v>
      </c>
      <c r="P216" t="s">
        <v>74</v>
      </c>
      <c r="Q216" t="s">
        <v>74</v>
      </c>
      <c r="R216" t="s">
        <v>74</v>
      </c>
      <c r="S216" t="s">
        <v>74</v>
      </c>
      <c r="T216" t="s">
        <v>74</v>
      </c>
      <c r="U216" t="s">
        <v>4437</v>
      </c>
      <c r="V216" t="s">
        <v>4438</v>
      </c>
      <c r="W216" t="s">
        <v>4439</v>
      </c>
      <c r="X216" t="s">
        <v>4440</v>
      </c>
      <c r="Y216" t="s">
        <v>4441</v>
      </c>
      <c r="Z216" t="s">
        <v>4442</v>
      </c>
      <c r="AA216" t="s">
        <v>4443</v>
      </c>
      <c r="AB216" t="s">
        <v>4444</v>
      </c>
      <c r="AC216" t="s">
        <v>4445</v>
      </c>
      <c r="AD216" t="s">
        <v>4446</v>
      </c>
      <c r="AE216" t="s">
        <v>4447</v>
      </c>
      <c r="AF216" t="s">
        <v>74</v>
      </c>
      <c r="AG216">
        <v>74</v>
      </c>
      <c r="AH216">
        <v>6</v>
      </c>
      <c r="AI216">
        <v>6</v>
      </c>
      <c r="AJ216">
        <v>0</v>
      </c>
      <c r="AK216">
        <v>15</v>
      </c>
      <c r="AL216" t="s">
        <v>92</v>
      </c>
      <c r="AM216" t="s">
        <v>93</v>
      </c>
      <c r="AN216" t="s">
        <v>94</v>
      </c>
      <c r="AO216" t="s">
        <v>356</v>
      </c>
      <c r="AP216" t="s">
        <v>357</v>
      </c>
      <c r="AQ216" t="s">
        <v>74</v>
      </c>
      <c r="AR216" t="s">
        <v>358</v>
      </c>
      <c r="AS216" t="s">
        <v>359</v>
      </c>
      <c r="AT216" t="s">
        <v>2239</v>
      </c>
      <c r="AU216">
        <v>2016</v>
      </c>
      <c r="AV216">
        <v>121</v>
      </c>
      <c r="AW216">
        <v>5</v>
      </c>
      <c r="AX216" t="s">
        <v>74</v>
      </c>
      <c r="AY216" t="s">
        <v>74</v>
      </c>
      <c r="AZ216" t="s">
        <v>74</v>
      </c>
      <c r="BA216" t="s">
        <v>74</v>
      </c>
      <c r="BB216">
        <v>3171</v>
      </c>
      <c r="BC216">
        <v>3189</v>
      </c>
      <c r="BD216" t="s">
        <v>74</v>
      </c>
      <c r="BE216" t="s">
        <v>4448</v>
      </c>
      <c r="BF216" t="str">
        <f>HYPERLINK("http://dx.doi.org/10.1002/2015JC011491","http://dx.doi.org/10.1002/2015JC011491")</f>
        <v>http://dx.doi.org/10.1002/2015JC011491</v>
      </c>
      <c r="BG216" t="s">
        <v>74</v>
      </c>
      <c r="BH216" t="s">
        <v>74</v>
      </c>
      <c r="BI216">
        <v>19</v>
      </c>
      <c r="BJ216" t="s">
        <v>361</v>
      </c>
      <c r="BK216" t="s">
        <v>102</v>
      </c>
      <c r="BL216" t="s">
        <v>361</v>
      </c>
      <c r="BM216" t="s">
        <v>2299</v>
      </c>
      <c r="BN216" t="s">
        <v>74</v>
      </c>
      <c r="BO216" t="s">
        <v>105</v>
      </c>
      <c r="BP216" t="s">
        <v>74</v>
      </c>
      <c r="BQ216" t="s">
        <v>74</v>
      </c>
      <c r="BR216" t="s">
        <v>106</v>
      </c>
      <c r="BS216" t="s">
        <v>4449</v>
      </c>
      <c r="BT216" t="str">
        <f>HYPERLINK("https%3A%2F%2Fwww.webofscience.com%2Fwos%2Fwoscc%2Ffull-record%2FWOS:000383466500020","View Full Record in Web of Science")</f>
        <v>View Full Record in Web of Science</v>
      </c>
    </row>
    <row r="217" spans="1:72" x14ac:dyDescent="0.15">
      <c r="A217" t="s">
        <v>72</v>
      </c>
      <c r="B217" t="s">
        <v>4450</v>
      </c>
      <c r="C217" t="s">
        <v>74</v>
      </c>
      <c r="D217" t="s">
        <v>74</v>
      </c>
      <c r="E217" t="s">
        <v>74</v>
      </c>
      <c r="F217" t="s">
        <v>4451</v>
      </c>
      <c r="G217" t="s">
        <v>74</v>
      </c>
      <c r="H217" t="s">
        <v>74</v>
      </c>
      <c r="I217" t="s">
        <v>4452</v>
      </c>
      <c r="J217" t="s">
        <v>344</v>
      </c>
      <c r="K217" t="s">
        <v>74</v>
      </c>
      <c r="L217" t="s">
        <v>74</v>
      </c>
      <c r="M217" t="s">
        <v>78</v>
      </c>
      <c r="N217" t="s">
        <v>79</v>
      </c>
      <c r="O217" t="s">
        <v>74</v>
      </c>
      <c r="P217" t="s">
        <v>74</v>
      </c>
      <c r="Q217" t="s">
        <v>74</v>
      </c>
      <c r="R217" t="s">
        <v>74</v>
      </c>
      <c r="S217" t="s">
        <v>74</v>
      </c>
      <c r="T217" t="s">
        <v>74</v>
      </c>
      <c r="U217" t="s">
        <v>4453</v>
      </c>
      <c r="V217" t="s">
        <v>4454</v>
      </c>
      <c r="W217" t="s">
        <v>4455</v>
      </c>
      <c r="X217" t="s">
        <v>4456</v>
      </c>
      <c r="Y217" t="s">
        <v>4457</v>
      </c>
      <c r="Z217" t="s">
        <v>4458</v>
      </c>
      <c r="AA217" t="s">
        <v>4459</v>
      </c>
      <c r="AB217" t="s">
        <v>4460</v>
      </c>
      <c r="AC217" t="s">
        <v>4461</v>
      </c>
      <c r="AD217" t="s">
        <v>4462</v>
      </c>
      <c r="AE217" t="s">
        <v>4463</v>
      </c>
      <c r="AF217" t="s">
        <v>74</v>
      </c>
      <c r="AG217">
        <v>81</v>
      </c>
      <c r="AH217">
        <v>23</v>
      </c>
      <c r="AI217">
        <v>23</v>
      </c>
      <c r="AJ217">
        <v>0</v>
      </c>
      <c r="AK217">
        <v>35</v>
      </c>
      <c r="AL217" t="s">
        <v>92</v>
      </c>
      <c r="AM217" t="s">
        <v>93</v>
      </c>
      <c r="AN217" t="s">
        <v>94</v>
      </c>
      <c r="AO217" t="s">
        <v>356</v>
      </c>
      <c r="AP217" t="s">
        <v>357</v>
      </c>
      <c r="AQ217" t="s">
        <v>74</v>
      </c>
      <c r="AR217" t="s">
        <v>358</v>
      </c>
      <c r="AS217" t="s">
        <v>359</v>
      </c>
      <c r="AT217" t="s">
        <v>2239</v>
      </c>
      <c r="AU217">
        <v>2016</v>
      </c>
      <c r="AV217">
        <v>121</v>
      </c>
      <c r="AW217">
        <v>5</v>
      </c>
      <c r="AX217" t="s">
        <v>74</v>
      </c>
      <c r="AY217" t="s">
        <v>74</v>
      </c>
      <c r="AZ217" t="s">
        <v>74</v>
      </c>
      <c r="BA217" t="s">
        <v>74</v>
      </c>
      <c r="BB217">
        <v>3350</v>
      </c>
      <c r="BC217">
        <v>3371</v>
      </c>
      <c r="BD217" t="s">
        <v>74</v>
      </c>
      <c r="BE217" t="s">
        <v>4464</v>
      </c>
      <c r="BF217" t="str">
        <f>HYPERLINK("http://dx.doi.org/10.1002/2015JC011319","http://dx.doi.org/10.1002/2015JC011319")</f>
        <v>http://dx.doi.org/10.1002/2015JC011319</v>
      </c>
      <c r="BG217" t="s">
        <v>74</v>
      </c>
      <c r="BH217" t="s">
        <v>74</v>
      </c>
      <c r="BI217">
        <v>22</v>
      </c>
      <c r="BJ217" t="s">
        <v>361</v>
      </c>
      <c r="BK217" t="s">
        <v>102</v>
      </c>
      <c r="BL217" t="s">
        <v>361</v>
      </c>
      <c r="BM217" t="s">
        <v>2299</v>
      </c>
      <c r="BN217" t="s">
        <v>74</v>
      </c>
      <c r="BO217" t="s">
        <v>646</v>
      </c>
      <c r="BP217" t="s">
        <v>74</v>
      </c>
      <c r="BQ217" t="s">
        <v>74</v>
      </c>
      <c r="BR217" t="s">
        <v>106</v>
      </c>
      <c r="BS217" t="s">
        <v>4465</v>
      </c>
      <c r="BT217" t="str">
        <f>HYPERLINK("https%3A%2F%2Fwww.webofscience.com%2Fwos%2Fwoscc%2Ffull-record%2FWOS:000383466500031","View Full Record in Web of Science")</f>
        <v>View Full Record in Web of Science</v>
      </c>
    </row>
    <row r="218" spans="1:72" x14ac:dyDescent="0.15">
      <c r="A218" t="s">
        <v>72</v>
      </c>
      <c r="B218" t="s">
        <v>4466</v>
      </c>
      <c r="C218" t="s">
        <v>74</v>
      </c>
      <c r="D218" t="s">
        <v>74</v>
      </c>
      <c r="E218" t="s">
        <v>74</v>
      </c>
      <c r="F218" t="s">
        <v>4467</v>
      </c>
      <c r="G218" t="s">
        <v>74</v>
      </c>
      <c r="H218" t="s">
        <v>74</v>
      </c>
      <c r="I218" t="s">
        <v>4468</v>
      </c>
      <c r="J218" t="s">
        <v>4469</v>
      </c>
      <c r="K218" t="s">
        <v>74</v>
      </c>
      <c r="L218" t="s">
        <v>74</v>
      </c>
      <c r="M218" t="s">
        <v>78</v>
      </c>
      <c r="N218" t="s">
        <v>79</v>
      </c>
      <c r="O218" t="s">
        <v>74</v>
      </c>
      <c r="P218" t="s">
        <v>74</v>
      </c>
      <c r="Q218" t="s">
        <v>74</v>
      </c>
      <c r="R218" t="s">
        <v>74</v>
      </c>
      <c r="S218" t="s">
        <v>74</v>
      </c>
      <c r="T218" t="s">
        <v>4470</v>
      </c>
      <c r="U218" t="s">
        <v>4471</v>
      </c>
      <c r="V218" t="s">
        <v>4472</v>
      </c>
      <c r="W218" t="s">
        <v>4473</v>
      </c>
      <c r="X218" t="s">
        <v>4474</v>
      </c>
      <c r="Y218" t="s">
        <v>4475</v>
      </c>
      <c r="Z218" t="s">
        <v>4476</v>
      </c>
      <c r="AA218" t="s">
        <v>4477</v>
      </c>
      <c r="AB218" t="s">
        <v>4478</v>
      </c>
      <c r="AC218" t="s">
        <v>4479</v>
      </c>
      <c r="AD218" t="s">
        <v>4480</v>
      </c>
      <c r="AE218" t="s">
        <v>4481</v>
      </c>
      <c r="AF218" t="s">
        <v>74</v>
      </c>
      <c r="AG218">
        <v>44</v>
      </c>
      <c r="AH218">
        <v>10</v>
      </c>
      <c r="AI218">
        <v>12</v>
      </c>
      <c r="AJ218">
        <v>0</v>
      </c>
      <c r="AK218">
        <v>62</v>
      </c>
      <c r="AL218" t="s">
        <v>626</v>
      </c>
      <c r="AM218" t="s">
        <v>583</v>
      </c>
      <c r="AN218" t="s">
        <v>627</v>
      </c>
      <c r="AO218" t="s">
        <v>4482</v>
      </c>
      <c r="AP218" t="s">
        <v>4483</v>
      </c>
      <c r="AQ218" t="s">
        <v>74</v>
      </c>
      <c r="AR218" t="s">
        <v>4484</v>
      </c>
      <c r="AS218" t="s">
        <v>4485</v>
      </c>
      <c r="AT218" t="s">
        <v>2239</v>
      </c>
      <c r="AU218">
        <v>2016</v>
      </c>
      <c r="AV218">
        <v>157</v>
      </c>
      <c r="AW218" t="s">
        <v>74</v>
      </c>
      <c r="AX218" t="s">
        <v>74</v>
      </c>
      <c r="AY218" t="s">
        <v>74</v>
      </c>
      <c r="AZ218" t="s">
        <v>74</v>
      </c>
      <c r="BA218" t="s">
        <v>74</v>
      </c>
      <c r="BB218">
        <v>118</v>
      </c>
      <c r="BC218">
        <v>123</v>
      </c>
      <c r="BD218" t="s">
        <v>74</v>
      </c>
      <c r="BE218" t="s">
        <v>4486</v>
      </c>
      <c r="BF218" t="str">
        <f>HYPERLINK("http://dx.doi.org/10.1016/j.jmarsys.2016.01.001","http://dx.doi.org/10.1016/j.jmarsys.2016.01.001")</f>
        <v>http://dx.doi.org/10.1016/j.jmarsys.2016.01.001</v>
      </c>
      <c r="BG218" t="s">
        <v>74</v>
      </c>
      <c r="BH218" t="s">
        <v>74</v>
      </c>
      <c r="BI218">
        <v>6</v>
      </c>
      <c r="BJ218" t="s">
        <v>4487</v>
      </c>
      <c r="BK218" t="s">
        <v>102</v>
      </c>
      <c r="BL218" t="s">
        <v>4488</v>
      </c>
      <c r="BM218" t="s">
        <v>4489</v>
      </c>
      <c r="BN218" t="s">
        <v>74</v>
      </c>
      <c r="BO218" t="s">
        <v>74</v>
      </c>
      <c r="BP218" t="s">
        <v>74</v>
      </c>
      <c r="BQ218" t="s">
        <v>74</v>
      </c>
      <c r="BR218" t="s">
        <v>106</v>
      </c>
      <c r="BS218" t="s">
        <v>4490</v>
      </c>
      <c r="BT218" t="str">
        <f>HYPERLINK("https%3A%2F%2Fwww.webofscience.com%2Fwos%2Fwoscc%2Ffull-record%2FWOS:000371938500010","View Full Record in Web of Science")</f>
        <v>View Full Record in Web of Science</v>
      </c>
    </row>
    <row r="219" spans="1:72" x14ac:dyDescent="0.15">
      <c r="A219" t="s">
        <v>72</v>
      </c>
      <c r="B219" t="s">
        <v>4491</v>
      </c>
      <c r="C219" t="s">
        <v>74</v>
      </c>
      <c r="D219" t="s">
        <v>74</v>
      </c>
      <c r="E219" t="s">
        <v>74</v>
      </c>
      <c r="F219" t="s">
        <v>4492</v>
      </c>
      <c r="G219" t="s">
        <v>74</v>
      </c>
      <c r="H219" t="s">
        <v>74</v>
      </c>
      <c r="I219" t="s">
        <v>4493</v>
      </c>
      <c r="J219" t="s">
        <v>500</v>
      </c>
      <c r="K219" t="s">
        <v>74</v>
      </c>
      <c r="L219" t="s">
        <v>74</v>
      </c>
      <c r="M219" t="s">
        <v>78</v>
      </c>
      <c r="N219" t="s">
        <v>79</v>
      </c>
      <c r="O219" t="s">
        <v>74</v>
      </c>
      <c r="P219" t="s">
        <v>74</v>
      </c>
      <c r="Q219" t="s">
        <v>74</v>
      </c>
      <c r="R219" t="s">
        <v>74</v>
      </c>
      <c r="S219" t="s">
        <v>74</v>
      </c>
      <c r="T219" t="s">
        <v>74</v>
      </c>
      <c r="U219" t="s">
        <v>4494</v>
      </c>
      <c r="V219" t="s">
        <v>4495</v>
      </c>
      <c r="W219" t="s">
        <v>4496</v>
      </c>
      <c r="X219" t="s">
        <v>4497</v>
      </c>
      <c r="Y219" t="s">
        <v>4498</v>
      </c>
      <c r="Z219" t="s">
        <v>4499</v>
      </c>
      <c r="AA219" t="s">
        <v>4500</v>
      </c>
      <c r="AB219" t="s">
        <v>4501</v>
      </c>
      <c r="AC219" t="s">
        <v>4502</v>
      </c>
      <c r="AD219" t="s">
        <v>4503</v>
      </c>
      <c r="AE219" t="s">
        <v>4504</v>
      </c>
      <c r="AF219" t="s">
        <v>74</v>
      </c>
      <c r="AG219">
        <v>65</v>
      </c>
      <c r="AH219">
        <v>79</v>
      </c>
      <c r="AI219">
        <v>89</v>
      </c>
      <c r="AJ219">
        <v>2</v>
      </c>
      <c r="AK219">
        <v>24</v>
      </c>
      <c r="AL219" t="s">
        <v>511</v>
      </c>
      <c r="AM219" t="s">
        <v>512</v>
      </c>
      <c r="AN219" t="s">
        <v>513</v>
      </c>
      <c r="AO219" t="s">
        <v>514</v>
      </c>
      <c r="AP219" t="s">
        <v>515</v>
      </c>
      <c r="AQ219" t="s">
        <v>74</v>
      </c>
      <c r="AR219" t="s">
        <v>516</v>
      </c>
      <c r="AS219" t="s">
        <v>517</v>
      </c>
      <c r="AT219" t="s">
        <v>2239</v>
      </c>
      <c r="AU219">
        <v>2016</v>
      </c>
      <c r="AV219">
        <v>46</v>
      </c>
      <c r="AW219">
        <v>5</v>
      </c>
      <c r="AX219" t="s">
        <v>74</v>
      </c>
      <c r="AY219" t="s">
        <v>74</v>
      </c>
      <c r="AZ219" t="s">
        <v>74</v>
      </c>
      <c r="BA219" t="s">
        <v>74</v>
      </c>
      <c r="BB219">
        <v>1437</v>
      </c>
      <c r="BC219">
        <v>1456</v>
      </c>
      <c r="BD219" t="s">
        <v>74</v>
      </c>
      <c r="BE219" t="s">
        <v>4505</v>
      </c>
      <c r="BF219" t="str">
        <f>HYPERLINK("http://dx.doi.org/10.1175/JPO-D-15-0144.1","http://dx.doi.org/10.1175/JPO-D-15-0144.1")</f>
        <v>http://dx.doi.org/10.1175/JPO-D-15-0144.1</v>
      </c>
      <c r="BG219" t="s">
        <v>74</v>
      </c>
      <c r="BH219" t="s">
        <v>74</v>
      </c>
      <c r="BI219">
        <v>20</v>
      </c>
      <c r="BJ219" t="s">
        <v>361</v>
      </c>
      <c r="BK219" t="s">
        <v>102</v>
      </c>
      <c r="BL219" t="s">
        <v>361</v>
      </c>
      <c r="BM219" t="s">
        <v>4506</v>
      </c>
      <c r="BN219" t="s">
        <v>74</v>
      </c>
      <c r="BO219" t="s">
        <v>1440</v>
      </c>
      <c r="BP219" t="s">
        <v>74</v>
      </c>
      <c r="BQ219" t="s">
        <v>74</v>
      </c>
      <c r="BR219" t="s">
        <v>106</v>
      </c>
      <c r="BS219" t="s">
        <v>4507</v>
      </c>
      <c r="BT219" t="str">
        <f>HYPERLINK("https%3A%2F%2Fwww.webofscience.com%2Fwos%2Fwoscc%2Ffull-record%2FWOS:000376153300002","View Full Record in Web of Science")</f>
        <v>View Full Record in Web of Science</v>
      </c>
    </row>
    <row r="220" spans="1:72" x14ac:dyDescent="0.15">
      <c r="A220" t="s">
        <v>72</v>
      </c>
      <c r="B220" t="s">
        <v>4508</v>
      </c>
      <c r="C220" t="s">
        <v>74</v>
      </c>
      <c r="D220" t="s">
        <v>74</v>
      </c>
      <c r="E220" t="s">
        <v>74</v>
      </c>
      <c r="F220" t="s">
        <v>4509</v>
      </c>
      <c r="G220" t="s">
        <v>74</v>
      </c>
      <c r="H220" t="s">
        <v>74</v>
      </c>
      <c r="I220" t="s">
        <v>4510</v>
      </c>
      <c r="J220" t="s">
        <v>500</v>
      </c>
      <c r="K220" t="s">
        <v>74</v>
      </c>
      <c r="L220" t="s">
        <v>74</v>
      </c>
      <c r="M220" t="s">
        <v>78</v>
      </c>
      <c r="N220" t="s">
        <v>79</v>
      </c>
      <c r="O220" t="s">
        <v>74</v>
      </c>
      <c r="P220" t="s">
        <v>74</v>
      </c>
      <c r="Q220" t="s">
        <v>74</v>
      </c>
      <c r="R220" t="s">
        <v>74</v>
      </c>
      <c r="S220" t="s">
        <v>74</v>
      </c>
      <c r="T220" t="s">
        <v>74</v>
      </c>
      <c r="U220" t="s">
        <v>4511</v>
      </c>
      <c r="V220" t="s">
        <v>4512</v>
      </c>
      <c r="W220" t="s">
        <v>4513</v>
      </c>
      <c r="X220" t="s">
        <v>4514</v>
      </c>
      <c r="Y220" t="s">
        <v>4515</v>
      </c>
      <c r="Z220" t="s">
        <v>4516</v>
      </c>
      <c r="AA220" t="s">
        <v>4517</v>
      </c>
      <c r="AB220" t="s">
        <v>4518</v>
      </c>
      <c r="AC220" t="s">
        <v>4519</v>
      </c>
      <c r="AD220" t="s">
        <v>4520</v>
      </c>
      <c r="AE220" t="s">
        <v>4521</v>
      </c>
      <c r="AF220" t="s">
        <v>74</v>
      </c>
      <c r="AG220">
        <v>75</v>
      </c>
      <c r="AH220">
        <v>27</v>
      </c>
      <c r="AI220">
        <v>34</v>
      </c>
      <c r="AJ220">
        <v>0</v>
      </c>
      <c r="AK220">
        <v>22</v>
      </c>
      <c r="AL220" t="s">
        <v>511</v>
      </c>
      <c r="AM220" t="s">
        <v>512</v>
      </c>
      <c r="AN220" t="s">
        <v>4522</v>
      </c>
      <c r="AO220" t="s">
        <v>514</v>
      </c>
      <c r="AP220" t="s">
        <v>515</v>
      </c>
      <c r="AQ220" t="s">
        <v>74</v>
      </c>
      <c r="AR220" t="s">
        <v>516</v>
      </c>
      <c r="AS220" t="s">
        <v>517</v>
      </c>
      <c r="AT220" t="s">
        <v>2239</v>
      </c>
      <c r="AU220">
        <v>2016</v>
      </c>
      <c r="AV220">
        <v>46</v>
      </c>
      <c r="AW220">
        <v>5</v>
      </c>
      <c r="AX220" t="s">
        <v>74</v>
      </c>
      <c r="AY220" t="s">
        <v>74</v>
      </c>
      <c r="AZ220" t="s">
        <v>74</v>
      </c>
      <c r="BA220" t="s">
        <v>74</v>
      </c>
      <c r="BB220">
        <v>1531</v>
      </c>
      <c r="BC220">
        <v>1553</v>
      </c>
      <c r="BD220" t="s">
        <v>74</v>
      </c>
      <c r="BE220" t="s">
        <v>4523</v>
      </c>
      <c r="BF220" t="str">
        <f>HYPERLINK("http://dx.doi.org/10.1175/JPO-D-15-0174.1","http://dx.doi.org/10.1175/JPO-D-15-0174.1")</f>
        <v>http://dx.doi.org/10.1175/JPO-D-15-0174.1</v>
      </c>
      <c r="BG220" t="s">
        <v>74</v>
      </c>
      <c r="BH220" t="s">
        <v>74</v>
      </c>
      <c r="BI220">
        <v>23</v>
      </c>
      <c r="BJ220" t="s">
        <v>361</v>
      </c>
      <c r="BK220" t="s">
        <v>102</v>
      </c>
      <c r="BL220" t="s">
        <v>361</v>
      </c>
      <c r="BM220" t="s">
        <v>4524</v>
      </c>
      <c r="BN220" t="s">
        <v>74</v>
      </c>
      <c r="BO220" t="s">
        <v>4525</v>
      </c>
      <c r="BP220" t="s">
        <v>74</v>
      </c>
      <c r="BQ220" t="s">
        <v>74</v>
      </c>
      <c r="BR220" t="s">
        <v>106</v>
      </c>
      <c r="BS220" t="s">
        <v>4526</v>
      </c>
      <c r="BT220" t="str">
        <f>HYPERLINK("https%3A%2F%2Fwww.webofscience.com%2Fwos%2Fwoscc%2Ffull-record%2FWOS:000376154800001","View Full Record in Web of Science")</f>
        <v>View Full Record in Web of Science</v>
      </c>
    </row>
    <row r="221" spans="1:72" x14ac:dyDescent="0.15">
      <c r="A221" t="s">
        <v>72</v>
      </c>
      <c r="B221" t="s">
        <v>4527</v>
      </c>
      <c r="C221" t="s">
        <v>74</v>
      </c>
      <c r="D221" t="s">
        <v>74</v>
      </c>
      <c r="E221" t="s">
        <v>74</v>
      </c>
      <c r="F221" t="s">
        <v>4528</v>
      </c>
      <c r="G221" t="s">
        <v>74</v>
      </c>
      <c r="H221" t="s">
        <v>74</v>
      </c>
      <c r="I221" t="s">
        <v>4529</v>
      </c>
      <c r="J221" t="s">
        <v>500</v>
      </c>
      <c r="K221" t="s">
        <v>74</v>
      </c>
      <c r="L221" t="s">
        <v>74</v>
      </c>
      <c r="M221" t="s">
        <v>78</v>
      </c>
      <c r="N221" t="s">
        <v>79</v>
      </c>
      <c r="O221" t="s">
        <v>74</v>
      </c>
      <c r="P221" t="s">
        <v>74</v>
      </c>
      <c r="Q221" t="s">
        <v>74</v>
      </c>
      <c r="R221" t="s">
        <v>74</v>
      </c>
      <c r="S221" t="s">
        <v>74</v>
      </c>
      <c r="T221" t="s">
        <v>74</v>
      </c>
      <c r="U221" t="s">
        <v>4530</v>
      </c>
      <c r="V221" t="s">
        <v>4531</v>
      </c>
      <c r="W221" t="s">
        <v>4532</v>
      </c>
      <c r="X221" t="s">
        <v>4533</v>
      </c>
      <c r="Y221" t="s">
        <v>4534</v>
      </c>
      <c r="Z221" t="s">
        <v>4535</v>
      </c>
      <c r="AA221" t="s">
        <v>4536</v>
      </c>
      <c r="AB221" t="s">
        <v>4537</v>
      </c>
      <c r="AC221" t="s">
        <v>4538</v>
      </c>
      <c r="AD221" t="s">
        <v>4539</v>
      </c>
      <c r="AE221" t="s">
        <v>4540</v>
      </c>
      <c r="AF221" t="s">
        <v>74</v>
      </c>
      <c r="AG221">
        <v>71</v>
      </c>
      <c r="AH221">
        <v>61</v>
      </c>
      <c r="AI221">
        <v>68</v>
      </c>
      <c r="AJ221">
        <v>0</v>
      </c>
      <c r="AK221">
        <v>19</v>
      </c>
      <c r="AL221" t="s">
        <v>511</v>
      </c>
      <c r="AM221" t="s">
        <v>512</v>
      </c>
      <c r="AN221" t="s">
        <v>513</v>
      </c>
      <c r="AO221" t="s">
        <v>514</v>
      </c>
      <c r="AP221" t="s">
        <v>515</v>
      </c>
      <c r="AQ221" t="s">
        <v>74</v>
      </c>
      <c r="AR221" t="s">
        <v>516</v>
      </c>
      <c r="AS221" t="s">
        <v>517</v>
      </c>
      <c r="AT221" t="s">
        <v>2239</v>
      </c>
      <c r="AU221">
        <v>2016</v>
      </c>
      <c r="AV221">
        <v>46</v>
      </c>
      <c r="AW221">
        <v>5</v>
      </c>
      <c r="AX221" t="s">
        <v>74</v>
      </c>
      <c r="AY221" t="s">
        <v>74</v>
      </c>
      <c r="AZ221" t="s">
        <v>74</v>
      </c>
      <c r="BA221" t="s">
        <v>74</v>
      </c>
      <c r="BB221">
        <v>1575</v>
      </c>
      <c r="BC221">
        <v>1592</v>
      </c>
      <c r="BD221" t="s">
        <v>74</v>
      </c>
      <c r="BE221" t="s">
        <v>4541</v>
      </c>
      <c r="BF221" t="str">
        <f>HYPERLINK("http://dx.doi.org/10.1175/JPO-D-15-0177.1","http://dx.doi.org/10.1175/JPO-D-15-0177.1")</f>
        <v>http://dx.doi.org/10.1175/JPO-D-15-0177.1</v>
      </c>
      <c r="BG221" t="s">
        <v>74</v>
      </c>
      <c r="BH221" t="s">
        <v>74</v>
      </c>
      <c r="BI221">
        <v>18</v>
      </c>
      <c r="BJ221" t="s">
        <v>361</v>
      </c>
      <c r="BK221" t="s">
        <v>102</v>
      </c>
      <c r="BL221" t="s">
        <v>361</v>
      </c>
      <c r="BM221" t="s">
        <v>4542</v>
      </c>
      <c r="BN221" t="s">
        <v>74</v>
      </c>
      <c r="BO221" t="s">
        <v>646</v>
      </c>
      <c r="BP221" t="s">
        <v>74</v>
      </c>
      <c r="BQ221" t="s">
        <v>74</v>
      </c>
      <c r="BR221" t="s">
        <v>106</v>
      </c>
      <c r="BS221" t="s">
        <v>4543</v>
      </c>
      <c r="BT221" t="str">
        <f>HYPERLINK("https%3A%2F%2Fwww.webofscience.com%2Fwos%2Fwoscc%2Ffull-record%2FWOS:000376155600001","View Full Record in Web of Science")</f>
        <v>View Full Record in Web of Science</v>
      </c>
    </row>
    <row r="222" spans="1:72" x14ac:dyDescent="0.15">
      <c r="A222" t="s">
        <v>72</v>
      </c>
      <c r="B222" t="s">
        <v>4544</v>
      </c>
      <c r="C222" t="s">
        <v>74</v>
      </c>
      <c r="D222" t="s">
        <v>74</v>
      </c>
      <c r="E222" t="s">
        <v>74</v>
      </c>
      <c r="F222" t="s">
        <v>4545</v>
      </c>
      <c r="G222" t="s">
        <v>74</v>
      </c>
      <c r="H222" t="s">
        <v>74</v>
      </c>
      <c r="I222" t="s">
        <v>4546</v>
      </c>
      <c r="J222" t="s">
        <v>2720</v>
      </c>
      <c r="K222" t="s">
        <v>74</v>
      </c>
      <c r="L222" t="s">
        <v>74</v>
      </c>
      <c r="M222" t="s">
        <v>78</v>
      </c>
      <c r="N222" t="s">
        <v>79</v>
      </c>
      <c r="O222" t="s">
        <v>74</v>
      </c>
      <c r="P222" t="s">
        <v>74</v>
      </c>
      <c r="Q222" t="s">
        <v>74</v>
      </c>
      <c r="R222" t="s">
        <v>74</v>
      </c>
      <c r="S222" t="s">
        <v>74</v>
      </c>
      <c r="T222" t="s">
        <v>4547</v>
      </c>
      <c r="U222" t="s">
        <v>4548</v>
      </c>
      <c r="V222" t="s">
        <v>4549</v>
      </c>
      <c r="W222" t="s">
        <v>4550</v>
      </c>
      <c r="X222" t="s">
        <v>4551</v>
      </c>
      <c r="Y222" t="s">
        <v>4552</v>
      </c>
      <c r="Z222" t="s">
        <v>4553</v>
      </c>
      <c r="AA222" t="s">
        <v>74</v>
      </c>
      <c r="AB222" t="s">
        <v>74</v>
      </c>
      <c r="AC222" t="s">
        <v>4554</v>
      </c>
      <c r="AD222" t="s">
        <v>4555</v>
      </c>
      <c r="AE222" t="s">
        <v>4556</v>
      </c>
      <c r="AF222" t="s">
        <v>74</v>
      </c>
      <c r="AG222">
        <v>62</v>
      </c>
      <c r="AH222">
        <v>38</v>
      </c>
      <c r="AI222">
        <v>42</v>
      </c>
      <c r="AJ222">
        <v>1</v>
      </c>
      <c r="AK222">
        <v>47</v>
      </c>
      <c r="AL222" t="s">
        <v>1657</v>
      </c>
      <c r="AM222" t="s">
        <v>679</v>
      </c>
      <c r="AN222" t="s">
        <v>1658</v>
      </c>
      <c r="AO222" t="s">
        <v>2733</v>
      </c>
      <c r="AP222" t="s">
        <v>2734</v>
      </c>
      <c r="AQ222" t="s">
        <v>74</v>
      </c>
      <c r="AR222" t="s">
        <v>2735</v>
      </c>
      <c r="AS222" t="s">
        <v>2736</v>
      </c>
      <c r="AT222" t="s">
        <v>2239</v>
      </c>
      <c r="AU222">
        <v>2016</v>
      </c>
      <c r="AV222">
        <v>38</v>
      </c>
      <c r="AW222">
        <v>3</v>
      </c>
      <c r="AX222" t="s">
        <v>74</v>
      </c>
      <c r="AY222" t="s">
        <v>74</v>
      </c>
      <c r="AZ222" t="s">
        <v>74</v>
      </c>
      <c r="BA222" t="s">
        <v>74</v>
      </c>
      <c r="BB222">
        <v>401</v>
      </c>
      <c r="BC222">
        <v>417</v>
      </c>
      <c r="BD222" t="s">
        <v>74</v>
      </c>
      <c r="BE222" t="s">
        <v>4557</v>
      </c>
      <c r="BF222" t="str">
        <f>HYPERLINK("http://dx.doi.org/10.1093/plankt/fbw005","http://dx.doi.org/10.1093/plankt/fbw005")</f>
        <v>http://dx.doi.org/10.1093/plankt/fbw005</v>
      </c>
      <c r="BG222" t="s">
        <v>74</v>
      </c>
      <c r="BH222" t="s">
        <v>74</v>
      </c>
      <c r="BI222">
        <v>17</v>
      </c>
      <c r="BJ222" t="s">
        <v>2738</v>
      </c>
      <c r="BK222" t="s">
        <v>102</v>
      </c>
      <c r="BL222" t="s">
        <v>2738</v>
      </c>
      <c r="BM222" t="s">
        <v>2739</v>
      </c>
      <c r="BN222" t="s">
        <v>74</v>
      </c>
      <c r="BO222" t="s">
        <v>420</v>
      </c>
      <c r="BP222" t="s">
        <v>74</v>
      </c>
      <c r="BQ222" t="s">
        <v>74</v>
      </c>
      <c r="BR222" t="s">
        <v>106</v>
      </c>
      <c r="BS222" t="s">
        <v>4558</v>
      </c>
      <c r="BT222" t="str">
        <f>HYPERLINK("https%3A%2F%2Fwww.webofscience.com%2Fwos%2Fwoscc%2Ffull-record%2FWOS:000377299000002","View Full Record in Web of Science")</f>
        <v>View Full Record in Web of Science</v>
      </c>
    </row>
    <row r="223" spans="1:72" x14ac:dyDescent="0.15">
      <c r="A223" t="s">
        <v>72</v>
      </c>
      <c r="B223" t="s">
        <v>4559</v>
      </c>
      <c r="C223" t="s">
        <v>74</v>
      </c>
      <c r="D223" t="s">
        <v>74</v>
      </c>
      <c r="E223" t="s">
        <v>74</v>
      </c>
      <c r="F223" t="s">
        <v>4560</v>
      </c>
      <c r="G223" t="s">
        <v>74</v>
      </c>
      <c r="H223" t="s">
        <v>74</v>
      </c>
      <c r="I223" t="s">
        <v>4561</v>
      </c>
      <c r="J223" t="s">
        <v>2720</v>
      </c>
      <c r="K223" t="s">
        <v>74</v>
      </c>
      <c r="L223" t="s">
        <v>74</v>
      </c>
      <c r="M223" t="s">
        <v>78</v>
      </c>
      <c r="N223" t="s">
        <v>573</v>
      </c>
      <c r="O223" t="s">
        <v>74</v>
      </c>
      <c r="P223" t="s">
        <v>74</v>
      </c>
      <c r="Q223" t="s">
        <v>74</v>
      </c>
      <c r="R223" t="s">
        <v>74</v>
      </c>
      <c r="S223" t="s">
        <v>74</v>
      </c>
      <c r="T223" t="s">
        <v>74</v>
      </c>
      <c r="U223" t="s">
        <v>74</v>
      </c>
      <c r="V223" t="s">
        <v>74</v>
      </c>
      <c r="W223" t="s">
        <v>4562</v>
      </c>
      <c r="X223" t="s">
        <v>4563</v>
      </c>
      <c r="Y223" t="s">
        <v>4564</v>
      </c>
      <c r="Z223" t="s">
        <v>4565</v>
      </c>
      <c r="AA223" t="s">
        <v>4566</v>
      </c>
      <c r="AB223" t="s">
        <v>4567</v>
      </c>
      <c r="AC223" t="s">
        <v>74</v>
      </c>
      <c r="AD223" t="s">
        <v>74</v>
      </c>
      <c r="AE223" t="s">
        <v>74</v>
      </c>
      <c r="AF223" t="s">
        <v>74</v>
      </c>
      <c r="AG223">
        <v>8</v>
      </c>
      <c r="AH223">
        <v>0</v>
      </c>
      <c r="AI223">
        <v>0</v>
      </c>
      <c r="AJ223">
        <v>0</v>
      </c>
      <c r="AK223">
        <v>12</v>
      </c>
      <c r="AL223" t="s">
        <v>1657</v>
      </c>
      <c r="AM223" t="s">
        <v>679</v>
      </c>
      <c r="AN223" t="s">
        <v>1658</v>
      </c>
      <c r="AO223" t="s">
        <v>2733</v>
      </c>
      <c r="AP223" t="s">
        <v>2734</v>
      </c>
      <c r="AQ223" t="s">
        <v>74</v>
      </c>
      <c r="AR223" t="s">
        <v>2735</v>
      </c>
      <c r="AS223" t="s">
        <v>2736</v>
      </c>
      <c r="AT223" t="s">
        <v>2239</v>
      </c>
      <c r="AU223">
        <v>2016</v>
      </c>
      <c r="AV223">
        <v>38</v>
      </c>
      <c r="AW223">
        <v>3</v>
      </c>
      <c r="AX223" t="s">
        <v>74</v>
      </c>
      <c r="AY223" t="s">
        <v>74</v>
      </c>
      <c r="AZ223" t="s">
        <v>74</v>
      </c>
      <c r="BA223" t="s">
        <v>74</v>
      </c>
      <c r="BB223">
        <v>688</v>
      </c>
      <c r="BC223">
        <v>689</v>
      </c>
      <c r="BD223" t="s">
        <v>74</v>
      </c>
      <c r="BE223" t="s">
        <v>4568</v>
      </c>
      <c r="BF223" t="str">
        <f>HYPERLINK("http://dx.doi.org/10.1093/plankt/fbw027","http://dx.doi.org/10.1093/plankt/fbw027")</f>
        <v>http://dx.doi.org/10.1093/plankt/fbw027</v>
      </c>
      <c r="BG223" t="s">
        <v>74</v>
      </c>
      <c r="BH223" t="s">
        <v>74</v>
      </c>
      <c r="BI223">
        <v>2</v>
      </c>
      <c r="BJ223" t="s">
        <v>2738</v>
      </c>
      <c r="BK223" t="s">
        <v>102</v>
      </c>
      <c r="BL223" t="s">
        <v>2738</v>
      </c>
      <c r="BM223" t="s">
        <v>2739</v>
      </c>
      <c r="BN223" t="s">
        <v>74</v>
      </c>
      <c r="BO223" t="s">
        <v>420</v>
      </c>
      <c r="BP223" t="s">
        <v>74</v>
      </c>
      <c r="BQ223" t="s">
        <v>74</v>
      </c>
      <c r="BR223" t="s">
        <v>106</v>
      </c>
      <c r="BS223" t="s">
        <v>4569</v>
      </c>
      <c r="BT223" t="str">
        <f>HYPERLINK("https%3A%2F%2Fwww.webofscience.com%2Fwos%2Fwoscc%2Ffull-record%2FWOS:000377299000026","View Full Record in Web of Science")</f>
        <v>View Full Record in Web of Science</v>
      </c>
    </row>
    <row r="224" spans="1:72" x14ac:dyDescent="0.15">
      <c r="A224" t="s">
        <v>72</v>
      </c>
      <c r="B224" t="s">
        <v>4570</v>
      </c>
      <c r="C224" t="s">
        <v>74</v>
      </c>
      <c r="D224" t="s">
        <v>74</v>
      </c>
      <c r="E224" t="s">
        <v>74</v>
      </c>
      <c r="F224" t="s">
        <v>4571</v>
      </c>
      <c r="G224" t="s">
        <v>74</v>
      </c>
      <c r="H224" t="s">
        <v>74</v>
      </c>
      <c r="I224" t="s">
        <v>4572</v>
      </c>
      <c r="J224" t="s">
        <v>4573</v>
      </c>
      <c r="K224" t="s">
        <v>74</v>
      </c>
      <c r="L224" t="s">
        <v>74</v>
      </c>
      <c r="M224" t="s">
        <v>78</v>
      </c>
      <c r="N224" t="s">
        <v>79</v>
      </c>
      <c r="O224" t="s">
        <v>74</v>
      </c>
      <c r="P224" t="s">
        <v>74</v>
      </c>
      <c r="Q224" t="s">
        <v>74</v>
      </c>
      <c r="R224" t="s">
        <v>74</v>
      </c>
      <c r="S224" t="s">
        <v>74</v>
      </c>
      <c r="T224" t="s">
        <v>74</v>
      </c>
      <c r="U224" t="s">
        <v>4574</v>
      </c>
      <c r="V224" t="s">
        <v>4575</v>
      </c>
      <c r="W224" t="s">
        <v>4576</v>
      </c>
      <c r="X224" t="s">
        <v>4577</v>
      </c>
      <c r="Y224" t="s">
        <v>4578</v>
      </c>
      <c r="Z224" t="s">
        <v>4579</v>
      </c>
      <c r="AA224" t="s">
        <v>4580</v>
      </c>
      <c r="AB224" t="s">
        <v>4581</v>
      </c>
      <c r="AC224" t="s">
        <v>4582</v>
      </c>
      <c r="AD224" t="s">
        <v>4583</v>
      </c>
      <c r="AE224" t="s">
        <v>4584</v>
      </c>
      <c r="AF224" t="s">
        <v>74</v>
      </c>
      <c r="AG224">
        <v>74</v>
      </c>
      <c r="AH224">
        <v>55</v>
      </c>
      <c r="AI224">
        <v>62</v>
      </c>
      <c r="AJ224">
        <v>1</v>
      </c>
      <c r="AK224">
        <v>49</v>
      </c>
      <c r="AL224" t="s">
        <v>721</v>
      </c>
      <c r="AM224" t="s">
        <v>125</v>
      </c>
      <c r="AN224" t="s">
        <v>126</v>
      </c>
      <c r="AO224" t="s">
        <v>4585</v>
      </c>
      <c r="AP224" t="s">
        <v>4586</v>
      </c>
      <c r="AQ224" t="s">
        <v>74</v>
      </c>
      <c r="AR224" t="s">
        <v>4587</v>
      </c>
      <c r="AS224" t="s">
        <v>4588</v>
      </c>
      <c r="AT224" t="s">
        <v>2239</v>
      </c>
      <c r="AU224">
        <v>2016</v>
      </c>
      <c r="AV224">
        <v>61</v>
      </c>
      <c r="AW224">
        <v>3</v>
      </c>
      <c r="AX224" t="s">
        <v>74</v>
      </c>
      <c r="AY224" t="s">
        <v>74</v>
      </c>
      <c r="AZ224" t="s">
        <v>74</v>
      </c>
      <c r="BA224" t="s">
        <v>74</v>
      </c>
      <c r="BB224">
        <v>1049</v>
      </c>
      <c r="BC224">
        <v>1064</v>
      </c>
      <c r="BD224" t="s">
        <v>74</v>
      </c>
      <c r="BE224" t="s">
        <v>4589</v>
      </c>
      <c r="BF224" t="str">
        <f>HYPERLINK("http://dx.doi.org/10.1002/lno.10269","http://dx.doi.org/10.1002/lno.10269")</f>
        <v>http://dx.doi.org/10.1002/lno.10269</v>
      </c>
      <c r="BG224" t="s">
        <v>74</v>
      </c>
      <c r="BH224" t="s">
        <v>74</v>
      </c>
      <c r="BI224">
        <v>16</v>
      </c>
      <c r="BJ224" t="s">
        <v>2798</v>
      </c>
      <c r="BK224" t="s">
        <v>102</v>
      </c>
      <c r="BL224" t="s">
        <v>2738</v>
      </c>
      <c r="BM224" t="s">
        <v>4590</v>
      </c>
      <c r="BN224" t="s">
        <v>74</v>
      </c>
      <c r="BO224" t="s">
        <v>203</v>
      </c>
      <c r="BP224" t="s">
        <v>74</v>
      </c>
      <c r="BQ224" t="s">
        <v>74</v>
      </c>
      <c r="BR224" t="s">
        <v>106</v>
      </c>
      <c r="BS224" t="s">
        <v>4591</v>
      </c>
      <c r="BT224" t="str">
        <f>HYPERLINK("https%3A%2F%2Fwww.webofscience.com%2Fwos%2Fwoscc%2Ffull-record%2FWOS:000375748400017","View Full Record in Web of Science")</f>
        <v>View Full Record in Web of Science</v>
      </c>
    </row>
    <row r="225" spans="1:72" x14ac:dyDescent="0.15">
      <c r="A225" t="s">
        <v>72</v>
      </c>
      <c r="B225" t="s">
        <v>4592</v>
      </c>
      <c r="C225" t="s">
        <v>74</v>
      </c>
      <c r="D225" t="s">
        <v>74</v>
      </c>
      <c r="E225" t="s">
        <v>74</v>
      </c>
      <c r="F225" t="s">
        <v>4593</v>
      </c>
      <c r="G225" t="s">
        <v>74</v>
      </c>
      <c r="H225" t="s">
        <v>74</v>
      </c>
      <c r="I225" t="s">
        <v>4594</v>
      </c>
      <c r="J225" t="s">
        <v>547</v>
      </c>
      <c r="K225" t="s">
        <v>74</v>
      </c>
      <c r="L225" t="s">
        <v>74</v>
      </c>
      <c r="M225" t="s">
        <v>78</v>
      </c>
      <c r="N225" t="s">
        <v>79</v>
      </c>
      <c r="O225" t="s">
        <v>74</v>
      </c>
      <c r="P225" t="s">
        <v>74</v>
      </c>
      <c r="Q225" t="s">
        <v>74</v>
      </c>
      <c r="R225" t="s">
        <v>74</v>
      </c>
      <c r="S225" t="s">
        <v>74</v>
      </c>
      <c r="T225" t="s">
        <v>74</v>
      </c>
      <c r="U225" t="s">
        <v>4595</v>
      </c>
      <c r="V225" t="s">
        <v>4596</v>
      </c>
      <c r="W225" t="s">
        <v>4597</v>
      </c>
      <c r="X225" t="s">
        <v>4598</v>
      </c>
      <c r="Y225" t="s">
        <v>4599</v>
      </c>
      <c r="Z225" t="s">
        <v>4600</v>
      </c>
      <c r="AA225" t="s">
        <v>74</v>
      </c>
      <c r="AB225" t="s">
        <v>4601</v>
      </c>
      <c r="AC225" t="s">
        <v>4602</v>
      </c>
      <c r="AD225" t="s">
        <v>4603</v>
      </c>
      <c r="AE225" t="s">
        <v>4604</v>
      </c>
      <c r="AF225" t="s">
        <v>74</v>
      </c>
      <c r="AG225">
        <v>58</v>
      </c>
      <c r="AH225">
        <v>22</v>
      </c>
      <c r="AI225">
        <v>24</v>
      </c>
      <c r="AJ225">
        <v>2</v>
      </c>
      <c r="AK225">
        <v>65</v>
      </c>
      <c r="AL225" t="s">
        <v>559</v>
      </c>
      <c r="AM225" t="s">
        <v>560</v>
      </c>
      <c r="AN225" t="s">
        <v>561</v>
      </c>
      <c r="AO225" t="s">
        <v>562</v>
      </c>
      <c r="AP225" t="s">
        <v>563</v>
      </c>
      <c r="AQ225" t="s">
        <v>74</v>
      </c>
      <c r="AR225" t="s">
        <v>564</v>
      </c>
      <c r="AS225" t="s">
        <v>565</v>
      </c>
      <c r="AT225" t="s">
        <v>2239</v>
      </c>
      <c r="AU225">
        <v>2016</v>
      </c>
      <c r="AV225">
        <v>163</v>
      </c>
      <c r="AW225">
        <v>5</v>
      </c>
      <c r="AX225" t="s">
        <v>74</v>
      </c>
      <c r="AY225" t="s">
        <v>74</v>
      </c>
      <c r="AZ225" t="s">
        <v>74</v>
      </c>
      <c r="BA225" t="s">
        <v>74</v>
      </c>
      <c r="BB225" t="s">
        <v>74</v>
      </c>
      <c r="BC225" t="s">
        <v>74</v>
      </c>
      <c r="BD225">
        <v>105</v>
      </c>
      <c r="BE225" t="s">
        <v>4605</v>
      </c>
      <c r="BF225" t="str">
        <f>HYPERLINK("http://dx.doi.org/10.1007/s00227-016-2886-y","http://dx.doi.org/10.1007/s00227-016-2886-y")</f>
        <v>http://dx.doi.org/10.1007/s00227-016-2886-y</v>
      </c>
      <c r="BG225" t="s">
        <v>74</v>
      </c>
      <c r="BH225" t="s">
        <v>74</v>
      </c>
      <c r="BI225">
        <v>10</v>
      </c>
      <c r="BJ225" t="s">
        <v>201</v>
      </c>
      <c r="BK225" t="s">
        <v>102</v>
      </c>
      <c r="BL225" t="s">
        <v>201</v>
      </c>
      <c r="BM225" t="s">
        <v>3066</v>
      </c>
      <c r="BN225" t="s">
        <v>74</v>
      </c>
      <c r="BO225" t="s">
        <v>1143</v>
      </c>
      <c r="BP225" t="s">
        <v>74</v>
      </c>
      <c r="BQ225" t="s">
        <v>74</v>
      </c>
      <c r="BR225" t="s">
        <v>106</v>
      </c>
      <c r="BS225" t="s">
        <v>4606</v>
      </c>
      <c r="BT225" t="str">
        <f>HYPERLINK("https%3A%2F%2Fwww.webofscience.com%2Fwos%2Fwoscc%2Ffull-record%2FWOS:000375330500012","View Full Record in Web of Science")</f>
        <v>View Full Record in Web of Science</v>
      </c>
    </row>
    <row r="226" spans="1:72" x14ac:dyDescent="0.15">
      <c r="A226" t="s">
        <v>72</v>
      </c>
      <c r="B226" t="s">
        <v>4607</v>
      </c>
      <c r="C226" t="s">
        <v>74</v>
      </c>
      <c r="D226" t="s">
        <v>74</v>
      </c>
      <c r="E226" t="s">
        <v>74</v>
      </c>
      <c r="F226" t="s">
        <v>4608</v>
      </c>
      <c r="G226" t="s">
        <v>74</v>
      </c>
      <c r="H226" t="s">
        <v>74</v>
      </c>
      <c r="I226" t="s">
        <v>4609</v>
      </c>
      <c r="J226" t="s">
        <v>4610</v>
      </c>
      <c r="K226" t="s">
        <v>74</v>
      </c>
      <c r="L226" t="s">
        <v>74</v>
      </c>
      <c r="M226" t="s">
        <v>78</v>
      </c>
      <c r="N226" t="s">
        <v>79</v>
      </c>
      <c r="O226" t="s">
        <v>74</v>
      </c>
      <c r="P226" t="s">
        <v>74</v>
      </c>
      <c r="Q226" t="s">
        <v>74</v>
      </c>
      <c r="R226" t="s">
        <v>74</v>
      </c>
      <c r="S226" t="s">
        <v>74</v>
      </c>
      <c r="T226" t="s">
        <v>4611</v>
      </c>
      <c r="U226" t="s">
        <v>4612</v>
      </c>
      <c r="V226" t="s">
        <v>4613</v>
      </c>
      <c r="W226" t="s">
        <v>4614</v>
      </c>
      <c r="X226" t="s">
        <v>4615</v>
      </c>
      <c r="Y226" t="s">
        <v>4616</v>
      </c>
      <c r="Z226" t="s">
        <v>4617</v>
      </c>
      <c r="AA226" t="s">
        <v>4618</v>
      </c>
      <c r="AB226" t="s">
        <v>4619</v>
      </c>
      <c r="AC226" t="s">
        <v>4620</v>
      </c>
      <c r="AD226" t="s">
        <v>4621</v>
      </c>
      <c r="AE226" t="s">
        <v>4622</v>
      </c>
      <c r="AF226" t="s">
        <v>74</v>
      </c>
      <c r="AG226">
        <v>44</v>
      </c>
      <c r="AH226">
        <v>42</v>
      </c>
      <c r="AI226">
        <v>47</v>
      </c>
      <c r="AJ226">
        <v>0</v>
      </c>
      <c r="AK226">
        <v>21</v>
      </c>
      <c r="AL226" t="s">
        <v>2577</v>
      </c>
      <c r="AM226" t="s">
        <v>2578</v>
      </c>
      <c r="AN226" t="s">
        <v>2579</v>
      </c>
      <c r="AO226" t="s">
        <v>4623</v>
      </c>
      <c r="AP226" t="s">
        <v>74</v>
      </c>
      <c r="AQ226" t="s">
        <v>74</v>
      </c>
      <c r="AR226" t="s">
        <v>4624</v>
      </c>
      <c r="AS226" t="s">
        <v>4625</v>
      </c>
      <c r="AT226" t="s">
        <v>2239</v>
      </c>
      <c r="AU226">
        <v>2016</v>
      </c>
      <c r="AV226">
        <v>14</v>
      </c>
      <c r="AW226">
        <v>5</v>
      </c>
      <c r="AX226" t="s">
        <v>74</v>
      </c>
      <c r="AY226" t="s">
        <v>74</v>
      </c>
      <c r="AZ226" t="s">
        <v>74</v>
      </c>
      <c r="BA226" t="s">
        <v>74</v>
      </c>
      <c r="BB226" t="s">
        <v>74</v>
      </c>
      <c r="BC226" t="s">
        <v>74</v>
      </c>
      <c r="BD226">
        <v>83</v>
      </c>
      <c r="BE226" t="s">
        <v>4626</v>
      </c>
      <c r="BF226" t="str">
        <f>HYPERLINK("http://dx.doi.org/10.3390/md14050083","http://dx.doi.org/10.3390/md14050083")</f>
        <v>http://dx.doi.org/10.3390/md14050083</v>
      </c>
      <c r="BG226" t="s">
        <v>74</v>
      </c>
      <c r="BH226" t="s">
        <v>74</v>
      </c>
      <c r="BI226">
        <v>14</v>
      </c>
      <c r="BJ226" t="s">
        <v>4627</v>
      </c>
      <c r="BK226" t="s">
        <v>102</v>
      </c>
      <c r="BL226" t="s">
        <v>4628</v>
      </c>
      <c r="BM226" t="s">
        <v>4629</v>
      </c>
      <c r="BN226">
        <v>27128927</v>
      </c>
      <c r="BO226" t="s">
        <v>4630</v>
      </c>
      <c r="BP226" t="s">
        <v>74</v>
      </c>
      <c r="BQ226" t="s">
        <v>74</v>
      </c>
      <c r="BR226" t="s">
        <v>106</v>
      </c>
      <c r="BS226" t="s">
        <v>4631</v>
      </c>
      <c r="BT226" t="str">
        <f>HYPERLINK("https%3A%2F%2Fwww.webofscience.com%2Fwos%2Fwoscc%2Ffull-record%2FWOS:000377981400002","View Full Record in Web of Science")</f>
        <v>View Full Record in Web of Science</v>
      </c>
    </row>
    <row r="227" spans="1:72" x14ac:dyDescent="0.15">
      <c r="A227" t="s">
        <v>72</v>
      </c>
      <c r="B227" t="s">
        <v>4632</v>
      </c>
      <c r="C227" t="s">
        <v>74</v>
      </c>
      <c r="D227" t="s">
        <v>74</v>
      </c>
      <c r="E227" t="s">
        <v>74</v>
      </c>
      <c r="F227" t="s">
        <v>4633</v>
      </c>
      <c r="G227" t="s">
        <v>74</v>
      </c>
      <c r="H227" t="s">
        <v>74</v>
      </c>
      <c r="I227" t="s">
        <v>4634</v>
      </c>
      <c r="J227" t="s">
        <v>4635</v>
      </c>
      <c r="K227" t="s">
        <v>74</v>
      </c>
      <c r="L227" t="s">
        <v>74</v>
      </c>
      <c r="M227" t="s">
        <v>78</v>
      </c>
      <c r="N227" t="s">
        <v>79</v>
      </c>
      <c r="O227" t="s">
        <v>74</v>
      </c>
      <c r="P227" t="s">
        <v>74</v>
      </c>
      <c r="Q227" t="s">
        <v>74</v>
      </c>
      <c r="R227" t="s">
        <v>74</v>
      </c>
      <c r="S227" t="s">
        <v>74</v>
      </c>
      <c r="T227" t="s">
        <v>4636</v>
      </c>
      <c r="U227" t="s">
        <v>4637</v>
      </c>
      <c r="V227" t="s">
        <v>4638</v>
      </c>
      <c r="W227" t="s">
        <v>4639</v>
      </c>
      <c r="X227" t="s">
        <v>4640</v>
      </c>
      <c r="Y227" t="s">
        <v>4641</v>
      </c>
      <c r="Z227" t="s">
        <v>4642</v>
      </c>
      <c r="AA227" t="s">
        <v>4643</v>
      </c>
      <c r="AB227" t="s">
        <v>4644</v>
      </c>
      <c r="AC227" t="s">
        <v>4645</v>
      </c>
      <c r="AD227" t="s">
        <v>4645</v>
      </c>
      <c r="AE227" t="s">
        <v>4646</v>
      </c>
      <c r="AF227" t="s">
        <v>74</v>
      </c>
      <c r="AG227">
        <v>43</v>
      </c>
      <c r="AH227">
        <v>151</v>
      </c>
      <c r="AI227">
        <v>170</v>
      </c>
      <c r="AJ227">
        <v>4</v>
      </c>
      <c r="AK227">
        <v>128</v>
      </c>
      <c r="AL227" t="s">
        <v>124</v>
      </c>
      <c r="AM227" t="s">
        <v>125</v>
      </c>
      <c r="AN227" t="s">
        <v>126</v>
      </c>
      <c r="AO227" t="s">
        <v>4647</v>
      </c>
      <c r="AP227" t="s">
        <v>4648</v>
      </c>
      <c r="AQ227" t="s">
        <v>74</v>
      </c>
      <c r="AR227" t="s">
        <v>4649</v>
      </c>
      <c r="AS227" t="s">
        <v>4650</v>
      </c>
      <c r="AT227" t="s">
        <v>2239</v>
      </c>
      <c r="AU227">
        <v>2016</v>
      </c>
      <c r="AV227">
        <v>16</v>
      </c>
      <c r="AW227">
        <v>3</v>
      </c>
      <c r="AX227" t="s">
        <v>74</v>
      </c>
      <c r="AY227" t="s">
        <v>74</v>
      </c>
      <c r="AZ227" t="s">
        <v>74</v>
      </c>
      <c r="BA227" t="s">
        <v>74</v>
      </c>
      <c r="BB227">
        <v>714</v>
      </c>
      <c r="BC227">
        <v>726</v>
      </c>
      <c r="BD227" t="s">
        <v>74</v>
      </c>
      <c r="BE227" t="s">
        <v>4651</v>
      </c>
      <c r="BF227" t="str">
        <f>HYPERLINK("http://dx.doi.org/10.1111/1755-0998.12490","http://dx.doi.org/10.1111/1755-0998.12490")</f>
        <v>http://dx.doi.org/10.1111/1755-0998.12490</v>
      </c>
      <c r="BG227" t="s">
        <v>74</v>
      </c>
      <c r="BH227" t="s">
        <v>74</v>
      </c>
      <c r="BI227">
        <v>13</v>
      </c>
      <c r="BJ227" t="s">
        <v>4652</v>
      </c>
      <c r="BK227" t="s">
        <v>102</v>
      </c>
      <c r="BL227" t="s">
        <v>4653</v>
      </c>
      <c r="BM227" t="s">
        <v>4654</v>
      </c>
      <c r="BN227">
        <v>26602877</v>
      </c>
      <c r="BO227" t="s">
        <v>74</v>
      </c>
      <c r="BP227" t="s">
        <v>74</v>
      </c>
      <c r="BQ227" t="s">
        <v>74</v>
      </c>
      <c r="BR227" t="s">
        <v>106</v>
      </c>
      <c r="BS227" t="s">
        <v>4655</v>
      </c>
      <c r="BT227" t="str">
        <f>HYPERLINK("https%3A%2F%2Fwww.webofscience.com%2Fwos%2Fwoscc%2Ffull-record%2FWOS:000373954100012","View Full Record in Web of Science")</f>
        <v>View Full Record in Web of Science</v>
      </c>
    </row>
    <row r="228" spans="1:72" x14ac:dyDescent="0.15">
      <c r="A228" t="s">
        <v>72</v>
      </c>
      <c r="B228" t="s">
        <v>4656</v>
      </c>
      <c r="C228" t="s">
        <v>74</v>
      </c>
      <c r="D228" t="s">
        <v>74</v>
      </c>
      <c r="E228" t="s">
        <v>74</v>
      </c>
      <c r="F228" t="s">
        <v>4657</v>
      </c>
      <c r="G228" t="s">
        <v>74</v>
      </c>
      <c r="H228" t="s">
        <v>74</v>
      </c>
      <c r="I228" t="s">
        <v>4658</v>
      </c>
      <c r="J228" t="s">
        <v>4659</v>
      </c>
      <c r="K228" t="s">
        <v>74</v>
      </c>
      <c r="L228" t="s">
        <v>74</v>
      </c>
      <c r="M228" t="s">
        <v>78</v>
      </c>
      <c r="N228" t="s">
        <v>79</v>
      </c>
      <c r="O228" t="s">
        <v>74</v>
      </c>
      <c r="P228" t="s">
        <v>74</v>
      </c>
      <c r="Q228" t="s">
        <v>74</v>
      </c>
      <c r="R228" t="s">
        <v>74</v>
      </c>
      <c r="S228" t="s">
        <v>74</v>
      </c>
      <c r="T228" t="s">
        <v>74</v>
      </c>
      <c r="U228" t="s">
        <v>4660</v>
      </c>
      <c r="V228" t="s">
        <v>4661</v>
      </c>
      <c r="W228" t="s">
        <v>4662</v>
      </c>
      <c r="X228" t="s">
        <v>4663</v>
      </c>
      <c r="Y228" t="s">
        <v>4664</v>
      </c>
      <c r="Z228" t="s">
        <v>4665</v>
      </c>
      <c r="AA228" t="s">
        <v>4666</v>
      </c>
      <c r="AB228" t="s">
        <v>4667</v>
      </c>
      <c r="AC228" t="s">
        <v>74</v>
      </c>
      <c r="AD228" t="s">
        <v>74</v>
      </c>
      <c r="AE228" t="s">
        <v>74</v>
      </c>
      <c r="AF228" t="s">
        <v>74</v>
      </c>
      <c r="AG228">
        <v>76</v>
      </c>
      <c r="AH228">
        <v>81</v>
      </c>
      <c r="AI228">
        <v>86</v>
      </c>
      <c r="AJ228">
        <v>1</v>
      </c>
      <c r="AK228">
        <v>42</v>
      </c>
      <c r="AL228" t="s">
        <v>746</v>
      </c>
      <c r="AM228" t="s">
        <v>747</v>
      </c>
      <c r="AN228" t="s">
        <v>748</v>
      </c>
      <c r="AO228" t="s">
        <v>4668</v>
      </c>
      <c r="AP228" t="s">
        <v>4669</v>
      </c>
      <c r="AQ228" t="s">
        <v>74</v>
      </c>
      <c r="AR228" t="s">
        <v>4670</v>
      </c>
      <c r="AS228" t="s">
        <v>4671</v>
      </c>
      <c r="AT228" t="s">
        <v>2239</v>
      </c>
      <c r="AU228">
        <v>2016</v>
      </c>
      <c r="AV228">
        <v>6</v>
      </c>
      <c r="AW228">
        <v>5</v>
      </c>
      <c r="AX228" t="s">
        <v>74</v>
      </c>
      <c r="AY228" t="s">
        <v>74</v>
      </c>
      <c r="AZ228" t="s">
        <v>74</v>
      </c>
      <c r="BA228" t="s">
        <v>74</v>
      </c>
      <c r="BB228">
        <v>445</v>
      </c>
      <c r="BC228">
        <v>451</v>
      </c>
      <c r="BD228" t="s">
        <v>74</v>
      </c>
      <c r="BE228" t="s">
        <v>4672</v>
      </c>
      <c r="BF228" t="str">
        <f>HYPERLINK("http://dx.doi.org/10.1038/NCLIMATE2959","http://dx.doi.org/10.1038/NCLIMATE2959")</f>
        <v>http://dx.doi.org/10.1038/NCLIMATE2959</v>
      </c>
      <c r="BG228" t="s">
        <v>74</v>
      </c>
      <c r="BH228" t="s">
        <v>74</v>
      </c>
      <c r="BI228">
        <v>7</v>
      </c>
      <c r="BJ228" t="s">
        <v>4673</v>
      </c>
      <c r="BK228" t="s">
        <v>942</v>
      </c>
      <c r="BL228" t="s">
        <v>4674</v>
      </c>
      <c r="BM228" t="s">
        <v>4675</v>
      </c>
      <c r="BN228" t="s">
        <v>74</v>
      </c>
      <c r="BO228" t="s">
        <v>74</v>
      </c>
      <c r="BP228" t="s">
        <v>74</v>
      </c>
      <c r="BQ228" t="s">
        <v>74</v>
      </c>
      <c r="BR228" t="s">
        <v>106</v>
      </c>
      <c r="BS228" t="s">
        <v>4676</v>
      </c>
      <c r="BT228" t="str">
        <f>HYPERLINK("https%3A%2F%2Fwww.webofscience.com%2Fwos%2Fwoscc%2Ffull-record%2FWOS:000375125200010","View Full Record in Web of Science")</f>
        <v>View Full Record in Web of Science</v>
      </c>
    </row>
    <row r="229" spans="1:72" x14ac:dyDescent="0.15">
      <c r="A229" t="s">
        <v>72</v>
      </c>
      <c r="B229" t="s">
        <v>4677</v>
      </c>
      <c r="C229" t="s">
        <v>74</v>
      </c>
      <c r="D229" t="s">
        <v>74</v>
      </c>
      <c r="E229" t="s">
        <v>74</v>
      </c>
      <c r="F229" t="s">
        <v>4678</v>
      </c>
      <c r="G229" t="s">
        <v>74</v>
      </c>
      <c r="H229" t="s">
        <v>74</v>
      </c>
      <c r="I229" t="s">
        <v>4679</v>
      </c>
      <c r="J229" t="s">
        <v>4659</v>
      </c>
      <c r="K229" t="s">
        <v>74</v>
      </c>
      <c r="L229" t="s">
        <v>74</v>
      </c>
      <c r="M229" t="s">
        <v>78</v>
      </c>
      <c r="N229" t="s">
        <v>79</v>
      </c>
      <c r="O229" t="s">
        <v>74</v>
      </c>
      <c r="P229" t="s">
        <v>74</v>
      </c>
      <c r="Q229" t="s">
        <v>74</v>
      </c>
      <c r="R229" t="s">
        <v>74</v>
      </c>
      <c r="S229" t="s">
        <v>74</v>
      </c>
      <c r="T229" t="s">
        <v>74</v>
      </c>
      <c r="U229" t="s">
        <v>4680</v>
      </c>
      <c r="V229" t="s">
        <v>4681</v>
      </c>
      <c r="W229" t="s">
        <v>4682</v>
      </c>
      <c r="X229" t="s">
        <v>4683</v>
      </c>
      <c r="Y229" t="s">
        <v>4684</v>
      </c>
      <c r="Z229" t="s">
        <v>4685</v>
      </c>
      <c r="AA229" t="s">
        <v>4686</v>
      </c>
      <c r="AB229" t="s">
        <v>4687</v>
      </c>
      <c r="AC229" t="s">
        <v>4688</v>
      </c>
      <c r="AD229" t="s">
        <v>4689</v>
      </c>
      <c r="AE229" t="s">
        <v>4690</v>
      </c>
      <c r="AF229" t="s">
        <v>74</v>
      </c>
      <c r="AG229">
        <v>31</v>
      </c>
      <c r="AH229">
        <v>272</v>
      </c>
      <c r="AI229">
        <v>291</v>
      </c>
      <c r="AJ229">
        <v>8</v>
      </c>
      <c r="AK229">
        <v>72</v>
      </c>
      <c r="AL229" t="s">
        <v>772</v>
      </c>
      <c r="AM229" t="s">
        <v>773</v>
      </c>
      <c r="AN229" t="s">
        <v>774</v>
      </c>
      <c r="AO229" t="s">
        <v>4668</v>
      </c>
      <c r="AP229" t="s">
        <v>4669</v>
      </c>
      <c r="AQ229" t="s">
        <v>74</v>
      </c>
      <c r="AR229" t="s">
        <v>4670</v>
      </c>
      <c r="AS229" t="s">
        <v>4671</v>
      </c>
      <c r="AT229" t="s">
        <v>2239</v>
      </c>
      <c r="AU229">
        <v>2016</v>
      </c>
      <c r="AV229">
        <v>6</v>
      </c>
      <c r="AW229">
        <v>5</v>
      </c>
      <c r="AX229" t="s">
        <v>74</v>
      </c>
      <c r="AY229" t="s">
        <v>74</v>
      </c>
      <c r="AZ229" t="s">
        <v>74</v>
      </c>
      <c r="BA229" t="s">
        <v>74</v>
      </c>
      <c r="BB229">
        <v>479</v>
      </c>
      <c r="BC229">
        <v>482</v>
      </c>
      <c r="BD229" t="s">
        <v>74</v>
      </c>
      <c r="BE229" t="s">
        <v>4691</v>
      </c>
      <c r="BF229" t="str">
        <f>HYPERLINK("http://dx.doi.org/10.1038/NCLIMATE2912","http://dx.doi.org/10.1038/NCLIMATE2912")</f>
        <v>http://dx.doi.org/10.1038/NCLIMATE2912</v>
      </c>
      <c r="BG229" t="s">
        <v>74</v>
      </c>
      <c r="BH229" t="s">
        <v>74</v>
      </c>
      <c r="BI229">
        <v>4</v>
      </c>
      <c r="BJ229" t="s">
        <v>4673</v>
      </c>
      <c r="BK229" t="s">
        <v>942</v>
      </c>
      <c r="BL229" t="s">
        <v>4674</v>
      </c>
      <c r="BM229" t="s">
        <v>4675</v>
      </c>
      <c r="BN229" t="s">
        <v>74</v>
      </c>
      <c r="BO229" t="s">
        <v>74</v>
      </c>
      <c r="BP229" t="s">
        <v>1046</v>
      </c>
      <c r="BQ229" t="s">
        <v>1047</v>
      </c>
      <c r="BR229" t="s">
        <v>106</v>
      </c>
      <c r="BS229" t="s">
        <v>4692</v>
      </c>
      <c r="BT229" t="str">
        <f>HYPERLINK("https%3A%2F%2Fwww.webofscience.com%2Fwos%2Fwoscc%2Ffull-record%2FWOS:000375125200014","View Full Record in Web of Science")</f>
        <v>View Full Record in Web of Science</v>
      </c>
    </row>
    <row r="230" spans="1:72" x14ac:dyDescent="0.15">
      <c r="A230" t="s">
        <v>72</v>
      </c>
      <c r="B230" t="s">
        <v>4693</v>
      </c>
      <c r="C230" t="s">
        <v>74</v>
      </c>
      <c r="D230" t="s">
        <v>74</v>
      </c>
      <c r="E230" t="s">
        <v>74</v>
      </c>
      <c r="F230" t="s">
        <v>4694</v>
      </c>
      <c r="G230" t="s">
        <v>74</v>
      </c>
      <c r="H230" t="s">
        <v>74</v>
      </c>
      <c r="I230" t="s">
        <v>4695</v>
      </c>
      <c r="J230" t="s">
        <v>734</v>
      </c>
      <c r="K230" t="s">
        <v>74</v>
      </c>
      <c r="L230" t="s">
        <v>74</v>
      </c>
      <c r="M230" t="s">
        <v>78</v>
      </c>
      <c r="N230" t="s">
        <v>79</v>
      </c>
      <c r="O230" t="s">
        <v>74</v>
      </c>
      <c r="P230" t="s">
        <v>74</v>
      </c>
      <c r="Q230" t="s">
        <v>74</v>
      </c>
      <c r="R230" t="s">
        <v>74</v>
      </c>
      <c r="S230" t="s">
        <v>74</v>
      </c>
      <c r="T230" t="s">
        <v>74</v>
      </c>
      <c r="U230" t="s">
        <v>4696</v>
      </c>
      <c r="V230" t="s">
        <v>4697</v>
      </c>
      <c r="W230" t="s">
        <v>4698</v>
      </c>
      <c r="X230" t="s">
        <v>4699</v>
      </c>
      <c r="Y230" t="s">
        <v>4700</v>
      </c>
      <c r="Z230" t="s">
        <v>4701</v>
      </c>
      <c r="AA230" t="s">
        <v>4702</v>
      </c>
      <c r="AB230" t="s">
        <v>4703</v>
      </c>
      <c r="AC230" t="s">
        <v>4704</v>
      </c>
      <c r="AD230" t="s">
        <v>4705</v>
      </c>
      <c r="AE230" t="s">
        <v>4706</v>
      </c>
      <c r="AF230" t="s">
        <v>74</v>
      </c>
      <c r="AG230">
        <v>76</v>
      </c>
      <c r="AH230">
        <v>95</v>
      </c>
      <c r="AI230">
        <v>105</v>
      </c>
      <c r="AJ230">
        <v>2</v>
      </c>
      <c r="AK230">
        <v>58</v>
      </c>
      <c r="AL230" t="s">
        <v>772</v>
      </c>
      <c r="AM230" t="s">
        <v>773</v>
      </c>
      <c r="AN230" t="s">
        <v>774</v>
      </c>
      <c r="AO230" t="s">
        <v>749</v>
      </c>
      <c r="AP230" t="s">
        <v>74</v>
      </c>
      <c r="AQ230" t="s">
        <v>74</v>
      </c>
      <c r="AR230" t="s">
        <v>750</v>
      </c>
      <c r="AS230" t="s">
        <v>751</v>
      </c>
      <c r="AT230" t="s">
        <v>2239</v>
      </c>
      <c r="AU230">
        <v>2016</v>
      </c>
      <c r="AV230">
        <v>7</v>
      </c>
      <c r="AW230" t="s">
        <v>74</v>
      </c>
      <c r="AX230" t="s">
        <v>74</v>
      </c>
      <c r="AY230" t="s">
        <v>74</v>
      </c>
      <c r="AZ230" t="s">
        <v>74</v>
      </c>
      <c r="BA230" t="s">
        <v>74</v>
      </c>
      <c r="BB230" t="s">
        <v>74</v>
      </c>
      <c r="BC230" t="s">
        <v>74</v>
      </c>
      <c r="BD230">
        <v>11539</v>
      </c>
      <c r="BE230" t="s">
        <v>4707</v>
      </c>
      <c r="BF230" t="str">
        <f>HYPERLINK("http://dx.doi.org/10.1038/ncomms11539","http://dx.doi.org/10.1038/ncomms11539")</f>
        <v>http://dx.doi.org/10.1038/ncomms11539</v>
      </c>
      <c r="BG230" t="s">
        <v>74</v>
      </c>
      <c r="BH230" t="s">
        <v>74</v>
      </c>
      <c r="BI230">
        <v>11</v>
      </c>
      <c r="BJ230" t="s">
        <v>753</v>
      </c>
      <c r="BK230" t="s">
        <v>102</v>
      </c>
      <c r="BL230" t="s">
        <v>754</v>
      </c>
      <c r="BM230" t="s">
        <v>4708</v>
      </c>
      <c r="BN230">
        <v>27187527</v>
      </c>
      <c r="BO230" t="s">
        <v>2121</v>
      </c>
      <c r="BP230" t="s">
        <v>74</v>
      </c>
      <c r="BQ230" t="s">
        <v>74</v>
      </c>
      <c r="BR230" t="s">
        <v>106</v>
      </c>
      <c r="BS230" t="s">
        <v>4709</v>
      </c>
      <c r="BT230" t="str">
        <f>HYPERLINK("https%3A%2F%2Fwww.webofscience.com%2Fwos%2Fwoscc%2Ffull-record%2FWOS:000375937600001","View Full Record in Web of Science")</f>
        <v>View Full Record in Web of Science</v>
      </c>
    </row>
    <row r="231" spans="1:72" x14ac:dyDescent="0.15">
      <c r="A231" t="s">
        <v>72</v>
      </c>
      <c r="B231" t="s">
        <v>4710</v>
      </c>
      <c r="C231" t="s">
        <v>74</v>
      </c>
      <c r="D231" t="s">
        <v>74</v>
      </c>
      <c r="E231" t="s">
        <v>74</v>
      </c>
      <c r="F231" t="s">
        <v>4711</v>
      </c>
      <c r="G231" t="s">
        <v>74</v>
      </c>
      <c r="H231" t="s">
        <v>74</v>
      </c>
      <c r="I231" t="s">
        <v>4712</v>
      </c>
      <c r="J231" t="s">
        <v>734</v>
      </c>
      <c r="K231" t="s">
        <v>74</v>
      </c>
      <c r="L231" t="s">
        <v>74</v>
      </c>
      <c r="M231" t="s">
        <v>78</v>
      </c>
      <c r="N231" t="s">
        <v>79</v>
      </c>
      <c r="O231" t="s">
        <v>74</v>
      </c>
      <c r="P231" t="s">
        <v>74</v>
      </c>
      <c r="Q231" t="s">
        <v>74</v>
      </c>
      <c r="R231" t="s">
        <v>74</v>
      </c>
      <c r="S231" t="s">
        <v>74</v>
      </c>
      <c r="T231" t="s">
        <v>74</v>
      </c>
      <c r="U231" t="s">
        <v>4713</v>
      </c>
      <c r="V231" t="s">
        <v>4714</v>
      </c>
      <c r="W231" t="s">
        <v>4715</v>
      </c>
      <c r="X231" t="s">
        <v>4716</v>
      </c>
      <c r="Y231" t="s">
        <v>4717</v>
      </c>
      <c r="Z231" t="s">
        <v>4718</v>
      </c>
      <c r="AA231" t="s">
        <v>4719</v>
      </c>
      <c r="AB231" t="s">
        <v>4720</v>
      </c>
      <c r="AC231" t="s">
        <v>4721</v>
      </c>
      <c r="AD231" t="s">
        <v>4722</v>
      </c>
      <c r="AE231" t="s">
        <v>4723</v>
      </c>
      <c r="AF231" t="s">
        <v>74</v>
      </c>
      <c r="AG231">
        <v>69</v>
      </c>
      <c r="AH231">
        <v>55</v>
      </c>
      <c r="AI231">
        <v>68</v>
      </c>
      <c r="AJ231">
        <v>2</v>
      </c>
      <c r="AK231">
        <v>45</v>
      </c>
      <c r="AL231" t="s">
        <v>772</v>
      </c>
      <c r="AM231" t="s">
        <v>773</v>
      </c>
      <c r="AN231" t="s">
        <v>774</v>
      </c>
      <c r="AO231" t="s">
        <v>749</v>
      </c>
      <c r="AP231" t="s">
        <v>74</v>
      </c>
      <c r="AQ231" t="s">
        <v>74</v>
      </c>
      <c r="AR231" t="s">
        <v>750</v>
      </c>
      <c r="AS231" t="s">
        <v>751</v>
      </c>
      <c r="AT231" t="s">
        <v>2239</v>
      </c>
      <c r="AU231">
        <v>2016</v>
      </c>
      <c r="AV231">
        <v>7</v>
      </c>
      <c r="AW231" t="s">
        <v>74</v>
      </c>
      <c r="AX231" t="s">
        <v>74</v>
      </c>
      <c r="AY231" t="s">
        <v>74</v>
      </c>
      <c r="AZ231" t="s">
        <v>74</v>
      </c>
      <c r="BA231" t="s">
        <v>74</v>
      </c>
      <c r="BB231" t="s">
        <v>74</v>
      </c>
      <c r="BC231" t="s">
        <v>74</v>
      </c>
      <c r="BD231">
        <v>11738</v>
      </c>
      <c r="BE231" t="s">
        <v>4724</v>
      </c>
      <c r="BF231" t="str">
        <f>HYPERLINK("http://dx.doi.org/10.1038/ncomms11738","http://dx.doi.org/10.1038/ncomms11738")</f>
        <v>http://dx.doi.org/10.1038/ncomms11738</v>
      </c>
      <c r="BG231" t="s">
        <v>74</v>
      </c>
      <c r="BH231" t="s">
        <v>74</v>
      </c>
      <c r="BI231">
        <v>9</v>
      </c>
      <c r="BJ231" t="s">
        <v>753</v>
      </c>
      <c r="BK231" t="s">
        <v>102</v>
      </c>
      <c r="BL231" t="s">
        <v>754</v>
      </c>
      <c r="BM231" t="s">
        <v>4725</v>
      </c>
      <c r="BN231">
        <v>27226414</v>
      </c>
      <c r="BO231" t="s">
        <v>4726</v>
      </c>
      <c r="BP231" t="s">
        <v>74</v>
      </c>
      <c r="BQ231" t="s">
        <v>74</v>
      </c>
      <c r="BR231" t="s">
        <v>106</v>
      </c>
      <c r="BS231" t="s">
        <v>4727</v>
      </c>
      <c r="BT231" t="str">
        <f>HYPERLINK("https%3A%2F%2Fwww.webofscience.com%2Fwos%2Fwoscc%2Ffull-record%2FWOS:000376672500001","View Full Record in Web of Science")</f>
        <v>View Full Record in Web of Science</v>
      </c>
    </row>
    <row r="232" spans="1:72" x14ac:dyDescent="0.15">
      <c r="A232" t="s">
        <v>72</v>
      </c>
      <c r="B232" t="s">
        <v>4728</v>
      </c>
      <c r="C232" t="s">
        <v>74</v>
      </c>
      <c r="D232" t="s">
        <v>74</v>
      </c>
      <c r="E232" t="s">
        <v>74</v>
      </c>
      <c r="F232" t="s">
        <v>4729</v>
      </c>
      <c r="G232" t="s">
        <v>74</v>
      </c>
      <c r="H232" t="s">
        <v>74</v>
      </c>
      <c r="I232" t="s">
        <v>4730</v>
      </c>
      <c r="J232" t="s">
        <v>823</v>
      </c>
      <c r="K232" t="s">
        <v>74</v>
      </c>
      <c r="L232" t="s">
        <v>74</v>
      </c>
      <c r="M232" t="s">
        <v>78</v>
      </c>
      <c r="N232" t="s">
        <v>79</v>
      </c>
      <c r="O232" t="s">
        <v>74</v>
      </c>
      <c r="P232" t="s">
        <v>74</v>
      </c>
      <c r="Q232" t="s">
        <v>74</v>
      </c>
      <c r="R232" t="s">
        <v>74</v>
      </c>
      <c r="S232" t="s">
        <v>74</v>
      </c>
      <c r="T232" t="s">
        <v>4731</v>
      </c>
      <c r="U232" t="s">
        <v>4732</v>
      </c>
      <c r="V232" t="s">
        <v>4733</v>
      </c>
      <c r="W232" t="s">
        <v>4734</v>
      </c>
      <c r="X232" t="s">
        <v>4735</v>
      </c>
      <c r="Y232" t="s">
        <v>4736</v>
      </c>
      <c r="Z232" t="s">
        <v>4737</v>
      </c>
      <c r="AA232" t="s">
        <v>4738</v>
      </c>
      <c r="AB232" t="s">
        <v>4739</v>
      </c>
      <c r="AC232" t="s">
        <v>74</v>
      </c>
      <c r="AD232" t="s">
        <v>74</v>
      </c>
      <c r="AE232" t="s">
        <v>74</v>
      </c>
      <c r="AF232" t="s">
        <v>74</v>
      </c>
      <c r="AG232">
        <v>82</v>
      </c>
      <c r="AH232">
        <v>16</v>
      </c>
      <c r="AI232">
        <v>16</v>
      </c>
      <c r="AJ232">
        <v>2</v>
      </c>
      <c r="AK232">
        <v>30</v>
      </c>
      <c r="AL232" t="s">
        <v>92</v>
      </c>
      <c r="AM232" t="s">
        <v>93</v>
      </c>
      <c r="AN232" t="s">
        <v>94</v>
      </c>
      <c r="AO232" t="s">
        <v>835</v>
      </c>
      <c r="AP232" t="s">
        <v>836</v>
      </c>
      <c r="AQ232" t="s">
        <v>74</v>
      </c>
      <c r="AR232" t="s">
        <v>823</v>
      </c>
      <c r="AS232" t="s">
        <v>837</v>
      </c>
      <c r="AT232" t="s">
        <v>2239</v>
      </c>
      <c r="AU232">
        <v>2016</v>
      </c>
      <c r="AV232">
        <v>31</v>
      </c>
      <c r="AW232">
        <v>5</v>
      </c>
      <c r="AX232" t="s">
        <v>74</v>
      </c>
      <c r="AY232" t="s">
        <v>74</v>
      </c>
      <c r="AZ232" t="s">
        <v>74</v>
      </c>
      <c r="BA232" t="s">
        <v>74</v>
      </c>
      <c r="BB232">
        <v>539</v>
      </c>
      <c r="BC232">
        <v>552</v>
      </c>
      <c r="BD232" t="s">
        <v>74</v>
      </c>
      <c r="BE232" t="s">
        <v>4740</v>
      </c>
      <c r="BF232" t="str">
        <f>HYPERLINK("http://dx.doi.org/10.1002/2015PA002915","http://dx.doi.org/10.1002/2015PA002915")</f>
        <v>http://dx.doi.org/10.1002/2015PA002915</v>
      </c>
      <c r="BG232" t="s">
        <v>74</v>
      </c>
      <c r="BH232" t="s">
        <v>74</v>
      </c>
      <c r="BI232">
        <v>14</v>
      </c>
      <c r="BJ232" t="s">
        <v>839</v>
      </c>
      <c r="BK232" t="s">
        <v>102</v>
      </c>
      <c r="BL232" t="s">
        <v>840</v>
      </c>
      <c r="BM232" t="s">
        <v>2558</v>
      </c>
      <c r="BN232" t="s">
        <v>74</v>
      </c>
      <c r="BO232" t="s">
        <v>1191</v>
      </c>
      <c r="BP232" t="s">
        <v>74</v>
      </c>
      <c r="BQ232" t="s">
        <v>74</v>
      </c>
      <c r="BR232" t="s">
        <v>106</v>
      </c>
      <c r="BS232" t="s">
        <v>4741</v>
      </c>
      <c r="BT232" t="str">
        <f>HYPERLINK("https%3A%2F%2Fwww.webofscience.com%2Fwos%2Fwoscc%2Ffull-record%2FWOS:000378699900003","View Full Record in Web of Science")</f>
        <v>View Full Record in Web of Science</v>
      </c>
    </row>
    <row r="233" spans="1:72" x14ac:dyDescent="0.15">
      <c r="A233" t="s">
        <v>72</v>
      </c>
      <c r="B233" t="s">
        <v>4742</v>
      </c>
      <c r="C233" t="s">
        <v>74</v>
      </c>
      <c r="D233" t="s">
        <v>74</v>
      </c>
      <c r="E233" t="s">
        <v>74</v>
      </c>
      <c r="F233" t="s">
        <v>4743</v>
      </c>
      <c r="G233" t="s">
        <v>74</v>
      </c>
      <c r="H233" t="s">
        <v>74</v>
      </c>
      <c r="I233" t="s">
        <v>4744</v>
      </c>
      <c r="J233" t="s">
        <v>823</v>
      </c>
      <c r="K233" t="s">
        <v>74</v>
      </c>
      <c r="L233" t="s">
        <v>74</v>
      </c>
      <c r="M233" t="s">
        <v>78</v>
      </c>
      <c r="N233" t="s">
        <v>79</v>
      </c>
      <c r="O233" t="s">
        <v>74</v>
      </c>
      <c r="P233" t="s">
        <v>74</v>
      </c>
      <c r="Q233" t="s">
        <v>74</v>
      </c>
      <c r="R233" t="s">
        <v>74</v>
      </c>
      <c r="S233" t="s">
        <v>74</v>
      </c>
      <c r="T233" t="s">
        <v>4745</v>
      </c>
      <c r="U233" t="s">
        <v>4746</v>
      </c>
      <c r="V233" t="s">
        <v>4747</v>
      </c>
      <c r="W233" t="s">
        <v>4748</v>
      </c>
      <c r="X233" t="s">
        <v>4749</v>
      </c>
      <c r="Y233" t="s">
        <v>4750</v>
      </c>
      <c r="Z233" t="s">
        <v>4751</v>
      </c>
      <c r="AA233" t="s">
        <v>74</v>
      </c>
      <c r="AB233" t="s">
        <v>4752</v>
      </c>
      <c r="AC233" t="s">
        <v>4753</v>
      </c>
      <c r="AD233" t="s">
        <v>4754</v>
      </c>
      <c r="AE233" t="s">
        <v>4755</v>
      </c>
      <c r="AF233" t="s">
        <v>74</v>
      </c>
      <c r="AG233">
        <v>144</v>
      </c>
      <c r="AH233">
        <v>48</v>
      </c>
      <c r="AI233">
        <v>54</v>
      </c>
      <c r="AJ233">
        <v>3</v>
      </c>
      <c r="AK233">
        <v>31</v>
      </c>
      <c r="AL233" t="s">
        <v>92</v>
      </c>
      <c r="AM233" t="s">
        <v>93</v>
      </c>
      <c r="AN233" t="s">
        <v>94</v>
      </c>
      <c r="AO233" t="s">
        <v>835</v>
      </c>
      <c r="AP233" t="s">
        <v>836</v>
      </c>
      <c r="AQ233" t="s">
        <v>74</v>
      </c>
      <c r="AR233" t="s">
        <v>823</v>
      </c>
      <c r="AS233" t="s">
        <v>837</v>
      </c>
      <c r="AT233" t="s">
        <v>2239</v>
      </c>
      <c r="AU233">
        <v>2016</v>
      </c>
      <c r="AV233">
        <v>31</v>
      </c>
      <c r="AW233">
        <v>5</v>
      </c>
      <c r="AX233" t="s">
        <v>74</v>
      </c>
      <c r="AY233" t="s">
        <v>74</v>
      </c>
      <c r="AZ233" t="s">
        <v>74</v>
      </c>
      <c r="BA233" t="s">
        <v>74</v>
      </c>
      <c r="BB233">
        <v>600</v>
      </c>
      <c r="BC233">
        <v>624</v>
      </c>
      <c r="BD233" t="s">
        <v>74</v>
      </c>
      <c r="BE233" t="s">
        <v>4756</v>
      </c>
      <c r="BF233" t="str">
        <f>HYPERLINK("http://dx.doi.org/10.1002/2015PA002882","http://dx.doi.org/10.1002/2015PA002882")</f>
        <v>http://dx.doi.org/10.1002/2015PA002882</v>
      </c>
      <c r="BG233" t="s">
        <v>74</v>
      </c>
      <c r="BH233" t="s">
        <v>74</v>
      </c>
      <c r="BI233">
        <v>25</v>
      </c>
      <c r="BJ233" t="s">
        <v>839</v>
      </c>
      <c r="BK233" t="s">
        <v>102</v>
      </c>
      <c r="BL233" t="s">
        <v>840</v>
      </c>
      <c r="BM233" t="s">
        <v>2558</v>
      </c>
      <c r="BN233" t="s">
        <v>74</v>
      </c>
      <c r="BO233" t="s">
        <v>842</v>
      </c>
      <c r="BP233" t="s">
        <v>74</v>
      </c>
      <c r="BQ233" t="s">
        <v>74</v>
      </c>
      <c r="BR233" t="s">
        <v>106</v>
      </c>
      <c r="BS233" t="s">
        <v>4757</v>
      </c>
      <c r="BT233" t="str">
        <f>HYPERLINK("https%3A%2F%2Fwww.webofscience.com%2Fwos%2Fwoscc%2Ffull-record%2FWOS:000378699900007","View Full Record in Web of Science")</f>
        <v>View Full Record in Web of Science</v>
      </c>
    </row>
    <row r="234" spans="1:72" x14ac:dyDescent="0.15">
      <c r="A234" t="s">
        <v>72</v>
      </c>
      <c r="B234" t="s">
        <v>4758</v>
      </c>
      <c r="C234" t="s">
        <v>74</v>
      </c>
      <c r="D234" t="s">
        <v>74</v>
      </c>
      <c r="E234" t="s">
        <v>74</v>
      </c>
      <c r="F234" t="s">
        <v>4759</v>
      </c>
      <c r="G234" t="s">
        <v>74</v>
      </c>
      <c r="H234" t="s">
        <v>74</v>
      </c>
      <c r="I234" t="s">
        <v>4760</v>
      </c>
      <c r="J234" t="s">
        <v>3453</v>
      </c>
      <c r="K234" t="s">
        <v>74</v>
      </c>
      <c r="L234" t="s">
        <v>74</v>
      </c>
      <c r="M234" t="s">
        <v>78</v>
      </c>
      <c r="N234" t="s">
        <v>573</v>
      </c>
      <c r="O234" t="s">
        <v>74</v>
      </c>
      <c r="P234" t="s">
        <v>74</v>
      </c>
      <c r="Q234" t="s">
        <v>74</v>
      </c>
      <c r="R234" t="s">
        <v>74</v>
      </c>
      <c r="S234" t="s">
        <v>74</v>
      </c>
      <c r="T234" t="s">
        <v>74</v>
      </c>
      <c r="U234" t="s">
        <v>4761</v>
      </c>
      <c r="V234" t="s">
        <v>74</v>
      </c>
      <c r="W234" t="s">
        <v>4762</v>
      </c>
      <c r="X234" t="s">
        <v>4763</v>
      </c>
      <c r="Y234" t="s">
        <v>3497</v>
      </c>
      <c r="Z234" t="s">
        <v>4764</v>
      </c>
      <c r="AA234" t="s">
        <v>4765</v>
      </c>
      <c r="AB234" t="s">
        <v>4766</v>
      </c>
      <c r="AC234" t="s">
        <v>74</v>
      </c>
      <c r="AD234" t="s">
        <v>74</v>
      </c>
      <c r="AE234" t="s">
        <v>74</v>
      </c>
      <c r="AF234" t="s">
        <v>74</v>
      </c>
      <c r="AG234">
        <v>26</v>
      </c>
      <c r="AH234">
        <v>4</v>
      </c>
      <c r="AI234">
        <v>4</v>
      </c>
      <c r="AJ234">
        <v>0</v>
      </c>
      <c r="AK234">
        <v>15</v>
      </c>
      <c r="AL234" t="s">
        <v>194</v>
      </c>
      <c r="AM234" t="s">
        <v>262</v>
      </c>
      <c r="AN234" t="s">
        <v>2836</v>
      </c>
      <c r="AO234" t="s">
        <v>3466</v>
      </c>
      <c r="AP234" t="s">
        <v>3467</v>
      </c>
      <c r="AQ234" t="s">
        <v>74</v>
      </c>
      <c r="AR234" t="s">
        <v>3468</v>
      </c>
      <c r="AS234" t="s">
        <v>3469</v>
      </c>
      <c r="AT234" t="s">
        <v>2239</v>
      </c>
      <c r="AU234">
        <v>2016</v>
      </c>
      <c r="AV234">
        <v>39</v>
      </c>
      <c r="AW234">
        <v>5</v>
      </c>
      <c r="AX234" t="s">
        <v>74</v>
      </c>
      <c r="AY234" t="s">
        <v>74</v>
      </c>
      <c r="AZ234" t="s">
        <v>589</v>
      </c>
      <c r="BA234" t="s">
        <v>74</v>
      </c>
      <c r="BB234">
        <v>761</v>
      </c>
      <c r="BC234">
        <v>764</v>
      </c>
      <c r="BD234" t="s">
        <v>74</v>
      </c>
      <c r="BE234" t="s">
        <v>4767</v>
      </c>
      <c r="BF234" t="str">
        <f>HYPERLINK("http://dx.doi.org/10.1007/s00300-016-1937-7","http://dx.doi.org/10.1007/s00300-016-1937-7")</f>
        <v>http://dx.doi.org/10.1007/s00300-016-1937-7</v>
      </c>
      <c r="BG234" t="s">
        <v>74</v>
      </c>
      <c r="BH234" t="s">
        <v>74</v>
      </c>
      <c r="BI234">
        <v>4</v>
      </c>
      <c r="BJ234" t="s">
        <v>291</v>
      </c>
      <c r="BK234" t="s">
        <v>102</v>
      </c>
      <c r="BL234" t="s">
        <v>133</v>
      </c>
      <c r="BM234" t="s">
        <v>3471</v>
      </c>
      <c r="BN234" t="s">
        <v>74</v>
      </c>
      <c r="BO234" t="s">
        <v>74</v>
      </c>
      <c r="BP234" t="s">
        <v>74</v>
      </c>
      <c r="BQ234" t="s">
        <v>74</v>
      </c>
      <c r="BR234" t="s">
        <v>106</v>
      </c>
      <c r="BS234" t="s">
        <v>4768</v>
      </c>
      <c r="BT234" t="str">
        <f>HYPERLINK("https%3A%2F%2Fwww.webofscience.com%2Fwos%2Fwoscc%2Ffull-record%2FWOS:000374662500001","View Full Record in Web of Science")</f>
        <v>View Full Record in Web of Science</v>
      </c>
    </row>
    <row r="235" spans="1:72" x14ac:dyDescent="0.15">
      <c r="A235" t="s">
        <v>72</v>
      </c>
      <c r="B235" t="s">
        <v>4769</v>
      </c>
      <c r="C235" t="s">
        <v>74</v>
      </c>
      <c r="D235" t="s">
        <v>74</v>
      </c>
      <c r="E235" t="s">
        <v>74</v>
      </c>
      <c r="F235" t="s">
        <v>4770</v>
      </c>
      <c r="G235" t="s">
        <v>74</v>
      </c>
      <c r="H235" t="s">
        <v>74</v>
      </c>
      <c r="I235" t="s">
        <v>4771</v>
      </c>
      <c r="J235" t="s">
        <v>3453</v>
      </c>
      <c r="K235" t="s">
        <v>74</v>
      </c>
      <c r="L235" t="s">
        <v>74</v>
      </c>
      <c r="M235" t="s">
        <v>78</v>
      </c>
      <c r="N235" t="s">
        <v>79</v>
      </c>
      <c r="O235" t="s">
        <v>74</v>
      </c>
      <c r="P235" t="s">
        <v>74</v>
      </c>
      <c r="Q235" t="s">
        <v>74</v>
      </c>
      <c r="R235" t="s">
        <v>74</v>
      </c>
      <c r="S235" t="s">
        <v>74</v>
      </c>
      <c r="T235" t="s">
        <v>4772</v>
      </c>
      <c r="U235" t="s">
        <v>4773</v>
      </c>
      <c r="V235" t="s">
        <v>4774</v>
      </c>
      <c r="W235" t="s">
        <v>4775</v>
      </c>
      <c r="X235" t="s">
        <v>4776</v>
      </c>
      <c r="Y235" t="s">
        <v>4777</v>
      </c>
      <c r="Z235" t="s">
        <v>4778</v>
      </c>
      <c r="AA235" t="s">
        <v>4779</v>
      </c>
      <c r="AB235" t="s">
        <v>4780</v>
      </c>
      <c r="AC235" t="s">
        <v>74</v>
      </c>
      <c r="AD235" t="s">
        <v>74</v>
      </c>
      <c r="AE235" t="s">
        <v>74</v>
      </c>
      <c r="AF235" t="s">
        <v>74</v>
      </c>
      <c r="AG235">
        <v>30</v>
      </c>
      <c r="AH235">
        <v>40</v>
      </c>
      <c r="AI235">
        <v>41</v>
      </c>
      <c r="AJ235">
        <v>2</v>
      </c>
      <c r="AK235">
        <v>9</v>
      </c>
      <c r="AL235" t="s">
        <v>194</v>
      </c>
      <c r="AM235" t="s">
        <v>262</v>
      </c>
      <c r="AN235" t="s">
        <v>263</v>
      </c>
      <c r="AO235" t="s">
        <v>3466</v>
      </c>
      <c r="AP235" t="s">
        <v>3467</v>
      </c>
      <c r="AQ235" t="s">
        <v>74</v>
      </c>
      <c r="AR235" t="s">
        <v>3468</v>
      </c>
      <c r="AS235" t="s">
        <v>3469</v>
      </c>
      <c r="AT235" t="s">
        <v>2239</v>
      </c>
      <c r="AU235">
        <v>2016</v>
      </c>
      <c r="AV235">
        <v>39</v>
      </c>
      <c r="AW235">
        <v>5</v>
      </c>
      <c r="AX235" t="s">
        <v>74</v>
      </c>
      <c r="AY235" t="s">
        <v>74</v>
      </c>
      <c r="AZ235" t="s">
        <v>589</v>
      </c>
      <c r="BA235" t="s">
        <v>74</v>
      </c>
      <c r="BB235">
        <v>789</v>
      </c>
      <c r="BC235">
        <v>798</v>
      </c>
      <c r="BD235" t="s">
        <v>74</v>
      </c>
      <c r="BE235" t="s">
        <v>4781</v>
      </c>
      <c r="BF235" t="str">
        <f>HYPERLINK("http://dx.doi.org/10.1007/s00300-016-1936-8","http://dx.doi.org/10.1007/s00300-016-1936-8")</f>
        <v>http://dx.doi.org/10.1007/s00300-016-1936-8</v>
      </c>
      <c r="BG235" t="s">
        <v>74</v>
      </c>
      <c r="BH235" t="s">
        <v>74</v>
      </c>
      <c r="BI235">
        <v>10</v>
      </c>
      <c r="BJ235" t="s">
        <v>291</v>
      </c>
      <c r="BK235" t="s">
        <v>102</v>
      </c>
      <c r="BL235" t="s">
        <v>133</v>
      </c>
      <c r="BM235" t="s">
        <v>3471</v>
      </c>
      <c r="BN235" t="s">
        <v>74</v>
      </c>
      <c r="BO235" t="s">
        <v>74</v>
      </c>
      <c r="BP235" t="s">
        <v>74</v>
      </c>
      <c r="BQ235" t="s">
        <v>74</v>
      </c>
      <c r="BR235" t="s">
        <v>106</v>
      </c>
      <c r="BS235" t="s">
        <v>4782</v>
      </c>
      <c r="BT235" t="str">
        <f>HYPERLINK("https%3A%2F%2Fwww.webofscience.com%2Fwos%2Fwoscc%2Ffull-record%2FWOS:000374662500003","View Full Record in Web of Science")</f>
        <v>View Full Record in Web of Science</v>
      </c>
    </row>
    <row r="236" spans="1:72" x14ac:dyDescent="0.15">
      <c r="A236" t="s">
        <v>72</v>
      </c>
      <c r="B236" t="s">
        <v>4783</v>
      </c>
      <c r="C236" t="s">
        <v>74</v>
      </c>
      <c r="D236" t="s">
        <v>74</v>
      </c>
      <c r="E236" t="s">
        <v>74</v>
      </c>
      <c r="F236" t="s">
        <v>4784</v>
      </c>
      <c r="G236" t="s">
        <v>74</v>
      </c>
      <c r="H236" t="s">
        <v>74</v>
      </c>
      <c r="I236" t="s">
        <v>4785</v>
      </c>
      <c r="J236" t="s">
        <v>3453</v>
      </c>
      <c r="K236" t="s">
        <v>74</v>
      </c>
      <c r="L236" t="s">
        <v>74</v>
      </c>
      <c r="M236" t="s">
        <v>78</v>
      </c>
      <c r="N236" t="s">
        <v>79</v>
      </c>
      <c r="O236" t="s">
        <v>74</v>
      </c>
      <c r="P236" t="s">
        <v>74</v>
      </c>
      <c r="Q236" t="s">
        <v>74</v>
      </c>
      <c r="R236" t="s">
        <v>74</v>
      </c>
      <c r="S236" t="s">
        <v>74</v>
      </c>
      <c r="T236" t="s">
        <v>4786</v>
      </c>
      <c r="U236" t="s">
        <v>4787</v>
      </c>
      <c r="V236" t="s">
        <v>4788</v>
      </c>
      <c r="W236" t="s">
        <v>4789</v>
      </c>
      <c r="X236" t="s">
        <v>4790</v>
      </c>
      <c r="Y236" t="s">
        <v>4791</v>
      </c>
      <c r="Z236" t="s">
        <v>4792</v>
      </c>
      <c r="AA236" t="s">
        <v>4793</v>
      </c>
      <c r="AB236" t="s">
        <v>4794</v>
      </c>
      <c r="AC236" t="s">
        <v>4795</v>
      </c>
      <c r="AD236" t="s">
        <v>4796</v>
      </c>
      <c r="AE236" t="s">
        <v>4797</v>
      </c>
      <c r="AF236" t="s">
        <v>74</v>
      </c>
      <c r="AG236">
        <v>89</v>
      </c>
      <c r="AH236">
        <v>62</v>
      </c>
      <c r="AI236">
        <v>70</v>
      </c>
      <c r="AJ236">
        <v>1</v>
      </c>
      <c r="AK236">
        <v>51</v>
      </c>
      <c r="AL236" t="s">
        <v>194</v>
      </c>
      <c r="AM236" t="s">
        <v>262</v>
      </c>
      <c r="AN236" t="s">
        <v>2836</v>
      </c>
      <c r="AO236" t="s">
        <v>3466</v>
      </c>
      <c r="AP236" t="s">
        <v>3467</v>
      </c>
      <c r="AQ236" t="s">
        <v>74</v>
      </c>
      <c r="AR236" t="s">
        <v>3468</v>
      </c>
      <c r="AS236" t="s">
        <v>3469</v>
      </c>
      <c r="AT236" t="s">
        <v>2239</v>
      </c>
      <c r="AU236">
        <v>2016</v>
      </c>
      <c r="AV236">
        <v>39</v>
      </c>
      <c r="AW236">
        <v>5</v>
      </c>
      <c r="AX236" t="s">
        <v>74</v>
      </c>
      <c r="AY236" t="s">
        <v>74</v>
      </c>
      <c r="AZ236" t="s">
        <v>589</v>
      </c>
      <c r="BA236" t="s">
        <v>74</v>
      </c>
      <c r="BB236">
        <v>799</v>
      </c>
      <c r="BC236">
        <v>818</v>
      </c>
      <c r="BD236" t="s">
        <v>74</v>
      </c>
      <c r="BE236" t="s">
        <v>4798</v>
      </c>
      <c r="BF236" t="str">
        <f>HYPERLINK("http://dx.doi.org/10.1007/s00300-016-1927-9","http://dx.doi.org/10.1007/s00300-016-1927-9")</f>
        <v>http://dx.doi.org/10.1007/s00300-016-1927-9</v>
      </c>
      <c r="BG236" t="s">
        <v>74</v>
      </c>
      <c r="BH236" t="s">
        <v>74</v>
      </c>
      <c r="BI236">
        <v>20</v>
      </c>
      <c r="BJ236" t="s">
        <v>291</v>
      </c>
      <c r="BK236" t="s">
        <v>102</v>
      </c>
      <c r="BL236" t="s">
        <v>133</v>
      </c>
      <c r="BM236" t="s">
        <v>3471</v>
      </c>
      <c r="BN236" t="s">
        <v>74</v>
      </c>
      <c r="BO236" t="s">
        <v>1143</v>
      </c>
      <c r="BP236" t="s">
        <v>74</v>
      </c>
      <c r="BQ236" t="s">
        <v>74</v>
      </c>
      <c r="BR236" t="s">
        <v>106</v>
      </c>
      <c r="BS236" t="s">
        <v>4799</v>
      </c>
      <c r="BT236" t="str">
        <f>HYPERLINK("https%3A%2F%2Fwww.webofscience.com%2Fwos%2Fwoscc%2Ffull-record%2FWOS:000374662500004","View Full Record in Web of Science")</f>
        <v>View Full Record in Web of Science</v>
      </c>
    </row>
    <row r="237" spans="1:72" x14ac:dyDescent="0.15">
      <c r="A237" t="s">
        <v>72</v>
      </c>
      <c r="B237" t="s">
        <v>4800</v>
      </c>
      <c r="C237" t="s">
        <v>74</v>
      </c>
      <c r="D237" t="s">
        <v>74</v>
      </c>
      <c r="E237" t="s">
        <v>74</v>
      </c>
      <c r="F237" t="s">
        <v>4801</v>
      </c>
      <c r="G237" t="s">
        <v>74</v>
      </c>
      <c r="H237" t="s">
        <v>74</v>
      </c>
      <c r="I237" t="s">
        <v>4802</v>
      </c>
      <c r="J237" t="s">
        <v>3453</v>
      </c>
      <c r="K237" t="s">
        <v>74</v>
      </c>
      <c r="L237" t="s">
        <v>74</v>
      </c>
      <c r="M237" t="s">
        <v>78</v>
      </c>
      <c r="N237" t="s">
        <v>79</v>
      </c>
      <c r="O237" t="s">
        <v>74</v>
      </c>
      <c r="P237" t="s">
        <v>74</v>
      </c>
      <c r="Q237" t="s">
        <v>74</v>
      </c>
      <c r="R237" t="s">
        <v>74</v>
      </c>
      <c r="S237" t="s">
        <v>74</v>
      </c>
      <c r="T237" t="s">
        <v>4803</v>
      </c>
      <c r="U237" t="s">
        <v>4804</v>
      </c>
      <c r="V237" t="s">
        <v>4805</v>
      </c>
      <c r="W237" t="s">
        <v>4806</v>
      </c>
      <c r="X237" t="s">
        <v>4807</v>
      </c>
      <c r="Y237" t="s">
        <v>4808</v>
      </c>
      <c r="Z237" t="s">
        <v>4809</v>
      </c>
      <c r="AA237" t="s">
        <v>4810</v>
      </c>
      <c r="AB237" t="s">
        <v>4811</v>
      </c>
      <c r="AC237" t="s">
        <v>4812</v>
      </c>
      <c r="AD237" t="s">
        <v>4813</v>
      </c>
      <c r="AE237" t="s">
        <v>4814</v>
      </c>
      <c r="AF237" t="s">
        <v>74</v>
      </c>
      <c r="AG237">
        <v>65</v>
      </c>
      <c r="AH237">
        <v>15</v>
      </c>
      <c r="AI237">
        <v>17</v>
      </c>
      <c r="AJ237">
        <v>2</v>
      </c>
      <c r="AK237">
        <v>33</v>
      </c>
      <c r="AL237" t="s">
        <v>194</v>
      </c>
      <c r="AM237" t="s">
        <v>262</v>
      </c>
      <c r="AN237" t="s">
        <v>2836</v>
      </c>
      <c r="AO237" t="s">
        <v>3466</v>
      </c>
      <c r="AP237" t="s">
        <v>3467</v>
      </c>
      <c r="AQ237" t="s">
        <v>74</v>
      </c>
      <c r="AR237" t="s">
        <v>3468</v>
      </c>
      <c r="AS237" t="s">
        <v>3469</v>
      </c>
      <c r="AT237" t="s">
        <v>2239</v>
      </c>
      <c r="AU237">
        <v>2016</v>
      </c>
      <c r="AV237">
        <v>39</v>
      </c>
      <c r="AW237">
        <v>5</v>
      </c>
      <c r="AX237" t="s">
        <v>74</v>
      </c>
      <c r="AY237" t="s">
        <v>74</v>
      </c>
      <c r="AZ237" t="s">
        <v>589</v>
      </c>
      <c r="BA237" t="s">
        <v>74</v>
      </c>
      <c r="BB237">
        <v>947</v>
      </c>
      <c r="BC237">
        <v>959</v>
      </c>
      <c r="BD237" t="s">
        <v>74</v>
      </c>
      <c r="BE237" t="s">
        <v>4815</v>
      </c>
      <c r="BF237" t="str">
        <f>HYPERLINK("http://dx.doi.org/10.1007/s00300-015-1835-4","http://dx.doi.org/10.1007/s00300-015-1835-4")</f>
        <v>http://dx.doi.org/10.1007/s00300-015-1835-4</v>
      </c>
      <c r="BG237" t="s">
        <v>74</v>
      </c>
      <c r="BH237" t="s">
        <v>74</v>
      </c>
      <c r="BI237">
        <v>13</v>
      </c>
      <c r="BJ237" t="s">
        <v>291</v>
      </c>
      <c r="BK237" t="s">
        <v>102</v>
      </c>
      <c r="BL237" t="s">
        <v>133</v>
      </c>
      <c r="BM237" t="s">
        <v>3471</v>
      </c>
      <c r="BN237" t="s">
        <v>74</v>
      </c>
      <c r="BO237" t="s">
        <v>74</v>
      </c>
      <c r="BP237" t="s">
        <v>74</v>
      </c>
      <c r="BQ237" t="s">
        <v>74</v>
      </c>
      <c r="BR237" t="s">
        <v>106</v>
      </c>
      <c r="BS237" t="s">
        <v>4816</v>
      </c>
      <c r="BT237" t="str">
        <f>HYPERLINK("https%3A%2F%2Fwww.webofscience.com%2Fwos%2Fwoscc%2Ffull-record%2FWOS:000374662500013","View Full Record in Web of Science")</f>
        <v>View Full Record in Web of Science</v>
      </c>
    </row>
    <row r="238" spans="1:72" x14ac:dyDescent="0.15">
      <c r="A238" t="s">
        <v>72</v>
      </c>
      <c r="B238" t="s">
        <v>4817</v>
      </c>
      <c r="C238" t="s">
        <v>74</v>
      </c>
      <c r="D238" t="s">
        <v>74</v>
      </c>
      <c r="E238" t="s">
        <v>74</v>
      </c>
      <c r="F238" t="s">
        <v>4818</v>
      </c>
      <c r="G238" t="s">
        <v>74</v>
      </c>
      <c r="H238" t="s">
        <v>74</v>
      </c>
      <c r="I238" t="s">
        <v>4819</v>
      </c>
      <c r="J238" t="s">
        <v>3144</v>
      </c>
      <c r="K238" t="s">
        <v>74</v>
      </c>
      <c r="L238" t="s">
        <v>74</v>
      </c>
      <c r="M238" t="s">
        <v>78</v>
      </c>
      <c r="N238" t="s">
        <v>949</v>
      </c>
      <c r="O238" t="s">
        <v>74</v>
      </c>
      <c r="P238" t="s">
        <v>74</v>
      </c>
      <c r="Q238" t="s">
        <v>74</v>
      </c>
      <c r="R238" t="s">
        <v>74</v>
      </c>
      <c r="S238" t="s">
        <v>74</v>
      </c>
      <c r="T238" t="s">
        <v>74</v>
      </c>
      <c r="U238" t="s">
        <v>4820</v>
      </c>
      <c r="V238" t="s">
        <v>4821</v>
      </c>
      <c r="W238" t="s">
        <v>4822</v>
      </c>
      <c r="X238" t="s">
        <v>4823</v>
      </c>
      <c r="Y238" t="s">
        <v>4824</v>
      </c>
      <c r="Z238" t="s">
        <v>4825</v>
      </c>
      <c r="AA238" t="s">
        <v>4826</v>
      </c>
      <c r="AB238" t="s">
        <v>4827</v>
      </c>
      <c r="AC238" t="s">
        <v>4828</v>
      </c>
      <c r="AD238" t="s">
        <v>4829</v>
      </c>
      <c r="AE238" t="s">
        <v>4830</v>
      </c>
      <c r="AF238" t="s">
        <v>74</v>
      </c>
      <c r="AG238">
        <v>103</v>
      </c>
      <c r="AH238">
        <v>8</v>
      </c>
      <c r="AI238">
        <v>8</v>
      </c>
      <c r="AJ238">
        <v>0</v>
      </c>
      <c r="AK238">
        <v>27</v>
      </c>
      <c r="AL238" t="s">
        <v>1829</v>
      </c>
      <c r="AM238" t="s">
        <v>679</v>
      </c>
      <c r="AN238" t="s">
        <v>1830</v>
      </c>
      <c r="AO238" t="s">
        <v>3155</v>
      </c>
      <c r="AP238" t="s">
        <v>74</v>
      </c>
      <c r="AQ238" t="s">
        <v>74</v>
      </c>
      <c r="AR238" t="s">
        <v>3156</v>
      </c>
      <c r="AS238" t="s">
        <v>3157</v>
      </c>
      <c r="AT238" t="s">
        <v>2239</v>
      </c>
      <c r="AU238">
        <v>2016</v>
      </c>
      <c r="AV238">
        <v>144</v>
      </c>
      <c r="AW238" t="s">
        <v>74</v>
      </c>
      <c r="AX238" t="s">
        <v>74</v>
      </c>
      <c r="AY238" t="s">
        <v>74</v>
      </c>
      <c r="AZ238" t="s">
        <v>74</v>
      </c>
      <c r="BA238" t="s">
        <v>74</v>
      </c>
      <c r="BB238">
        <v>25</v>
      </c>
      <c r="BC238">
        <v>38</v>
      </c>
      <c r="BD238" t="s">
        <v>74</v>
      </c>
      <c r="BE238" t="s">
        <v>4831</v>
      </c>
      <c r="BF238" t="str">
        <f>HYPERLINK("http://dx.doi.org/10.1016/j.pocean.2016.03.003","http://dx.doi.org/10.1016/j.pocean.2016.03.003")</f>
        <v>http://dx.doi.org/10.1016/j.pocean.2016.03.003</v>
      </c>
      <c r="BG238" t="s">
        <v>74</v>
      </c>
      <c r="BH238" t="s">
        <v>74</v>
      </c>
      <c r="BI238">
        <v>14</v>
      </c>
      <c r="BJ238" t="s">
        <v>361</v>
      </c>
      <c r="BK238" t="s">
        <v>102</v>
      </c>
      <c r="BL238" t="s">
        <v>361</v>
      </c>
      <c r="BM238" t="s">
        <v>3159</v>
      </c>
      <c r="BN238" t="s">
        <v>74</v>
      </c>
      <c r="BO238" t="s">
        <v>380</v>
      </c>
      <c r="BP238" t="s">
        <v>74</v>
      </c>
      <c r="BQ238" t="s">
        <v>74</v>
      </c>
      <c r="BR238" t="s">
        <v>106</v>
      </c>
      <c r="BS238" t="s">
        <v>4832</v>
      </c>
      <c r="BT238" t="str">
        <f>HYPERLINK("https%3A%2F%2Fwww.webofscience.com%2Fwos%2Fwoscc%2Ffull-record%2FWOS:000376214200003","View Full Record in Web of Science")</f>
        <v>View Full Record in Web of Science</v>
      </c>
    </row>
    <row r="239" spans="1:72" x14ac:dyDescent="0.15">
      <c r="A239" t="s">
        <v>72</v>
      </c>
      <c r="B239" t="s">
        <v>4833</v>
      </c>
      <c r="C239" t="s">
        <v>74</v>
      </c>
      <c r="D239" t="s">
        <v>74</v>
      </c>
      <c r="E239" t="s">
        <v>74</v>
      </c>
      <c r="F239" t="s">
        <v>4834</v>
      </c>
      <c r="G239" t="s">
        <v>74</v>
      </c>
      <c r="H239" t="s">
        <v>74</v>
      </c>
      <c r="I239" t="s">
        <v>4835</v>
      </c>
      <c r="J239" t="s">
        <v>4836</v>
      </c>
      <c r="K239" t="s">
        <v>74</v>
      </c>
      <c r="L239" t="s">
        <v>74</v>
      </c>
      <c r="M239" t="s">
        <v>78</v>
      </c>
      <c r="N239" t="s">
        <v>79</v>
      </c>
      <c r="O239" t="s">
        <v>74</v>
      </c>
      <c r="P239" t="s">
        <v>74</v>
      </c>
      <c r="Q239" t="s">
        <v>74</v>
      </c>
      <c r="R239" t="s">
        <v>74</v>
      </c>
      <c r="S239" t="s">
        <v>74</v>
      </c>
      <c r="T239" t="s">
        <v>4837</v>
      </c>
      <c r="U239" t="s">
        <v>4838</v>
      </c>
      <c r="V239" t="s">
        <v>4839</v>
      </c>
      <c r="W239" t="s">
        <v>4840</v>
      </c>
      <c r="X239" t="s">
        <v>4841</v>
      </c>
      <c r="Y239" t="s">
        <v>4842</v>
      </c>
      <c r="Z239" t="s">
        <v>4843</v>
      </c>
      <c r="AA239" t="s">
        <v>4844</v>
      </c>
      <c r="AB239" t="s">
        <v>4845</v>
      </c>
      <c r="AC239" t="s">
        <v>4846</v>
      </c>
      <c r="AD239" t="s">
        <v>4847</v>
      </c>
      <c r="AE239" t="s">
        <v>4848</v>
      </c>
      <c r="AF239" t="s">
        <v>74</v>
      </c>
      <c r="AG239">
        <v>94</v>
      </c>
      <c r="AH239">
        <v>7</v>
      </c>
      <c r="AI239">
        <v>9</v>
      </c>
      <c r="AJ239">
        <v>0</v>
      </c>
      <c r="AK239">
        <v>17</v>
      </c>
      <c r="AL239" t="s">
        <v>92</v>
      </c>
      <c r="AM239" t="s">
        <v>93</v>
      </c>
      <c r="AN239" t="s">
        <v>94</v>
      </c>
      <c r="AO239" t="s">
        <v>4849</v>
      </c>
      <c r="AP239" t="s">
        <v>4850</v>
      </c>
      <c r="AQ239" t="s">
        <v>74</v>
      </c>
      <c r="AR239" t="s">
        <v>4851</v>
      </c>
      <c r="AS239" t="s">
        <v>4852</v>
      </c>
      <c r="AT239" t="s">
        <v>2239</v>
      </c>
      <c r="AU239">
        <v>2016</v>
      </c>
      <c r="AV239">
        <v>51</v>
      </c>
      <c r="AW239">
        <v>5</v>
      </c>
      <c r="AX239" t="s">
        <v>74</v>
      </c>
      <c r="AY239" t="s">
        <v>74</v>
      </c>
      <c r="AZ239" t="s">
        <v>74</v>
      </c>
      <c r="BA239" t="s">
        <v>74</v>
      </c>
      <c r="BB239">
        <v>490</v>
      </c>
      <c r="BC239">
        <v>506</v>
      </c>
      <c r="BD239" t="s">
        <v>74</v>
      </c>
      <c r="BE239" t="s">
        <v>4853</v>
      </c>
      <c r="BF239" t="str">
        <f>HYPERLINK("http://dx.doi.org/10.1002/2016RS005957","http://dx.doi.org/10.1002/2016RS005957")</f>
        <v>http://dx.doi.org/10.1002/2016RS005957</v>
      </c>
      <c r="BG239" t="s">
        <v>74</v>
      </c>
      <c r="BH239" t="s">
        <v>74</v>
      </c>
      <c r="BI239">
        <v>17</v>
      </c>
      <c r="BJ239" t="s">
        <v>4854</v>
      </c>
      <c r="BK239" t="s">
        <v>102</v>
      </c>
      <c r="BL239" t="s">
        <v>4854</v>
      </c>
      <c r="BM239" t="s">
        <v>4855</v>
      </c>
      <c r="BN239" t="s">
        <v>74</v>
      </c>
      <c r="BO239" t="s">
        <v>4856</v>
      </c>
      <c r="BP239" t="s">
        <v>74</v>
      </c>
      <c r="BQ239" t="s">
        <v>74</v>
      </c>
      <c r="BR239" t="s">
        <v>106</v>
      </c>
      <c r="BS239" t="s">
        <v>4857</v>
      </c>
      <c r="BT239" t="str">
        <f>HYPERLINK("https%3A%2F%2Fwww.webofscience.com%2Fwos%2Fwoscc%2Ffull-record%2FWOS:000379145600012","View Full Record in Web of Science")</f>
        <v>View Full Record in Web of Science</v>
      </c>
    </row>
    <row r="240" spans="1:72" x14ac:dyDescent="0.15">
      <c r="A240" t="s">
        <v>72</v>
      </c>
      <c r="B240" t="s">
        <v>4858</v>
      </c>
      <c r="C240" t="s">
        <v>74</v>
      </c>
      <c r="D240" t="s">
        <v>74</v>
      </c>
      <c r="E240" t="s">
        <v>74</v>
      </c>
      <c r="F240" t="s">
        <v>4859</v>
      </c>
      <c r="G240" t="s">
        <v>74</v>
      </c>
      <c r="H240" t="s">
        <v>74</v>
      </c>
      <c r="I240" t="s">
        <v>4860</v>
      </c>
      <c r="J240" t="s">
        <v>2564</v>
      </c>
      <c r="K240" t="s">
        <v>74</v>
      </c>
      <c r="L240" t="s">
        <v>74</v>
      </c>
      <c r="M240" t="s">
        <v>78</v>
      </c>
      <c r="N240" t="s">
        <v>79</v>
      </c>
      <c r="O240" t="s">
        <v>74</v>
      </c>
      <c r="P240" t="s">
        <v>74</v>
      </c>
      <c r="Q240" t="s">
        <v>74</v>
      </c>
      <c r="R240" t="s">
        <v>74</v>
      </c>
      <c r="S240" t="s">
        <v>74</v>
      </c>
      <c r="T240" t="s">
        <v>4861</v>
      </c>
      <c r="U240" t="s">
        <v>4862</v>
      </c>
      <c r="V240" t="s">
        <v>4863</v>
      </c>
      <c r="W240" t="s">
        <v>4864</v>
      </c>
      <c r="X240" t="s">
        <v>4865</v>
      </c>
      <c r="Y240" t="s">
        <v>4866</v>
      </c>
      <c r="Z240" t="s">
        <v>4867</v>
      </c>
      <c r="AA240" t="s">
        <v>4868</v>
      </c>
      <c r="AB240" t="s">
        <v>4869</v>
      </c>
      <c r="AC240" t="s">
        <v>4870</v>
      </c>
      <c r="AD240" t="s">
        <v>4870</v>
      </c>
      <c r="AE240" t="s">
        <v>4871</v>
      </c>
      <c r="AF240" t="s">
        <v>74</v>
      </c>
      <c r="AG240">
        <v>73</v>
      </c>
      <c r="AH240">
        <v>31</v>
      </c>
      <c r="AI240">
        <v>36</v>
      </c>
      <c r="AJ240">
        <v>1</v>
      </c>
      <c r="AK240">
        <v>37</v>
      </c>
      <c r="AL240" t="s">
        <v>2604</v>
      </c>
      <c r="AM240" t="s">
        <v>2578</v>
      </c>
      <c r="AN240" t="s">
        <v>2579</v>
      </c>
      <c r="AO240" t="s">
        <v>2580</v>
      </c>
      <c r="AP240" t="s">
        <v>74</v>
      </c>
      <c r="AQ240" t="s">
        <v>74</v>
      </c>
      <c r="AR240" t="s">
        <v>2581</v>
      </c>
      <c r="AS240" t="s">
        <v>2582</v>
      </c>
      <c r="AT240" t="s">
        <v>2239</v>
      </c>
      <c r="AU240">
        <v>2016</v>
      </c>
      <c r="AV240">
        <v>8</v>
      </c>
      <c r="AW240">
        <v>5</v>
      </c>
      <c r="AX240" t="s">
        <v>74</v>
      </c>
      <c r="AY240" t="s">
        <v>74</v>
      </c>
      <c r="AZ240" t="s">
        <v>74</v>
      </c>
      <c r="BA240" t="s">
        <v>74</v>
      </c>
      <c r="BB240" t="s">
        <v>74</v>
      </c>
      <c r="BC240" t="s">
        <v>74</v>
      </c>
      <c r="BD240">
        <v>420</v>
      </c>
      <c r="BE240" t="s">
        <v>4872</v>
      </c>
      <c r="BF240" t="str">
        <f>HYPERLINK("http://dx.doi.org/10.3390/rs8050420","http://dx.doi.org/10.3390/rs8050420")</f>
        <v>http://dx.doi.org/10.3390/rs8050420</v>
      </c>
      <c r="BG240" t="s">
        <v>74</v>
      </c>
      <c r="BH240" t="s">
        <v>74</v>
      </c>
      <c r="BI240">
        <v>17</v>
      </c>
      <c r="BJ240" t="s">
        <v>2584</v>
      </c>
      <c r="BK240" t="s">
        <v>102</v>
      </c>
      <c r="BL240" t="s">
        <v>2585</v>
      </c>
      <c r="BM240" t="s">
        <v>2586</v>
      </c>
      <c r="BN240" t="s">
        <v>74</v>
      </c>
      <c r="BO240" t="s">
        <v>2587</v>
      </c>
      <c r="BP240" t="s">
        <v>74</v>
      </c>
      <c r="BQ240" t="s">
        <v>74</v>
      </c>
      <c r="BR240" t="s">
        <v>106</v>
      </c>
      <c r="BS240" t="s">
        <v>4873</v>
      </c>
      <c r="BT240" t="str">
        <f>HYPERLINK("https%3A%2F%2Fwww.webofscience.com%2Fwos%2Fwoscc%2Ffull-record%2FWOS:000378406400064","View Full Record in Web of Science")</f>
        <v>View Full Record in Web of Science</v>
      </c>
    </row>
    <row r="241" spans="1:72" x14ac:dyDescent="0.15">
      <c r="A241" t="s">
        <v>72</v>
      </c>
      <c r="B241" t="s">
        <v>4874</v>
      </c>
      <c r="C241" t="s">
        <v>74</v>
      </c>
      <c r="D241" t="s">
        <v>74</v>
      </c>
      <c r="E241" t="s">
        <v>74</v>
      </c>
      <c r="F241" t="s">
        <v>4875</v>
      </c>
      <c r="G241" t="s">
        <v>74</v>
      </c>
      <c r="H241" t="s">
        <v>74</v>
      </c>
      <c r="I241" t="s">
        <v>4876</v>
      </c>
      <c r="J241" t="s">
        <v>4877</v>
      </c>
      <c r="K241" t="s">
        <v>74</v>
      </c>
      <c r="L241" t="s">
        <v>74</v>
      </c>
      <c r="M241" t="s">
        <v>78</v>
      </c>
      <c r="N241" t="s">
        <v>79</v>
      </c>
      <c r="O241" t="s">
        <v>74</v>
      </c>
      <c r="P241" t="s">
        <v>74</v>
      </c>
      <c r="Q241" t="s">
        <v>74</v>
      </c>
      <c r="R241" t="s">
        <v>74</v>
      </c>
      <c r="S241" t="s">
        <v>74</v>
      </c>
      <c r="T241" t="s">
        <v>4878</v>
      </c>
      <c r="U241" t="s">
        <v>4879</v>
      </c>
      <c r="V241" t="s">
        <v>4880</v>
      </c>
      <c r="W241" t="s">
        <v>4881</v>
      </c>
      <c r="X241" t="s">
        <v>2323</v>
      </c>
      <c r="Y241" t="s">
        <v>4882</v>
      </c>
      <c r="Z241" t="s">
        <v>4883</v>
      </c>
      <c r="AA241" t="s">
        <v>4884</v>
      </c>
      <c r="AB241" t="s">
        <v>4885</v>
      </c>
      <c r="AC241" t="s">
        <v>4886</v>
      </c>
      <c r="AD241" t="s">
        <v>4887</v>
      </c>
      <c r="AE241" t="s">
        <v>4888</v>
      </c>
      <c r="AF241" t="s">
        <v>74</v>
      </c>
      <c r="AG241">
        <v>71</v>
      </c>
      <c r="AH241">
        <v>27</v>
      </c>
      <c r="AI241">
        <v>29</v>
      </c>
      <c r="AJ241">
        <v>1</v>
      </c>
      <c r="AK241">
        <v>44</v>
      </c>
      <c r="AL241" t="s">
        <v>2034</v>
      </c>
      <c r="AM241" t="s">
        <v>262</v>
      </c>
      <c r="AN241" t="s">
        <v>2035</v>
      </c>
      <c r="AO241" t="s">
        <v>4889</v>
      </c>
      <c r="AP241" t="s">
        <v>4890</v>
      </c>
      <c r="AQ241" t="s">
        <v>74</v>
      </c>
      <c r="AR241" t="s">
        <v>4891</v>
      </c>
      <c r="AS241" t="s">
        <v>4892</v>
      </c>
      <c r="AT241" t="s">
        <v>2239</v>
      </c>
      <c r="AU241">
        <v>2016</v>
      </c>
      <c r="AV241">
        <v>177</v>
      </c>
      <c r="AW241" t="s">
        <v>74</v>
      </c>
      <c r="AX241" t="s">
        <v>74</v>
      </c>
      <c r="AY241" t="s">
        <v>74</v>
      </c>
      <c r="AZ241" t="s">
        <v>74</v>
      </c>
      <c r="BA241" t="s">
        <v>74</v>
      </c>
      <c r="BB241">
        <v>192</v>
      </c>
      <c r="BC241">
        <v>205</v>
      </c>
      <c r="BD241" t="s">
        <v>74</v>
      </c>
      <c r="BE241" t="s">
        <v>4893</v>
      </c>
      <c r="BF241" t="str">
        <f>HYPERLINK("http://dx.doi.org/10.1016/j.rse.2016.01.026","http://dx.doi.org/10.1016/j.rse.2016.01.026")</f>
        <v>http://dx.doi.org/10.1016/j.rse.2016.01.026</v>
      </c>
      <c r="BG241" t="s">
        <v>74</v>
      </c>
      <c r="BH241" t="s">
        <v>74</v>
      </c>
      <c r="BI241">
        <v>14</v>
      </c>
      <c r="BJ241" t="s">
        <v>4894</v>
      </c>
      <c r="BK241" t="s">
        <v>102</v>
      </c>
      <c r="BL241" t="s">
        <v>4895</v>
      </c>
      <c r="BM241" t="s">
        <v>4896</v>
      </c>
      <c r="BN241" t="s">
        <v>74</v>
      </c>
      <c r="BO241" t="s">
        <v>74</v>
      </c>
      <c r="BP241" t="s">
        <v>74</v>
      </c>
      <c r="BQ241" t="s">
        <v>74</v>
      </c>
      <c r="BR241" t="s">
        <v>106</v>
      </c>
      <c r="BS241" t="s">
        <v>4897</v>
      </c>
      <c r="BT241" t="str">
        <f>HYPERLINK("https%3A%2F%2Fwww.webofscience.com%2Fwos%2Fwoscc%2Ffull-record%2FWOS:000373550100017","View Full Record in Web of Science")</f>
        <v>View Full Record in Web of Science</v>
      </c>
    </row>
    <row r="242" spans="1:72" x14ac:dyDescent="0.15">
      <c r="A242" t="s">
        <v>72</v>
      </c>
      <c r="B242" t="s">
        <v>4898</v>
      </c>
      <c r="C242" t="s">
        <v>74</v>
      </c>
      <c r="D242" t="s">
        <v>74</v>
      </c>
      <c r="E242" t="s">
        <v>74</v>
      </c>
      <c r="F242" t="s">
        <v>4899</v>
      </c>
      <c r="G242" t="s">
        <v>74</v>
      </c>
      <c r="H242" t="s">
        <v>74</v>
      </c>
      <c r="I242" t="s">
        <v>4900</v>
      </c>
      <c r="J242" t="s">
        <v>4901</v>
      </c>
      <c r="K242" t="s">
        <v>74</v>
      </c>
      <c r="L242" t="s">
        <v>74</v>
      </c>
      <c r="M242" t="s">
        <v>78</v>
      </c>
      <c r="N242" t="s">
        <v>79</v>
      </c>
      <c r="O242" t="s">
        <v>74</v>
      </c>
      <c r="P242" t="s">
        <v>74</v>
      </c>
      <c r="Q242" t="s">
        <v>74</v>
      </c>
      <c r="R242" t="s">
        <v>74</v>
      </c>
      <c r="S242" t="s">
        <v>74</v>
      </c>
      <c r="T242" t="s">
        <v>4902</v>
      </c>
      <c r="U242" t="s">
        <v>74</v>
      </c>
      <c r="V242" t="s">
        <v>4903</v>
      </c>
      <c r="W242" t="s">
        <v>4904</v>
      </c>
      <c r="X242" t="s">
        <v>4905</v>
      </c>
      <c r="Y242" t="s">
        <v>4906</v>
      </c>
      <c r="Z242" t="s">
        <v>74</v>
      </c>
      <c r="AA242" t="s">
        <v>4907</v>
      </c>
      <c r="AB242" t="s">
        <v>4908</v>
      </c>
      <c r="AC242" t="s">
        <v>74</v>
      </c>
      <c r="AD242" t="s">
        <v>74</v>
      </c>
      <c r="AE242" t="s">
        <v>74</v>
      </c>
      <c r="AF242" t="s">
        <v>74</v>
      </c>
      <c r="AG242">
        <v>15</v>
      </c>
      <c r="AH242">
        <v>5</v>
      </c>
      <c r="AI242">
        <v>6</v>
      </c>
      <c r="AJ242">
        <v>0</v>
      </c>
      <c r="AK242">
        <v>1</v>
      </c>
      <c r="AL242" t="s">
        <v>4909</v>
      </c>
      <c r="AM242" t="s">
        <v>4910</v>
      </c>
      <c r="AN242" t="s">
        <v>4911</v>
      </c>
      <c r="AO242" t="s">
        <v>4912</v>
      </c>
      <c r="AP242" t="s">
        <v>74</v>
      </c>
      <c r="AQ242" t="s">
        <v>74</v>
      </c>
      <c r="AR242" t="s">
        <v>4913</v>
      </c>
      <c r="AS242" t="s">
        <v>4914</v>
      </c>
      <c r="AT242" t="s">
        <v>2513</v>
      </c>
      <c r="AU242">
        <v>2016</v>
      </c>
      <c r="AV242">
        <v>7</v>
      </c>
      <c r="AW242">
        <v>3</v>
      </c>
      <c r="AX242" t="s">
        <v>74</v>
      </c>
      <c r="AY242" t="s">
        <v>74</v>
      </c>
      <c r="AZ242" t="s">
        <v>74</v>
      </c>
      <c r="BA242" t="s">
        <v>74</v>
      </c>
      <c r="BB242">
        <v>2031</v>
      </c>
      <c r="BC242">
        <v>2038</v>
      </c>
      <c r="BD242" t="s">
        <v>74</v>
      </c>
      <c r="BE242" t="s">
        <v>74</v>
      </c>
      <c r="BF242" t="s">
        <v>74</v>
      </c>
      <c r="BG242" t="s">
        <v>74</v>
      </c>
      <c r="BH242" t="s">
        <v>74</v>
      </c>
      <c r="BI242">
        <v>8</v>
      </c>
      <c r="BJ242" t="s">
        <v>753</v>
      </c>
      <c r="BK242" t="s">
        <v>967</v>
      </c>
      <c r="BL242" t="s">
        <v>754</v>
      </c>
      <c r="BM242" t="s">
        <v>4915</v>
      </c>
      <c r="BN242" t="s">
        <v>74</v>
      </c>
      <c r="BO242" t="s">
        <v>74</v>
      </c>
      <c r="BP242" t="s">
        <v>74</v>
      </c>
      <c r="BQ242" t="s">
        <v>74</v>
      </c>
      <c r="BR242" t="s">
        <v>106</v>
      </c>
      <c r="BS242" t="s">
        <v>4916</v>
      </c>
      <c r="BT242" t="str">
        <f>HYPERLINK("https%3A%2F%2Fwww.webofscience.com%2Fwos%2Fwoscc%2Ffull-record%2FWOS:000410653000245","View Full Record in Web of Science")</f>
        <v>View Full Record in Web of Science</v>
      </c>
    </row>
    <row r="243" spans="1:72" x14ac:dyDescent="0.15">
      <c r="A243" t="s">
        <v>72</v>
      </c>
      <c r="B243" t="s">
        <v>4917</v>
      </c>
      <c r="C243" t="s">
        <v>74</v>
      </c>
      <c r="D243" t="s">
        <v>74</v>
      </c>
      <c r="E243" t="s">
        <v>74</v>
      </c>
      <c r="F243" t="s">
        <v>4918</v>
      </c>
      <c r="G243" t="s">
        <v>74</v>
      </c>
      <c r="H243" t="s">
        <v>74</v>
      </c>
      <c r="I243" t="s">
        <v>4919</v>
      </c>
      <c r="J243" t="s">
        <v>973</v>
      </c>
      <c r="K243" t="s">
        <v>74</v>
      </c>
      <c r="L243" t="s">
        <v>74</v>
      </c>
      <c r="M243" t="s">
        <v>78</v>
      </c>
      <c r="N243" t="s">
        <v>79</v>
      </c>
      <c r="O243" t="s">
        <v>74</v>
      </c>
      <c r="P243" t="s">
        <v>74</v>
      </c>
      <c r="Q243" t="s">
        <v>74</v>
      </c>
      <c r="R243" t="s">
        <v>74</v>
      </c>
      <c r="S243" t="s">
        <v>74</v>
      </c>
      <c r="T243" t="s">
        <v>74</v>
      </c>
      <c r="U243" t="s">
        <v>4920</v>
      </c>
      <c r="V243" t="s">
        <v>4921</v>
      </c>
      <c r="W243" t="s">
        <v>4922</v>
      </c>
      <c r="X243" t="s">
        <v>4923</v>
      </c>
      <c r="Y243" t="s">
        <v>4924</v>
      </c>
      <c r="Z243" t="s">
        <v>4925</v>
      </c>
      <c r="AA243" t="s">
        <v>4926</v>
      </c>
      <c r="AB243" t="s">
        <v>4927</v>
      </c>
      <c r="AC243" t="s">
        <v>4928</v>
      </c>
      <c r="AD243" t="s">
        <v>4929</v>
      </c>
      <c r="AE243" t="s">
        <v>4930</v>
      </c>
      <c r="AF243" t="s">
        <v>74</v>
      </c>
      <c r="AG243">
        <v>37</v>
      </c>
      <c r="AH243">
        <v>42</v>
      </c>
      <c r="AI243">
        <v>46</v>
      </c>
      <c r="AJ243">
        <v>1</v>
      </c>
      <c r="AK243">
        <v>16</v>
      </c>
      <c r="AL243" t="s">
        <v>985</v>
      </c>
      <c r="AM243" t="s">
        <v>93</v>
      </c>
      <c r="AN243" t="s">
        <v>986</v>
      </c>
      <c r="AO243" t="s">
        <v>987</v>
      </c>
      <c r="AP243" t="s">
        <v>74</v>
      </c>
      <c r="AQ243" t="s">
        <v>74</v>
      </c>
      <c r="AR243" t="s">
        <v>988</v>
      </c>
      <c r="AS243" t="s">
        <v>989</v>
      </c>
      <c r="AT243" t="s">
        <v>2239</v>
      </c>
      <c r="AU243">
        <v>2016</v>
      </c>
      <c r="AV243">
        <v>2</v>
      </c>
      <c r="AW243">
        <v>5</v>
      </c>
      <c r="AX243" t="s">
        <v>74</v>
      </c>
      <c r="AY243" t="s">
        <v>74</v>
      </c>
      <c r="AZ243" t="s">
        <v>74</v>
      </c>
      <c r="BA243" t="s">
        <v>74</v>
      </c>
      <c r="BB243" t="s">
        <v>74</v>
      </c>
      <c r="BC243" t="s">
        <v>74</v>
      </c>
      <c r="BD243" t="s">
        <v>4931</v>
      </c>
      <c r="BE243" t="s">
        <v>4932</v>
      </c>
      <c r="BF243" t="str">
        <f>HYPERLINK("http://dx.doi.org/10.1126/sciadv.1501350","http://dx.doi.org/10.1126/sciadv.1501350")</f>
        <v>http://dx.doi.org/10.1126/sciadv.1501350</v>
      </c>
      <c r="BG243" t="s">
        <v>74</v>
      </c>
      <c r="BH243" t="s">
        <v>74</v>
      </c>
      <c r="BI243">
        <v>7</v>
      </c>
      <c r="BJ243" t="s">
        <v>753</v>
      </c>
      <c r="BK243" t="s">
        <v>102</v>
      </c>
      <c r="BL243" t="s">
        <v>754</v>
      </c>
      <c r="BM243" t="s">
        <v>4933</v>
      </c>
      <c r="BN243">
        <v>27386519</v>
      </c>
      <c r="BO243" t="s">
        <v>1345</v>
      </c>
      <c r="BP243" t="s">
        <v>74</v>
      </c>
      <c r="BQ243" t="s">
        <v>74</v>
      </c>
      <c r="BR243" t="s">
        <v>106</v>
      </c>
      <c r="BS243" t="s">
        <v>4934</v>
      </c>
      <c r="BT243" t="str">
        <f>HYPERLINK("https%3A%2F%2Fwww.webofscience.com%2Fwos%2Fwoscc%2Ffull-record%2FWOS:000380073000005","View Full Record in Web of Science")</f>
        <v>View Full Record in Web of Science</v>
      </c>
    </row>
    <row r="244" spans="1:72" x14ac:dyDescent="0.15">
      <c r="A244" t="s">
        <v>72</v>
      </c>
      <c r="B244" t="s">
        <v>4935</v>
      </c>
      <c r="C244" t="s">
        <v>74</v>
      </c>
      <c r="D244" t="s">
        <v>74</v>
      </c>
      <c r="E244" t="s">
        <v>74</v>
      </c>
      <c r="F244" t="s">
        <v>4936</v>
      </c>
      <c r="G244" t="s">
        <v>74</v>
      </c>
      <c r="H244" t="s">
        <v>74</v>
      </c>
      <c r="I244" t="s">
        <v>4937</v>
      </c>
      <c r="J244" t="s">
        <v>4938</v>
      </c>
      <c r="K244" t="s">
        <v>74</v>
      </c>
      <c r="L244" t="s">
        <v>74</v>
      </c>
      <c r="M244" t="s">
        <v>78</v>
      </c>
      <c r="N244" t="s">
        <v>79</v>
      </c>
      <c r="O244" t="s">
        <v>74</v>
      </c>
      <c r="P244" t="s">
        <v>74</v>
      </c>
      <c r="Q244" t="s">
        <v>74</v>
      </c>
      <c r="R244" t="s">
        <v>74</v>
      </c>
      <c r="S244" t="s">
        <v>74</v>
      </c>
      <c r="T244" t="s">
        <v>4939</v>
      </c>
      <c r="U244" t="s">
        <v>4940</v>
      </c>
      <c r="V244" t="s">
        <v>4941</v>
      </c>
      <c r="W244" t="s">
        <v>4942</v>
      </c>
      <c r="X244" t="s">
        <v>4943</v>
      </c>
      <c r="Y244" t="s">
        <v>4944</v>
      </c>
      <c r="Z244" t="s">
        <v>4945</v>
      </c>
      <c r="AA244" t="s">
        <v>4946</v>
      </c>
      <c r="AB244" t="s">
        <v>4947</v>
      </c>
      <c r="AC244" t="s">
        <v>4948</v>
      </c>
      <c r="AD244" t="s">
        <v>4949</v>
      </c>
      <c r="AE244" t="s">
        <v>4950</v>
      </c>
      <c r="AF244" t="s">
        <v>74</v>
      </c>
      <c r="AG244">
        <v>50</v>
      </c>
      <c r="AH244">
        <v>10</v>
      </c>
      <c r="AI244">
        <v>10</v>
      </c>
      <c r="AJ244">
        <v>1</v>
      </c>
      <c r="AK244">
        <v>42</v>
      </c>
      <c r="AL244" t="s">
        <v>194</v>
      </c>
      <c r="AM244" t="s">
        <v>262</v>
      </c>
      <c r="AN244" t="s">
        <v>263</v>
      </c>
      <c r="AO244" t="s">
        <v>4951</v>
      </c>
      <c r="AP244" t="s">
        <v>4952</v>
      </c>
      <c r="AQ244" t="s">
        <v>74</v>
      </c>
      <c r="AR244" t="s">
        <v>4953</v>
      </c>
      <c r="AS244" t="s">
        <v>4954</v>
      </c>
      <c r="AT244" t="s">
        <v>2239</v>
      </c>
      <c r="AU244">
        <v>2016</v>
      </c>
      <c r="AV244">
        <v>71</v>
      </c>
      <c r="AW244">
        <v>4</v>
      </c>
      <c r="AX244" t="s">
        <v>74</v>
      </c>
      <c r="AY244" t="s">
        <v>74</v>
      </c>
      <c r="AZ244" t="s">
        <v>74</v>
      </c>
      <c r="BA244" t="s">
        <v>74</v>
      </c>
      <c r="BB244">
        <v>887</v>
      </c>
      <c r="BC244">
        <v>900</v>
      </c>
      <c r="BD244" t="s">
        <v>74</v>
      </c>
      <c r="BE244" t="s">
        <v>4955</v>
      </c>
      <c r="BF244" t="str">
        <f>HYPERLINK("http://dx.doi.org/10.1007/s00248-016-0732-x","http://dx.doi.org/10.1007/s00248-016-0732-x")</f>
        <v>http://dx.doi.org/10.1007/s00248-016-0732-x</v>
      </c>
      <c r="BG244" t="s">
        <v>74</v>
      </c>
      <c r="BH244" t="s">
        <v>74</v>
      </c>
      <c r="BI244">
        <v>14</v>
      </c>
      <c r="BJ244" t="s">
        <v>4956</v>
      </c>
      <c r="BK244" t="s">
        <v>102</v>
      </c>
      <c r="BL244" t="s">
        <v>4957</v>
      </c>
      <c r="BM244" t="s">
        <v>4958</v>
      </c>
      <c r="BN244">
        <v>26841797</v>
      </c>
      <c r="BO244" t="s">
        <v>74</v>
      </c>
      <c r="BP244" t="s">
        <v>74</v>
      </c>
      <c r="BQ244" t="s">
        <v>74</v>
      </c>
      <c r="BR244" t="s">
        <v>106</v>
      </c>
      <c r="BS244" t="s">
        <v>4959</v>
      </c>
      <c r="BT244" t="str">
        <f>HYPERLINK("https%3A%2F%2Fwww.webofscience.com%2Fwos%2Fwoscc%2Ffull-record%2FWOS:000373683000009","View Full Record in Web of Science")</f>
        <v>View Full Record in Web of Science</v>
      </c>
    </row>
    <row r="245" spans="1:72" x14ac:dyDescent="0.15">
      <c r="A245" t="s">
        <v>72</v>
      </c>
      <c r="B245" t="s">
        <v>4960</v>
      </c>
      <c r="C245" t="s">
        <v>74</v>
      </c>
      <c r="D245" t="s">
        <v>74</v>
      </c>
      <c r="E245" t="s">
        <v>74</v>
      </c>
      <c r="F245" t="s">
        <v>4961</v>
      </c>
      <c r="G245" t="s">
        <v>74</v>
      </c>
      <c r="H245" t="s">
        <v>74</v>
      </c>
      <c r="I245" t="s">
        <v>4962</v>
      </c>
      <c r="J245" t="s">
        <v>4963</v>
      </c>
      <c r="K245" t="s">
        <v>74</v>
      </c>
      <c r="L245" t="s">
        <v>74</v>
      </c>
      <c r="M245" t="s">
        <v>78</v>
      </c>
      <c r="N245" t="s">
        <v>79</v>
      </c>
      <c r="O245" t="s">
        <v>74</v>
      </c>
      <c r="P245" t="s">
        <v>74</v>
      </c>
      <c r="Q245" t="s">
        <v>74</v>
      </c>
      <c r="R245" t="s">
        <v>74</v>
      </c>
      <c r="S245" t="s">
        <v>74</v>
      </c>
      <c r="T245" t="s">
        <v>4964</v>
      </c>
      <c r="U245" t="s">
        <v>4965</v>
      </c>
      <c r="V245" t="s">
        <v>4966</v>
      </c>
      <c r="W245" t="s">
        <v>4967</v>
      </c>
      <c r="X245" t="s">
        <v>1153</v>
      </c>
      <c r="Y245" t="s">
        <v>4968</v>
      </c>
      <c r="Z245" t="s">
        <v>4969</v>
      </c>
      <c r="AA245" t="s">
        <v>4970</v>
      </c>
      <c r="AB245" t="s">
        <v>4971</v>
      </c>
      <c r="AC245" t="s">
        <v>4972</v>
      </c>
      <c r="AD245" t="s">
        <v>4973</v>
      </c>
      <c r="AE245" t="s">
        <v>4974</v>
      </c>
      <c r="AF245" t="s">
        <v>74</v>
      </c>
      <c r="AG245">
        <v>31</v>
      </c>
      <c r="AH245">
        <v>19</v>
      </c>
      <c r="AI245">
        <v>21</v>
      </c>
      <c r="AJ245">
        <v>1</v>
      </c>
      <c r="AK245">
        <v>45</v>
      </c>
      <c r="AL245" t="s">
        <v>626</v>
      </c>
      <c r="AM245" t="s">
        <v>583</v>
      </c>
      <c r="AN245" t="s">
        <v>627</v>
      </c>
      <c r="AO245" t="s">
        <v>4975</v>
      </c>
      <c r="AP245" t="s">
        <v>4976</v>
      </c>
      <c r="AQ245" t="s">
        <v>74</v>
      </c>
      <c r="AR245" t="s">
        <v>4977</v>
      </c>
      <c r="AS245" t="s">
        <v>4978</v>
      </c>
      <c r="AT245" t="s">
        <v>2239</v>
      </c>
      <c r="AU245">
        <v>2016</v>
      </c>
      <c r="AV245">
        <v>126</v>
      </c>
      <c r="AW245" t="s">
        <v>74</v>
      </c>
      <c r="AX245" t="s">
        <v>74</v>
      </c>
      <c r="AY245" t="s">
        <v>74</v>
      </c>
      <c r="AZ245" t="s">
        <v>74</v>
      </c>
      <c r="BA245" t="s">
        <v>74</v>
      </c>
      <c r="BB245">
        <v>530</v>
      </c>
      <c r="BC245">
        <v>537</v>
      </c>
      <c r="BD245" t="s">
        <v>74</v>
      </c>
      <c r="BE245" t="s">
        <v>4979</v>
      </c>
      <c r="BF245" t="str">
        <f>HYPERLINK("http://dx.doi.org/10.1016/j.microc.2016.01.014","http://dx.doi.org/10.1016/j.microc.2016.01.014")</f>
        <v>http://dx.doi.org/10.1016/j.microc.2016.01.014</v>
      </c>
      <c r="BG245" t="s">
        <v>74</v>
      </c>
      <c r="BH245" t="s">
        <v>74</v>
      </c>
      <c r="BI245">
        <v>8</v>
      </c>
      <c r="BJ245" t="s">
        <v>1258</v>
      </c>
      <c r="BK245" t="s">
        <v>102</v>
      </c>
      <c r="BL245" t="s">
        <v>1259</v>
      </c>
      <c r="BM245" t="s">
        <v>4980</v>
      </c>
      <c r="BN245" t="s">
        <v>74</v>
      </c>
      <c r="BO245" t="s">
        <v>74</v>
      </c>
      <c r="BP245" t="s">
        <v>74</v>
      </c>
      <c r="BQ245" t="s">
        <v>74</v>
      </c>
      <c r="BR245" t="s">
        <v>106</v>
      </c>
      <c r="BS245" t="s">
        <v>4981</v>
      </c>
      <c r="BT245" t="str">
        <f>HYPERLINK("https%3A%2F%2Fwww.webofscience.com%2Fwos%2Fwoscc%2Ffull-record%2FWOS:000373647500065","View Full Record in Web of Science")</f>
        <v>View Full Record in Web of Science</v>
      </c>
    </row>
    <row r="246" spans="1:72" x14ac:dyDescent="0.15">
      <c r="A246" t="s">
        <v>72</v>
      </c>
      <c r="B246" t="s">
        <v>4982</v>
      </c>
      <c r="C246" t="s">
        <v>74</v>
      </c>
      <c r="D246" t="s">
        <v>74</v>
      </c>
      <c r="E246" t="s">
        <v>74</v>
      </c>
      <c r="F246" t="s">
        <v>4983</v>
      </c>
      <c r="G246" t="s">
        <v>74</v>
      </c>
      <c r="H246" t="s">
        <v>74</v>
      </c>
      <c r="I246" t="s">
        <v>4984</v>
      </c>
      <c r="J246" t="s">
        <v>4985</v>
      </c>
      <c r="K246" t="s">
        <v>74</v>
      </c>
      <c r="L246" t="s">
        <v>74</v>
      </c>
      <c r="M246" t="s">
        <v>78</v>
      </c>
      <c r="N246" t="s">
        <v>79</v>
      </c>
      <c r="O246" t="s">
        <v>74</v>
      </c>
      <c r="P246" t="s">
        <v>74</v>
      </c>
      <c r="Q246" t="s">
        <v>74</v>
      </c>
      <c r="R246" t="s">
        <v>74</v>
      </c>
      <c r="S246" t="s">
        <v>74</v>
      </c>
      <c r="T246" t="s">
        <v>4986</v>
      </c>
      <c r="U246" t="s">
        <v>4987</v>
      </c>
      <c r="V246" t="s">
        <v>4988</v>
      </c>
      <c r="W246" t="s">
        <v>4989</v>
      </c>
      <c r="X246" t="s">
        <v>4990</v>
      </c>
      <c r="Y246" t="s">
        <v>4991</v>
      </c>
      <c r="Z246" t="s">
        <v>4992</v>
      </c>
      <c r="AA246" t="s">
        <v>4993</v>
      </c>
      <c r="AB246" t="s">
        <v>4994</v>
      </c>
      <c r="AC246" t="s">
        <v>4995</v>
      </c>
      <c r="AD246" t="s">
        <v>4995</v>
      </c>
      <c r="AE246" t="s">
        <v>4996</v>
      </c>
      <c r="AF246" t="s">
        <v>74</v>
      </c>
      <c r="AG246">
        <v>110</v>
      </c>
      <c r="AH246">
        <v>23</v>
      </c>
      <c r="AI246">
        <v>24</v>
      </c>
      <c r="AJ246">
        <v>2</v>
      </c>
      <c r="AK246">
        <v>16</v>
      </c>
      <c r="AL246" t="s">
        <v>582</v>
      </c>
      <c r="AM246" t="s">
        <v>583</v>
      </c>
      <c r="AN246" t="s">
        <v>584</v>
      </c>
      <c r="AO246" t="s">
        <v>4997</v>
      </c>
      <c r="AP246" t="s">
        <v>4998</v>
      </c>
      <c r="AQ246" t="s">
        <v>74</v>
      </c>
      <c r="AR246" t="s">
        <v>4999</v>
      </c>
      <c r="AS246" t="s">
        <v>5000</v>
      </c>
      <c r="AT246" t="s">
        <v>2239</v>
      </c>
      <c r="AU246">
        <v>2016</v>
      </c>
      <c r="AV246">
        <v>276</v>
      </c>
      <c r="AW246" t="s">
        <v>74</v>
      </c>
      <c r="AX246" t="s">
        <v>74</v>
      </c>
      <c r="AY246" t="s">
        <v>74</v>
      </c>
      <c r="AZ246" t="s">
        <v>74</v>
      </c>
      <c r="BA246" t="s">
        <v>74</v>
      </c>
      <c r="BB246">
        <v>123</v>
      </c>
      <c r="BC246">
        <v>144</v>
      </c>
      <c r="BD246" t="s">
        <v>74</v>
      </c>
      <c r="BE246" t="s">
        <v>5001</v>
      </c>
      <c r="BF246" t="str">
        <f>HYPERLINK("http://dx.doi.org/10.1016/j.precamres.2016.02.001","http://dx.doi.org/10.1016/j.precamres.2016.02.001")</f>
        <v>http://dx.doi.org/10.1016/j.precamres.2016.02.001</v>
      </c>
      <c r="BG246" t="s">
        <v>74</v>
      </c>
      <c r="BH246" t="s">
        <v>74</v>
      </c>
      <c r="BI246">
        <v>22</v>
      </c>
      <c r="BJ246" t="s">
        <v>269</v>
      </c>
      <c r="BK246" t="s">
        <v>102</v>
      </c>
      <c r="BL246" t="s">
        <v>270</v>
      </c>
      <c r="BM246" t="s">
        <v>5002</v>
      </c>
      <c r="BN246" t="s">
        <v>74</v>
      </c>
      <c r="BO246" t="s">
        <v>74</v>
      </c>
      <c r="BP246" t="s">
        <v>74</v>
      </c>
      <c r="BQ246" t="s">
        <v>74</v>
      </c>
      <c r="BR246" t="s">
        <v>106</v>
      </c>
      <c r="BS246" t="s">
        <v>5003</v>
      </c>
      <c r="BT246" t="str">
        <f>HYPERLINK("https%3A%2F%2Fwww.webofscience.com%2Fwos%2Fwoscc%2Ffull-record%2FWOS:000373866300009","View Full Record in Web of Science")</f>
        <v>View Full Record in Web of Science</v>
      </c>
    </row>
    <row r="247" spans="1:72" x14ac:dyDescent="0.15">
      <c r="A247" t="s">
        <v>72</v>
      </c>
      <c r="B247" t="s">
        <v>5004</v>
      </c>
      <c r="C247" t="s">
        <v>74</v>
      </c>
      <c r="D247" t="s">
        <v>74</v>
      </c>
      <c r="E247" t="s">
        <v>74</v>
      </c>
      <c r="F247" t="s">
        <v>5005</v>
      </c>
      <c r="G247" t="s">
        <v>74</v>
      </c>
      <c r="H247" t="s">
        <v>74</v>
      </c>
      <c r="I247" t="s">
        <v>5006</v>
      </c>
      <c r="J247" t="s">
        <v>5007</v>
      </c>
      <c r="K247" t="s">
        <v>74</v>
      </c>
      <c r="L247" t="s">
        <v>74</v>
      </c>
      <c r="M247" t="s">
        <v>78</v>
      </c>
      <c r="N247" t="s">
        <v>79</v>
      </c>
      <c r="O247" t="s">
        <v>74</v>
      </c>
      <c r="P247" t="s">
        <v>74</v>
      </c>
      <c r="Q247" t="s">
        <v>74</v>
      </c>
      <c r="R247" t="s">
        <v>74</v>
      </c>
      <c r="S247" t="s">
        <v>74</v>
      </c>
      <c r="T247" t="s">
        <v>5008</v>
      </c>
      <c r="U247" t="s">
        <v>5009</v>
      </c>
      <c r="V247" t="s">
        <v>5010</v>
      </c>
      <c r="W247" t="s">
        <v>5011</v>
      </c>
      <c r="X247" t="s">
        <v>5012</v>
      </c>
      <c r="Y247" t="s">
        <v>5013</v>
      </c>
      <c r="Z247" t="s">
        <v>5014</v>
      </c>
      <c r="AA247" t="s">
        <v>5015</v>
      </c>
      <c r="AB247" t="s">
        <v>5016</v>
      </c>
      <c r="AC247" t="s">
        <v>5017</v>
      </c>
      <c r="AD247" t="s">
        <v>5018</v>
      </c>
      <c r="AE247" t="s">
        <v>5019</v>
      </c>
      <c r="AF247" t="s">
        <v>74</v>
      </c>
      <c r="AG247">
        <v>49</v>
      </c>
      <c r="AH247">
        <v>28</v>
      </c>
      <c r="AI247">
        <v>31</v>
      </c>
      <c r="AJ247">
        <v>1</v>
      </c>
      <c r="AK247">
        <v>21</v>
      </c>
      <c r="AL247" t="s">
        <v>5020</v>
      </c>
      <c r="AM247" t="s">
        <v>5021</v>
      </c>
      <c r="AN247" t="s">
        <v>5022</v>
      </c>
      <c r="AO247" t="s">
        <v>5023</v>
      </c>
      <c r="AP247" t="s">
        <v>5024</v>
      </c>
      <c r="AQ247" t="s">
        <v>74</v>
      </c>
      <c r="AR247" t="s">
        <v>5025</v>
      </c>
      <c r="AS247" t="s">
        <v>5026</v>
      </c>
      <c r="AT247" t="s">
        <v>2239</v>
      </c>
      <c r="AU247">
        <v>2016</v>
      </c>
      <c r="AV247">
        <v>41</v>
      </c>
      <c r="AW247">
        <v>3</v>
      </c>
      <c r="AX247" t="s">
        <v>74</v>
      </c>
      <c r="AY247" t="s">
        <v>74</v>
      </c>
      <c r="AZ247" t="s">
        <v>74</v>
      </c>
      <c r="BA247" t="s">
        <v>74</v>
      </c>
      <c r="BB247">
        <v>375</v>
      </c>
      <c r="BC247">
        <v>401</v>
      </c>
      <c r="BD247" t="s">
        <v>74</v>
      </c>
      <c r="BE247" t="s">
        <v>5027</v>
      </c>
      <c r="BF247" t="str">
        <f>HYPERLINK("http://dx.doi.org/10.1177/0162243915601900","http://dx.doi.org/10.1177/0162243915601900")</f>
        <v>http://dx.doi.org/10.1177/0162243915601900</v>
      </c>
      <c r="BG247" t="s">
        <v>74</v>
      </c>
      <c r="BH247" t="s">
        <v>74</v>
      </c>
      <c r="BI247">
        <v>27</v>
      </c>
      <c r="BJ247" t="s">
        <v>5028</v>
      </c>
      <c r="BK247" t="s">
        <v>687</v>
      </c>
      <c r="BL247" t="s">
        <v>5028</v>
      </c>
      <c r="BM247" t="s">
        <v>5029</v>
      </c>
      <c r="BN247" t="s">
        <v>74</v>
      </c>
      <c r="BO247" t="s">
        <v>74</v>
      </c>
      <c r="BP247" t="s">
        <v>74</v>
      </c>
      <c r="BQ247" t="s">
        <v>74</v>
      </c>
      <c r="BR247" t="s">
        <v>106</v>
      </c>
      <c r="BS247" t="s">
        <v>5030</v>
      </c>
      <c r="BT247" t="str">
        <f>HYPERLINK("https%3A%2F%2Fwww.webofscience.com%2Fwos%2Fwoscc%2Ffull-record%2FWOS:000373610600002","View Full Record in Web of Science")</f>
        <v>View Full Record in Web of Science</v>
      </c>
    </row>
    <row r="248" spans="1:72" x14ac:dyDescent="0.15">
      <c r="A248" t="s">
        <v>72</v>
      </c>
      <c r="B248" t="s">
        <v>5031</v>
      </c>
      <c r="C248" t="s">
        <v>74</v>
      </c>
      <c r="D248" t="s">
        <v>74</v>
      </c>
      <c r="E248" t="s">
        <v>74</v>
      </c>
      <c r="F248" t="s">
        <v>5032</v>
      </c>
      <c r="G248" t="s">
        <v>74</v>
      </c>
      <c r="H248" t="s">
        <v>74</v>
      </c>
      <c r="I248" t="s">
        <v>5033</v>
      </c>
      <c r="J248" t="s">
        <v>5034</v>
      </c>
      <c r="K248" t="s">
        <v>74</v>
      </c>
      <c r="L248" t="s">
        <v>74</v>
      </c>
      <c r="M248" t="s">
        <v>78</v>
      </c>
      <c r="N248" t="s">
        <v>79</v>
      </c>
      <c r="O248" t="s">
        <v>74</v>
      </c>
      <c r="P248" t="s">
        <v>74</v>
      </c>
      <c r="Q248" t="s">
        <v>74</v>
      </c>
      <c r="R248" t="s">
        <v>74</v>
      </c>
      <c r="S248" t="s">
        <v>74</v>
      </c>
      <c r="T248" t="s">
        <v>5035</v>
      </c>
      <c r="U248" t="s">
        <v>5036</v>
      </c>
      <c r="V248" t="s">
        <v>5037</v>
      </c>
      <c r="W248" t="s">
        <v>5038</v>
      </c>
      <c r="X248" t="s">
        <v>5039</v>
      </c>
      <c r="Y248" t="s">
        <v>5040</v>
      </c>
      <c r="Z248" t="s">
        <v>5041</v>
      </c>
      <c r="AA248" t="s">
        <v>5042</v>
      </c>
      <c r="AB248" t="s">
        <v>5043</v>
      </c>
      <c r="AC248" t="s">
        <v>5044</v>
      </c>
      <c r="AD248" t="s">
        <v>5045</v>
      </c>
      <c r="AE248" t="s">
        <v>5046</v>
      </c>
      <c r="AF248" t="s">
        <v>74</v>
      </c>
      <c r="AG248">
        <v>58</v>
      </c>
      <c r="AH248">
        <v>29</v>
      </c>
      <c r="AI248">
        <v>32</v>
      </c>
      <c r="AJ248">
        <v>1</v>
      </c>
      <c r="AK248">
        <v>20</v>
      </c>
      <c r="AL248" t="s">
        <v>1829</v>
      </c>
      <c r="AM248" t="s">
        <v>679</v>
      </c>
      <c r="AN248" t="s">
        <v>1830</v>
      </c>
      <c r="AO248" t="s">
        <v>5047</v>
      </c>
      <c r="AP248" t="s">
        <v>5048</v>
      </c>
      <c r="AQ248" t="s">
        <v>74</v>
      </c>
      <c r="AR248" t="s">
        <v>5049</v>
      </c>
      <c r="AS248" t="s">
        <v>5050</v>
      </c>
      <c r="AT248" t="s">
        <v>2239</v>
      </c>
      <c r="AU248">
        <v>2016</v>
      </c>
      <c r="AV248">
        <v>95</v>
      </c>
      <c r="AW248" t="s">
        <v>74</v>
      </c>
      <c r="AX248" t="s">
        <v>74</v>
      </c>
      <c r="AY248" t="s">
        <v>74</v>
      </c>
      <c r="AZ248" t="s">
        <v>74</v>
      </c>
      <c r="BA248" t="s">
        <v>74</v>
      </c>
      <c r="BB248">
        <v>71</v>
      </c>
      <c r="BC248">
        <v>80</v>
      </c>
      <c r="BD248" t="s">
        <v>74</v>
      </c>
      <c r="BE248" t="s">
        <v>5051</v>
      </c>
      <c r="BF248" t="str">
        <f>HYPERLINK("http://dx.doi.org/10.1016/j.orggeochem.2016.02.011","http://dx.doi.org/10.1016/j.orggeochem.2016.02.011")</f>
        <v>http://dx.doi.org/10.1016/j.orggeochem.2016.02.011</v>
      </c>
      <c r="BG248" t="s">
        <v>74</v>
      </c>
      <c r="BH248" t="s">
        <v>74</v>
      </c>
      <c r="BI248">
        <v>10</v>
      </c>
      <c r="BJ248" t="s">
        <v>727</v>
      </c>
      <c r="BK248" t="s">
        <v>102</v>
      </c>
      <c r="BL248" t="s">
        <v>727</v>
      </c>
      <c r="BM248" t="s">
        <v>5052</v>
      </c>
      <c r="BN248" t="s">
        <v>74</v>
      </c>
      <c r="BO248" t="s">
        <v>729</v>
      </c>
      <c r="BP248" t="s">
        <v>74</v>
      </c>
      <c r="BQ248" t="s">
        <v>74</v>
      </c>
      <c r="BR248" t="s">
        <v>106</v>
      </c>
      <c r="BS248" t="s">
        <v>5053</v>
      </c>
      <c r="BT248" t="str">
        <f>HYPERLINK("https%3A%2F%2Fwww.webofscience.com%2Fwos%2Fwoscc%2Ffull-record%2FWOS:000372952900008","View Full Record in Web of Science")</f>
        <v>View Full Record in Web of Science</v>
      </c>
    </row>
    <row r="249" spans="1:72" x14ac:dyDescent="0.15">
      <c r="A249" t="s">
        <v>72</v>
      </c>
      <c r="B249" t="s">
        <v>5054</v>
      </c>
      <c r="C249" t="s">
        <v>74</v>
      </c>
      <c r="D249" t="s">
        <v>74</v>
      </c>
      <c r="E249" t="s">
        <v>74</v>
      </c>
      <c r="F249" t="s">
        <v>5055</v>
      </c>
      <c r="G249" t="s">
        <v>74</v>
      </c>
      <c r="H249" t="s">
        <v>74</v>
      </c>
      <c r="I249" t="s">
        <v>5056</v>
      </c>
      <c r="J249" t="s">
        <v>5057</v>
      </c>
      <c r="K249" t="s">
        <v>74</v>
      </c>
      <c r="L249" t="s">
        <v>74</v>
      </c>
      <c r="M249" t="s">
        <v>78</v>
      </c>
      <c r="N249" t="s">
        <v>79</v>
      </c>
      <c r="O249" t="s">
        <v>74</v>
      </c>
      <c r="P249" t="s">
        <v>74</v>
      </c>
      <c r="Q249" t="s">
        <v>74</v>
      </c>
      <c r="R249" t="s">
        <v>74</v>
      </c>
      <c r="S249" t="s">
        <v>74</v>
      </c>
      <c r="T249" t="s">
        <v>5058</v>
      </c>
      <c r="U249" t="s">
        <v>74</v>
      </c>
      <c r="V249" t="s">
        <v>5059</v>
      </c>
      <c r="W249" t="s">
        <v>5060</v>
      </c>
      <c r="X249" t="s">
        <v>5061</v>
      </c>
      <c r="Y249" t="s">
        <v>5062</v>
      </c>
      <c r="Z249" t="s">
        <v>5063</v>
      </c>
      <c r="AA249" t="s">
        <v>74</v>
      </c>
      <c r="AB249" t="s">
        <v>5064</v>
      </c>
      <c r="AC249" t="s">
        <v>74</v>
      </c>
      <c r="AD249" t="s">
        <v>74</v>
      </c>
      <c r="AE249" t="s">
        <v>74</v>
      </c>
      <c r="AF249" t="s">
        <v>74</v>
      </c>
      <c r="AG249">
        <v>66</v>
      </c>
      <c r="AH249">
        <v>2</v>
      </c>
      <c r="AI249">
        <v>2</v>
      </c>
      <c r="AJ249">
        <v>0</v>
      </c>
      <c r="AK249">
        <v>7</v>
      </c>
      <c r="AL249" t="s">
        <v>454</v>
      </c>
      <c r="AM249" t="s">
        <v>455</v>
      </c>
      <c r="AN249" t="s">
        <v>5065</v>
      </c>
      <c r="AO249" t="s">
        <v>5066</v>
      </c>
      <c r="AP249" t="s">
        <v>5067</v>
      </c>
      <c r="AQ249" t="s">
        <v>74</v>
      </c>
      <c r="AR249" t="s">
        <v>5068</v>
      </c>
      <c r="AS249" t="s">
        <v>5069</v>
      </c>
      <c r="AT249" t="s">
        <v>2239</v>
      </c>
      <c r="AU249">
        <v>2016</v>
      </c>
      <c r="AV249">
        <v>140</v>
      </c>
      <c r="AW249">
        <v>1</v>
      </c>
      <c r="AX249" t="s">
        <v>74</v>
      </c>
      <c r="AY249" t="s">
        <v>74</v>
      </c>
      <c r="AZ249" t="s">
        <v>74</v>
      </c>
      <c r="BA249" t="s">
        <v>74</v>
      </c>
      <c r="BB249">
        <v>107</v>
      </c>
      <c r="BC249">
        <v>128</v>
      </c>
      <c r="BD249" t="s">
        <v>74</v>
      </c>
      <c r="BE249" t="s">
        <v>5070</v>
      </c>
      <c r="BF249" t="str">
        <f>HYPERLINK("http://dx.doi.org/10.1080/03721426.2016.1149323","http://dx.doi.org/10.1080/03721426.2016.1149323")</f>
        <v>http://dx.doi.org/10.1080/03721426.2016.1149323</v>
      </c>
      <c r="BG249" t="s">
        <v>74</v>
      </c>
      <c r="BH249" t="s">
        <v>74</v>
      </c>
      <c r="BI249">
        <v>22</v>
      </c>
      <c r="BJ249" t="s">
        <v>753</v>
      </c>
      <c r="BK249" t="s">
        <v>102</v>
      </c>
      <c r="BL249" t="s">
        <v>754</v>
      </c>
      <c r="BM249" t="s">
        <v>5071</v>
      </c>
      <c r="BN249" t="s">
        <v>74</v>
      </c>
      <c r="BO249" t="s">
        <v>74</v>
      </c>
      <c r="BP249" t="s">
        <v>74</v>
      </c>
      <c r="BQ249" t="s">
        <v>74</v>
      </c>
      <c r="BR249" t="s">
        <v>106</v>
      </c>
      <c r="BS249" t="s">
        <v>5072</v>
      </c>
      <c r="BT249" t="str">
        <f>HYPERLINK("https%3A%2F%2Fwww.webofscience.com%2Fwos%2Fwoscc%2Ffull-record%2FWOS:000372891500010","View Full Record in Web of Science")</f>
        <v>View Full Record in Web of Science</v>
      </c>
    </row>
    <row r="250" spans="1:72" x14ac:dyDescent="0.15">
      <c r="A250" t="s">
        <v>72</v>
      </c>
      <c r="B250" t="s">
        <v>5073</v>
      </c>
      <c r="C250" t="s">
        <v>74</v>
      </c>
      <c r="D250" t="s">
        <v>74</v>
      </c>
      <c r="E250" t="s">
        <v>74</v>
      </c>
      <c r="F250" t="s">
        <v>5074</v>
      </c>
      <c r="G250" t="s">
        <v>74</v>
      </c>
      <c r="H250" t="s">
        <v>74</v>
      </c>
      <c r="I250" t="s">
        <v>5075</v>
      </c>
      <c r="J250" t="s">
        <v>5076</v>
      </c>
      <c r="K250" t="s">
        <v>74</v>
      </c>
      <c r="L250" t="s">
        <v>74</v>
      </c>
      <c r="M250" t="s">
        <v>78</v>
      </c>
      <c r="N250" t="s">
        <v>79</v>
      </c>
      <c r="O250" t="s">
        <v>74</v>
      </c>
      <c r="P250" t="s">
        <v>74</v>
      </c>
      <c r="Q250" t="s">
        <v>74</v>
      </c>
      <c r="R250" t="s">
        <v>74</v>
      </c>
      <c r="S250" t="s">
        <v>74</v>
      </c>
      <c r="T250" t="s">
        <v>5077</v>
      </c>
      <c r="U250" t="s">
        <v>5078</v>
      </c>
      <c r="V250" t="s">
        <v>5079</v>
      </c>
      <c r="W250" t="s">
        <v>5080</v>
      </c>
      <c r="X250" t="s">
        <v>1057</v>
      </c>
      <c r="Y250" t="s">
        <v>5081</v>
      </c>
      <c r="Z250" t="s">
        <v>5082</v>
      </c>
      <c r="AA250" t="s">
        <v>5083</v>
      </c>
      <c r="AB250" t="s">
        <v>5084</v>
      </c>
      <c r="AC250" t="s">
        <v>5085</v>
      </c>
      <c r="AD250" t="s">
        <v>5085</v>
      </c>
      <c r="AE250" t="s">
        <v>5086</v>
      </c>
      <c r="AF250" t="s">
        <v>74</v>
      </c>
      <c r="AG250">
        <v>45</v>
      </c>
      <c r="AH250">
        <v>7</v>
      </c>
      <c r="AI250">
        <v>7</v>
      </c>
      <c r="AJ250">
        <v>0</v>
      </c>
      <c r="AK250">
        <v>36</v>
      </c>
      <c r="AL250" t="s">
        <v>582</v>
      </c>
      <c r="AM250" t="s">
        <v>583</v>
      </c>
      <c r="AN250" t="s">
        <v>584</v>
      </c>
      <c r="AO250" t="s">
        <v>5087</v>
      </c>
      <c r="AP250" t="s">
        <v>5088</v>
      </c>
      <c r="AQ250" t="s">
        <v>74</v>
      </c>
      <c r="AR250" t="s">
        <v>5089</v>
      </c>
      <c r="AS250" t="s">
        <v>5090</v>
      </c>
      <c r="AT250" t="s">
        <v>2239</v>
      </c>
      <c r="AU250">
        <v>2016</v>
      </c>
      <c r="AV250">
        <v>177</v>
      </c>
      <c r="AW250" t="s">
        <v>74</v>
      </c>
      <c r="AX250" t="s">
        <v>74</v>
      </c>
      <c r="AY250" t="s">
        <v>74</v>
      </c>
      <c r="AZ250" t="s">
        <v>74</v>
      </c>
      <c r="BA250" t="s">
        <v>74</v>
      </c>
      <c r="BB250">
        <v>50</v>
      </c>
      <c r="BC250">
        <v>58</v>
      </c>
      <c r="BD250" t="s">
        <v>74</v>
      </c>
      <c r="BE250" t="s">
        <v>5091</v>
      </c>
      <c r="BF250" t="str">
        <f>HYPERLINK("http://dx.doi.org/10.1016/j.fishres.2016.01.021","http://dx.doi.org/10.1016/j.fishres.2016.01.021")</f>
        <v>http://dx.doi.org/10.1016/j.fishres.2016.01.021</v>
      </c>
      <c r="BG250" t="s">
        <v>74</v>
      </c>
      <c r="BH250" t="s">
        <v>74</v>
      </c>
      <c r="BI250">
        <v>9</v>
      </c>
      <c r="BJ250" t="s">
        <v>1070</v>
      </c>
      <c r="BK250" t="s">
        <v>102</v>
      </c>
      <c r="BL250" t="s">
        <v>1070</v>
      </c>
      <c r="BM250" t="s">
        <v>5092</v>
      </c>
      <c r="BN250" t="s">
        <v>74</v>
      </c>
      <c r="BO250" t="s">
        <v>74</v>
      </c>
      <c r="BP250" t="s">
        <v>74</v>
      </c>
      <c r="BQ250" t="s">
        <v>74</v>
      </c>
      <c r="BR250" t="s">
        <v>106</v>
      </c>
      <c r="BS250" t="s">
        <v>5093</v>
      </c>
      <c r="BT250" t="str">
        <f>HYPERLINK("https%3A%2F%2Fwww.webofscience.com%2Fwos%2Fwoscc%2Ffull-record%2FWOS:000372378600007","View Full Record in Web of Science")</f>
        <v>View Full Record in Web of Science</v>
      </c>
    </row>
    <row r="251" spans="1:72" x14ac:dyDescent="0.15">
      <c r="A251" t="s">
        <v>72</v>
      </c>
      <c r="B251" t="s">
        <v>5094</v>
      </c>
      <c r="C251" t="s">
        <v>74</v>
      </c>
      <c r="D251" t="s">
        <v>74</v>
      </c>
      <c r="E251" t="s">
        <v>74</v>
      </c>
      <c r="F251" t="s">
        <v>5095</v>
      </c>
      <c r="G251" t="s">
        <v>74</v>
      </c>
      <c r="H251" t="s">
        <v>74</v>
      </c>
      <c r="I251" t="s">
        <v>5096</v>
      </c>
      <c r="J251" t="s">
        <v>5097</v>
      </c>
      <c r="K251" t="s">
        <v>74</v>
      </c>
      <c r="L251" t="s">
        <v>74</v>
      </c>
      <c r="M251" t="s">
        <v>78</v>
      </c>
      <c r="N251" t="s">
        <v>79</v>
      </c>
      <c r="O251" t="s">
        <v>74</v>
      </c>
      <c r="P251" t="s">
        <v>74</v>
      </c>
      <c r="Q251" t="s">
        <v>74</v>
      </c>
      <c r="R251" t="s">
        <v>74</v>
      </c>
      <c r="S251" t="s">
        <v>74</v>
      </c>
      <c r="T251" t="s">
        <v>74</v>
      </c>
      <c r="U251" t="s">
        <v>5098</v>
      </c>
      <c r="V251" t="s">
        <v>5099</v>
      </c>
      <c r="W251" t="s">
        <v>5100</v>
      </c>
      <c r="X251" t="s">
        <v>5101</v>
      </c>
      <c r="Y251" t="s">
        <v>5102</v>
      </c>
      <c r="Z251" t="s">
        <v>5103</v>
      </c>
      <c r="AA251" t="s">
        <v>74</v>
      </c>
      <c r="AB251" t="s">
        <v>74</v>
      </c>
      <c r="AC251" t="s">
        <v>5104</v>
      </c>
      <c r="AD251" t="s">
        <v>5105</v>
      </c>
      <c r="AE251" t="s">
        <v>5106</v>
      </c>
      <c r="AF251" t="s">
        <v>74</v>
      </c>
      <c r="AG251">
        <v>156</v>
      </c>
      <c r="AH251">
        <v>10</v>
      </c>
      <c r="AI251">
        <v>10</v>
      </c>
      <c r="AJ251">
        <v>0</v>
      </c>
      <c r="AK251">
        <v>20</v>
      </c>
      <c r="AL251" t="s">
        <v>1829</v>
      </c>
      <c r="AM251" t="s">
        <v>679</v>
      </c>
      <c r="AN251" t="s">
        <v>1830</v>
      </c>
      <c r="AO251" t="s">
        <v>5107</v>
      </c>
      <c r="AP251" t="s">
        <v>5108</v>
      </c>
      <c r="AQ251" t="s">
        <v>74</v>
      </c>
      <c r="AR251" t="s">
        <v>5109</v>
      </c>
      <c r="AS251" t="s">
        <v>5110</v>
      </c>
      <c r="AT251" t="s">
        <v>3019</v>
      </c>
      <c r="AU251">
        <v>2016</v>
      </c>
      <c r="AV251">
        <v>180</v>
      </c>
      <c r="AW251" t="s">
        <v>74</v>
      </c>
      <c r="AX251" t="s">
        <v>74</v>
      </c>
      <c r="AY251" t="s">
        <v>74</v>
      </c>
      <c r="AZ251" t="s">
        <v>74</v>
      </c>
      <c r="BA251" t="s">
        <v>74</v>
      </c>
      <c r="BB251">
        <v>126</v>
      </c>
      <c r="BC251">
        <v>145</v>
      </c>
      <c r="BD251" t="s">
        <v>74</v>
      </c>
      <c r="BE251" t="s">
        <v>5111</v>
      </c>
      <c r="BF251" t="str">
        <f>HYPERLINK("http://dx.doi.org/10.1016/j.gca.2016.01.036","http://dx.doi.org/10.1016/j.gca.2016.01.036")</f>
        <v>http://dx.doi.org/10.1016/j.gca.2016.01.036</v>
      </c>
      <c r="BG251" t="s">
        <v>74</v>
      </c>
      <c r="BH251" t="s">
        <v>74</v>
      </c>
      <c r="BI251">
        <v>20</v>
      </c>
      <c r="BJ251" t="s">
        <v>727</v>
      </c>
      <c r="BK251" t="s">
        <v>102</v>
      </c>
      <c r="BL251" t="s">
        <v>727</v>
      </c>
      <c r="BM251" t="s">
        <v>5112</v>
      </c>
      <c r="BN251" t="s">
        <v>74</v>
      </c>
      <c r="BO251" t="s">
        <v>222</v>
      </c>
      <c r="BP251" t="s">
        <v>74</v>
      </c>
      <c r="BQ251" t="s">
        <v>74</v>
      </c>
      <c r="BR251" t="s">
        <v>106</v>
      </c>
      <c r="BS251" t="s">
        <v>5113</v>
      </c>
      <c r="BT251" t="str">
        <f>HYPERLINK("https%3A%2F%2Fwww.webofscience.com%2Fwos%2Fwoscc%2Ffull-record%2FWOS:000372566600008","View Full Record in Web of Science")</f>
        <v>View Full Record in Web of Science</v>
      </c>
    </row>
    <row r="252" spans="1:72" x14ac:dyDescent="0.15">
      <c r="A252" t="s">
        <v>72</v>
      </c>
      <c r="B252" t="s">
        <v>5114</v>
      </c>
      <c r="C252" t="s">
        <v>74</v>
      </c>
      <c r="D252" t="s">
        <v>74</v>
      </c>
      <c r="E252" t="s">
        <v>74</v>
      </c>
      <c r="F252" t="s">
        <v>5115</v>
      </c>
      <c r="G252" t="s">
        <v>74</v>
      </c>
      <c r="H252" t="s">
        <v>74</v>
      </c>
      <c r="I252" t="s">
        <v>5116</v>
      </c>
      <c r="J252" t="s">
        <v>5117</v>
      </c>
      <c r="K252" t="s">
        <v>74</v>
      </c>
      <c r="L252" t="s">
        <v>74</v>
      </c>
      <c r="M252" t="s">
        <v>78</v>
      </c>
      <c r="N252" t="s">
        <v>79</v>
      </c>
      <c r="O252" t="s">
        <v>74</v>
      </c>
      <c r="P252" t="s">
        <v>74</v>
      </c>
      <c r="Q252" t="s">
        <v>74</v>
      </c>
      <c r="R252" t="s">
        <v>74</v>
      </c>
      <c r="S252" t="s">
        <v>74</v>
      </c>
      <c r="T252" t="s">
        <v>5118</v>
      </c>
      <c r="U252" t="s">
        <v>5119</v>
      </c>
      <c r="V252" t="s">
        <v>5120</v>
      </c>
      <c r="W252" t="s">
        <v>5121</v>
      </c>
      <c r="X252" t="s">
        <v>5122</v>
      </c>
      <c r="Y252" t="s">
        <v>5123</v>
      </c>
      <c r="Z252" t="s">
        <v>5124</v>
      </c>
      <c r="AA252" t="s">
        <v>74</v>
      </c>
      <c r="AB252" t="s">
        <v>74</v>
      </c>
      <c r="AC252" t="s">
        <v>5125</v>
      </c>
      <c r="AD252" t="s">
        <v>5126</v>
      </c>
      <c r="AE252" t="s">
        <v>5127</v>
      </c>
      <c r="AF252" t="s">
        <v>74</v>
      </c>
      <c r="AG252">
        <v>11</v>
      </c>
      <c r="AH252">
        <v>0</v>
      </c>
      <c r="AI252">
        <v>0</v>
      </c>
      <c r="AJ252">
        <v>0</v>
      </c>
      <c r="AK252">
        <v>12</v>
      </c>
      <c r="AL252" t="s">
        <v>5128</v>
      </c>
      <c r="AM252" t="s">
        <v>1011</v>
      </c>
      <c r="AN252" t="s">
        <v>5129</v>
      </c>
      <c r="AO252" t="s">
        <v>5130</v>
      </c>
      <c r="AP252" t="s">
        <v>5131</v>
      </c>
      <c r="AQ252" t="s">
        <v>74</v>
      </c>
      <c r="AR252" t="s">
        <v>5132</v>
      </c>
      <c r="AS252" t="s">
        <v>5133</v>
      </c>
      <c r="AT252" t="s">
        <v>2239</v>
      </c>
      <c r="AU252">
        <v>2016</v>
      </c>
      <c r="AV252">
        <v>9</v>
      </c>
      <c r="AW252">
        <v>3</v>
      </c>
      <c r="AX252" t="s">
        <v>74</v>
      </c>
      <c r="AY252" t="s">
        <v>74</v>
      </c>
      <c r="AZ252" t="s">
        <v>74</v>
      </c>
      <c r="BA252" t="s">
        <v>74</v>
      </c>
      <c r="BB252" t="s">
        <v>74</v>
      </c>
      <c r="BC252" t="s">
        <v>74</v>
      </c>
      <c r="BD252">
        <v>1650044</v>
      </c>
      <c r="BE252" t="s">
        <v>5134</v>
      </c>
      <c r="BF252" t="str">
        <f>HYPERLINK("http://dx.doi.org/10.1142/S1793524516500443","http://dx.doi.org/10.1142/S1793524516500443")</f>
        <v>http://dx.doi.org/10.1142/S1793524516500443</v>
      </c>
      <c r="BG252" t="s">
        <v>74</v>
      </c>
      <c r="BH252" t="s">
        <v>74</v>
      </c>
      <c r="BI252">
        <v>15</v>
      </c>
      <c r="BJ252" t="s">
        <v>5135</v>
      </c>
      <c r="BK252" t="s">
        <v>102</v>
      </c>
      <c r="BL252" t="s">
        <v>5135</v>
      </c>
      <c r="BM252" t="s">
        <v>5136</v>
      </c>
      <c r="BN252" t="s">
        <v>74</v>
      </c>
      <c r="BO252" t="s">
        <v>74</v>
      </c>
      <c r="BP252" t="s">
        <v>74</v>
      </c>
      <c r="BQ252" t="s">
        <v>74</v>
      </c>
      <c r="BR252" t="s">
        <v>106</v>
      </c>
      <c r="BS252" t="s">
        <v>5137</v>
      </c>
      <c r="BT252" t="str">
        <f>HYPERLINK("https%3A%2F%2Fwww.webofscience.com%2Fwos%2Fwoscc%2Ffull-record%2FWOS:000371496100012","View Full Record in Web of Science")</f>
        <v>View Full Record in Web of Science</v>
      </c>
    </row>
    <row r="253" spans="1:72" x14ac:dyDescent="0.15">
      <c r="A253" t="s">
        <v>72</v>
      </c>
      <c r="B253" t="s">
        <v>5138</v>
      </c>
      <c r="C253" t="s">
        <v>74</v>
      </c>
      <c r="D253" t="s">
        <v>74</v>
      </c>
      <c r="E253" t="s">
        <v>74</v>
      </c>
      <c r="F253" t="s">
        <v>5139</v>
      </c>
      <c r="G253" t="s">
        <v>74</v>
      </c>
      <c r="H253" t="s">
        <v>74</v>
      </c>
      <c r="I253" t="s">
        <v>5140</v>
      </c>
      <c r="J253" t="s">
        <v>3696</v>
      </c>
      <c r="K253" t="s">
        <v>74</v>
      </c>
      <c r="L253" t="s">
        <v>74</v>
      </c>
      <c r="M253" t="s">
        <v>78</v>
      </c>
      <c r="N253" t="s">
        <v>79</v>
      </c>
      <c r="O253" t="s">
        <v>74</v>
      </c>
      <c r="P253" t="s">
        <v>74</v>
      </c>
      <c r="Q253" t="s">
        <v>74</v>
      </c>
      <c r="R253" t="s">
        <v>74</v>
      </c>
      <c r="S253" t="s">
        <v>74</v>
      </c>
      <c r="T253" t="s">
        <v>5141</v>
      </c>
      <c r="U253" t="s">
        <v>5142</v>
      </c>
      <c r="V253" t="s">
        <v>5143</v>
      </c>
      <c r="W253" t="s">
        <v>5144</v>
      </c>
      <c r="X253" t="s">
        <v>5145</v>
      </c>
      <c r="Y253" t="s">
        <v>5146</v>
      </c>
      <c r="Z253" t="s">
        <v>5147</v>
      </c>
      <c r="AA253" t="s">
        <v>5148</v>
      </c>
      <c r="AB253" t="s">
        <v>74</v>
      </c>
      <c r="AC253" t="s">
        <v>5149</v>
      </c>
      <c r="AD253" t="s">
        <v>5150</v>
      </c>
      <c r="AE253" t="s">
        <v>5151</v>
      </c>
      <c r="AF253" t="s">
        <v>74</v>
      </c>
      <c r="AG253">
        <v>65</v>
      </c>
      <c r="AH253">
        <v>1</v>
      </c>
      <c r="AI253">
        <v>3</v>
      </c>
      <c r="AJ253">
        <v>0</v>
      </c>
      <c r="AK253">
        <v>33</v>
      </c>
      <c r="AL253" t="s">
        <v>3709</v>
      </c>
      <c r="AM253" t="s">
        <v>3710</v>
      </c>
      <c r="AN253" t="s">
        <v>3711</v>
      </c>
      <c r="AO253" t="s">
        <v>3712</v>
      </c>
      <c r="AP253" t="s">
        <v>3713</v>
      </c>
      <c r="AQ253" t="s">
        <v>74</v>
      </c>
      <c r="AR253" t="s">
        <v>3714</v>
      </c>
      <c r="AS253" t="s">
        <v>3715</v>
      </c>
      <c r="AT253" t="s">
        <v>2239</v>
      </c>
      <c r="AU253">
        <v>2016</v>
      </c>
      <c r="AV253">
        <v>33</v>
      </c>
      <c r="AW253">
        <v>5</v>
      </c>
      <c r="AX253" t="s">
        <v>74</v>
      </c>
      <c r="AY253" t="s">
        <v>74</v>
      </c>
      <c r="AZ253" t="s">
        <v>74</v>
      </c>
      <c r="BA253" t="s">
        <v>74</v>
      </c>
      <c r="BB253">
        <v>599</v>
      </c>
      <c r="BC253">
        <v>613</v>
      </c>
      <c r="BD253" t="s">
        <v>74</v>
      </c>
      <c r="BE253" t="s">
        <v>5152</v>
      </c>
      <c r="BF253" t="str">
        <f>HYPERLINK("http://dx.doi.org/10.1007/s00376-015-5046-2","http://dx.doi.org/10.1007/s00376-015-5046-2")</f>
        <v>http://dx.doi.org/10.1007/s00376-015-5046-2</v>
      </c>
      <c r="BG253" t="s">
        <v>74</v>
      </c>
      <c r="BH253" t="s">
        <v>74</v>
      </c>
      <c r="BI253">
        <v>15</v>
      </c>
      <c r="BJ253" t="s">
        <v>1726</v>
      </c>
      <c r="BK253" t="s">
        <v>102</v>
      </c>
      <c r="BL253" t="s">
        <v>1726</v>
      </c>
      <c r="BM253" t="s">
        <v>3717</v>
      </c>
      <c r="BN253" t="s">
        <v>74</v>
      </c>
      <c r="BO253" t="s">
        <v>420</v>
      </c>
      <c r="BP253" t="s">
        <v>74</v>
      </c>
      <c r="BQ253" t="s">
        <v>74</v>
      </c>
      <c r="BR253" t="s">
        <v>106</v>
      </c>
      <c r="BS253" t="s">
        <v>5153</v>
      </c>
      <c r="BT253" t="str">
        <f>HYPERLINK("https%3A%2F%2Fwww.webofscience.com%2Fwos%2Fwoscc%2Ffull-record%2FWOS:000371234300007","View Full Record in Web of Science")</f>
        <v>View Full Record in Web of Science</v>
      </c>
    </row>
    <row r="254" spans="1:72" x14ac:dyDescent="0.15">
      <c r="A254" t="s">
        <v>72</v>
      </c>
      <c r="B254" t="s">
        <v>5154</v>
      </c>
      <c r="C254" t="s">
        <v>74</v>
      </c>
      <c r="D254" t="s">
        <v>74</v>
      </c>
      <c r="E254" t="s">
        <v>74</v>
      </c>
      <c r="F254" t="s">
        <v>5155</v>
      </c>
      <c r="G254" t="s">
        <v>74</v>
      </c>
      <c r="H254" t="s">
        <v>74</v>
      </c>
      <c r="I254" t="s">
        <v>5156</v>
      </c>
      <c r="J254" t="s">
        <v>5157</v>
      </c>
      <c r="K254" t="s">
        <v>74</v>
      </c>
      <c r="L254" t="s">
        <v>74</v>
      </c>
      <c r="M254" t="s">
        <v>78</v>
      </c>
      <c r="N254" t="s">
        <v>79</v>
      </c>
      <c r="O254" t="s">
        <v>74</v>
      </c>
      <c r="P254" t="s">
        <v>74</v>
      </c>
      <c r="Q254" t="s">
        <v>74</v>
      </c>
      <c r="R254" t="s">
        <v>74</v>
      </c>
      <c r="S254" t="s">
        <v>74</v>
      </c>
      <c r="T254" t="s">
        <v>74</v>
      </c>
      <c r="U254" t="s">
        <v>5158</v>
      </c>
      <c r="V254" t="s">
        <v>5159</v>
      </c>
      <c r="W254" t="s">
        <v>5160</v>
      </c>
      <c r="X254" t="s">
        <v>5161</v>
      </c>
      <c r="Y254" t="s">
        <v>5162</v>
      </c>
      <c r="Z254" t="s">
        <v>5163</v>
      </c>
      <c r="AA254" t="s">
        <v>5164</v>
      </c>
      <c r="AB254" t="s">
        <v>5165</v>
      </c>
      <c r="AC254" t="s">
        <v>5166</v>
      </c>
      <c r="AD254" t="s">
        <v>5167</v>
      </c>
      <c r="AE254" t="s">
        <v>5168</v>
      </c>
      <c r="AF254" t="s">
        <v>74</v>
      </c>
      <c r="AG254">
        <v>56</v>
      </c>
      <c r="AH254">
        <v>12</v>
      </c>
      <c r="AI254">
        <v>12</v>
      </c>
      <c r="AJ254">
        <v>0</v>
      </c>
      <c r="AK254">
        <v>13</v>
      </c>
      <c r="AL254" t="s">
        <v>5169</v>
      </c>
      <c r="AM254" t="s">
        <v>5170</v>
      </c>
      <c r="AN254" t="s">
        <v>5171</v>
      </c>
      <c r="AO254" t="s">
        <v>5172</v>
      </c>
      <c r="AP254" t="s">
        <v>5173</v>
      </c>
      <c r="AQ254" t="s">
        <v>74</v>
      </c>
      <c r="AR254" t="s">
        <v>5174</v>
      </c>
      <c r="AS254" t="s">
        <v>5175</v>
      </c>
      <c r="AT254" t="s">
        <v>2239</v>
      </c>
      <c r="AU254">
        <v>2016</v>
      </c>
      <c r="AV254">
        <v>124</v>
      </c>
      <c r="AW254">
        <v>3</v>
      </c>
      <c r="AX254" t="s">
        <v>74</v>
      </c>
      <c r="AY254" t="s">
        <v>74</v>
      </c>
      <c r="AZ254" t="s">
        <v>74</v>
      </c>
      <c r="BA254" t="s">
        <v>74</v>
      </c>
      <c r="BB254">
        <v>411</v>
      </c>
      <c r="BC254">
        <v>422</v>
      </c>
      <c r="BD254" t="s">
        <v>74</v>
      </c>
      <c r="BE254" t="s">
        <v>5176</v>
      </c>
      <c r="BF254" t="str">
        <f>HYPERLINK("http://dx.doi.org/10.1086/685507","http://dx.doi.org/10.1086/685507")</f>
        <v>http://dx.doi.org/10.1086/685507</v>
      </c>
      <c r="BG254" t="s">
        <v>74</v>
      </c>
      <c r="BH254" t="s">
        <v>74</v>
      </c>
      <c r="BI254">
        <v>12</v>
      </c>
      <c r="BJ254" t="s">
        <v>270</v>
      </c>
      <c r="BK254" t="s">
        <v>102</v>
      </c>
      <c r="BL254" t="s">
        <v>270</v>
      </c>
      <c r="BM254" t="s">
        <v>5177</v>
      </c>
      <c r="BN254" t="s">
        <v>74</v>
      </c>
      <c r="BO254" t="s">
        <v>74</v>
      </c>
      <c r="BP254" t="s">
        <v>74</v>
      </c>
      <c r="BQ254" t="s">
        <v>74</v>
      </c>
      <c r="BR254" t="s">
        <v>106</v>
      </c>
      <c r="BS254" t="s">
        <v>5178</v>
      </c>
      <c r="BT254" t="str">
        <f>HYPERLINK("https%3A%2F%2Fwww.webofscience.com%2Fwos%2Fwoscc%2Ffull-record%2FWOS:000377630900008","View Full Record in Web of Science")</f>
        <v>View Full Record in Web of Science</v>
      </c>
    </row>
    <row r="255" spans="1:72" x14ac:dyDescent="0.15">
      <c r="A255" t="s">
        <v>72</v>
      </c>
      <c r="B255" t="s">
        <v>5179</v>
      </c>
      <c r="C255" t="s">
        <v>74</v>
      </c>
      <c r="D255" t="s">
        <v>74</v>
      </c>
      <c r="E255" t="s">
        <v>74</v>
      </c>
      <c r="F255" t="s">
        <v>5180</v>
      </c>
      <c r="G255" t="s">
        <v>74</v>
      </c>
      <c r="H255" t="s">
        <v>74</v>
      </c>
      <c r="I255" t="s">
        <v>5181</v>
      </c>
      <c r="J255" t="s">
        <v>1288</v>
      </c>
      <c r="K255" t="s">
        <v>74</v>
      </c>
      <c r="L255" t="s">
        <v>74</v>
      </c>
      <c r="M255" t="s">
        <v>78</v>
      </c>
      <c r="N255" t="s">
        <v>79</v>
      </c>
      <c r="O255" t="s">
        <v>74</v>
      </c>
      <c r="P255" t="s">
        <v>74</v>
      </c>
      <c r="Q255" t="s">
        <v>74</v>
      </c>
      <c r="R255" t="s">
        <v>74</v>
      </c>
      <c r="S255" t="s">
        <v>74</v>
      </c>
      <c r="T255" t="s">
        <v>74</v>
      </c>
      <c r="U255" t="s">
        <v>5182</v>
      </c>
      <c r="V255" t="s">
        <v>5183</v>
      </c>
      <c r="W255" t="s">
        <v>5184</v>
      </c>
      <c r="X255" t="s">
        <v>5185</v>
      </c>
      <c r="Y255" t="s">
        <v>5186</v>
      </c>
      <c r="Z255" t="s">
        <v>5187</v>
      </c>
      <c r="AA255" t="s">
        <v>5188</v>
      </c>
      <c r="AB255" t="s">
        <v>5189</v>
      </c>
      <c r="AC255" t="s">
        <v>5190</v>
      </c>
      <c r="AD255" t="s">
        <v>5191</v>
      </c>
      <c r="AE255" t="s">
        <v>5192</v>
      </c>
      <c r="AF255" t="s">
        <v>74</v>
      </c>
      <c r="AG255">
        <v>47</v>
      </c>
      <c r="AH255">
        <v>68</v>
      </c>
      <c r="AI255">
        <v>80</v>
      </c>
      <c r="AJ255">
        <v>1</v>
      </c>
      <c r="AK255">
        <v>23</v>
      </c>
      <c r="AL255" t="s">
        <v>92</v>
      </c>
      <c r="AM255" t="s">
        <v>93</v>
      </c>
      <c r="AN255" t="s">
        <v>94</v>
      </c>
      <c r="AO255" t="s">
        <v>1296</v>
      </c>
      <c r="AP255" t="s">
        <v>1297</v>
      </c>
      <c r="AQ255" t="s">
        <v>74</v>
      </c>
      <c r="AR255" t="s">
        <v>1298</v>
      </c>
      <c r="AS255" t="s">
        <v>1299</v>
      </c>
      <c r="AT255" t="s">
        <v>5193</v>
      </c>
      <c r="AU255">
        <v>2016</v>
      </c>
      <c r="AV255">
        <v>43</v>
      </c>
      <c r="AW255">
        <v>8</v>
      </c>
      <c r="AX255" t="s">
        <v>74</v>
      </c>
      <c r="AY255" t="s">
        <v>74</v>
      </c>
      <c r="AZ255" t="s">
        <v>74</v>
      </c>
      <c r="BA255" t="s">
        <v>74</v>
      </c>
      <c r="BB255">
        <v>3795</v>
      </c>
      <c r="BC255">
        <v>3803</v>
      </c>
      <c r="BD255" t="s">
        <v>74</v>
      </c>
      <c r="BE255" t="s">
        <v>5194</v>
      </c>
      <c r="BF255" t="str">
        <f>HYPERLINK("http://dx.doi.org/10.1002/2016GL068356","http://dx.doi.org/10.1002/2016GL068356")</f>
        <v>http://dx.doi.org/10.1002/2016GL068356</v>
      </c>
      <c r="BG255" t="s">
        <v>74</v>
      </c>
      <c r="BH255" t="s">
        <v>74</v>
      </c>
      <c r="BI255">
        <v>9</v>
      </c>
      <c r="BJ255" t="s">
        <v>269</v>
      </c>
      <c r="BK255" t="s">
        <v>102</v>
      </c>
      <c r="BL255" t="s">
        <v>270</v>
      </c>
      <c r="BM255" t="s">
        <v>5195</v>
      </c>
      <c r="BN255" t="s">
        <v>74</v>
      </c>
      <c r="BO255" t="s">
        <v>420</v>
      </c>
      <c r="BP255" t="s">
        <v>74</v>
      </c>
      <c r="BQ255" t="s">
        <v>74</v>
      </c>
      <c r="BR255" t="s">
        <v>106</v>
      </c>
      <c r="BS255" t="s">
        <v>5196</v>
      </c>
      <c r="BT255" t="str">
        <f>HYPERLINK("https%3A%2F%2Fwww.webofscience.com%2Fwos%2Fwoscc%2Ffull-record%2FWOS:000378338800023","View Full Record in Web of Science")</f>
        <v>View Full Record in Web of Science</v>
      </c>
    </row>
    <row r="256" spans="1:72" x14ac:dyDescent="0.15">
      <c r="A256" t="s">
        <v>72</v>
      </c>
      <c r="B256" t="s">
        <v>5197</v>
      </c>
      <c r="C256" t="s">
        <v>74</v>
      </c>
      <c r="D256" t="s">
        <v>74</v>
      </c>
      <c r="E256" t="s">
        <v>74</v>
      </c>
      <c r="F256" t="s">
        <v>5198</v>
      </c>
      <c r="G256" t="s">
        <v>74</v>
      </c>
      <c r="H256" t="s">
        <v>74</v>
      </c>
      <c r="I256" t="s">
        <v>5199</v>
      </c>
      <c r="J256" t="s">
        <v>1288</v>
      </c>
      <c r="K256" t="s">
        <v>74</v>
      </c>
      <c r="L256" t="s">
        <v>74</v>
      </c>
      <c r="M256" t="s">
        <v>78</v>
      </c>
      <c r="N256" t="s">
        <v>79</v>
      </c>
      <c r="O256" t="s">
        <v>74</v>
      </c>
      <c r="P256" t="s">
        <v>74</v>
      </c>
      <c r="Q256" t="s">
        <v>74</v>
      </c>
      <c r="R256" t="s">
        <v>74</v>
      </c>
      <c r="S256" t="s">
        <v>74</v>
      </c>
      <c r="T256" t="s">
        <v>74</v>
      </c>
      <c r="U256" t="s">
        <v>5200</v>
      </c>
      <c r="V256" t="s">
        <v>5201</v>
      </c>
      <c r="W256" t="s">
        <v>5202</v>
      </c>
      <c r="X256" t="s">
        <v>5203</v>
      </c>
      <c r="Y256" t="s">
        <v>5204</v>
      </c>
      <c r="Z256" t="s">
        <v>5205</v>
      </c>
      <c r="AA256" t="s">
        <v>5206</v>
      </c>
      <c r="AB256" t="s">
        <v>5207</v>
      </c>
      <c r="AC256" t="s">
        <v>5208</v>
      </c>
      <c r="AD256" t="s">
        <v>5209</v>
      </c>
      <c r="AE256" t="s">
        <v>5210</v>
      </c>
      <c r="AF256" t="s">
        <v>74</v>
      </c>
      <c r="AG256">
        <v>28</v>
      </c>
      <c r="AH256">
        <v>14</v>
      </c>
      <c r="AI256">
        <v>15</v>
      </c>
      <c r="AJ256">
        <v>1</v>
      </c>
      <c r="AK256">
        <v>13</v>
      </c>
      <c r="AL256" t="s">
        <v>92</v>
      </c>
      <c r="AM256" t="s">
        <v>93</v>
      </c>
      <c r="AN256" t="s">
        <v>94</v>
      </c>
      <c r="AO256" t="s">
        <v>1296</v>
      </c>
      <c r="AP256" t="s">
        <v>1297</v>
      </c>
      <c r="AQ256" t="s">
        <v>74</v>
      </c>
      <c r="AR256" t="s">
        <v>1298</v>
      </c>
      <c r="AS256" t="s">
        <v>1299</v>
      </c>
      <c r="AT256" t="s">
        <v>5193</v>
      </c>
      <c r="AU256">
        <v>2016</v>
      </c>
      <c r="AV256">
        <v>43</v>
      </c>
      <c r="AW256">
        <v>8</v>
      </c>
      <c r="AX256" t="s">
        <v>74</v>
      </c>
      <c r="AY256" t="s">
        <v>74</v>
      </c>
      <c r="AZ256" t="s">
        <v>74</v>
      </c>
      <c r="BA256" t="s">
        <v>74</v>
      </c>
      <c r="BB256">
        <v>3822</v>
      </c>
      <c r="BC256">
        <v>3829</v>
      </c>
      <c r="BD256" t="s">
        <v>74</v>
      </c>
      <c r="BE256" t="s">
        <v>5211</v>
      </c>
      <c r="BF256" t="str">
        <f>HYPERLINK("http://dx.doi.org/10.1002/2016GL068474","http://dx.doi.org/10.1002/2016GL068474")</f>
        <v>http://dx.doi.org/10.1002/2016GL068474</v>
      </c>
      <c r="BG256" t="s">
        <v>74</v>
      </c>
      <c r="BH256" t="s">
        <v>74</v>
      </c>
      <c r="BI256">
        <v>8</v>
      </c>
      <c r="BJ256" t="s">
        <v>269</v>
      </c>
      <c r="BK256" t="s">
        <v>102</v>
      </c>
      <c r="BL256" t="s">
        <v>270</v>
      </c>
      <c r="BM256" t="s">
        <v>5195</v>
      </c>
      <c r="BN256" t="s">
        <v>74</v>
      </c>
      <c r="BO256" t="s">
        <v>420</v>
      </c>
      <c r="BP256" t="s">
        <v>74</v>
      </c>
      <c r="BQ256" t="s">
        <v>74</v>
      </c>
      <c r="BR256" t="s">
        <v>106</v>
      </c>
      <c r="BS256" t="s">
        <v>5212</v>
      </c>
      <c r="BT256" t="str">
        <f>HYPERLINK("https%3A%2F%2Fwww.webofscience.com%2Fwos%2Fwoscc%2Ffull-record%2FWOS:000378338800026","View Full Record in Web of Science")</f>
        <v>View Full Record in Web of Science</v>
      </c>
    </row>
    <row r="257" spans="1:72" x14ac:dyDescent="0.15">
      <c r="A257" t="s">
        <v>72</v>
      </c>
      <c r="B257" t="s">
        <v>5213</v>
      </c>
      <c r="C257" t="s">
        <v>74</v>
      </c>
      <c r="D257" t="s">
        <v>74</v>
      </c>
      <c r="E257" t="s">
        <v>74</v>
      </c>
      <c r="F257" t="s">
        <v>5214</v>
      </c>
      <c r="G257" t="s">
        <v>74</v>
      </c>
      <c r="H257" t="s">
        <v>74</v>
      </c>
      <c r="I257" t="s">
        <v>5215</v>
      </c>
      <c r="J257" t="s">
        <v>1288</v>
      </c>
      <c r="K257" t="s">
        <v>74</v>
      </c>
      <c r="L257" t="s">
        <v>74</v>
      </c>
      <c r="M257" t="s">
        <v>78</v>
      </c>
      <c r="N257" t="s">
        <v>79</v>
      </c>
      <c r="O257" t="s">
        <v>74</v>
      </c>
      <c r="P257" t="s">
        <v>74</v>
      </c>
      <c r="Q257" t="s">
        <v>74</v>
      </c>
      <c r="R257" t="s">
        <v>74</v>
      </c>
      <c r="S257" t="s">
        <v>74</v>
      </c>
      <c r="T257" t="s">
        <v>74</v>
      </c>
      <c r="U257" t="s">
        <v>5216</v>
      </c>
      <c r="V257" t="s">
        <v>5217</v>
      </c>
      <c r="W257" t="s">
        <v>5218</v>
      </c>
      <c r="X257" t="s">
        <v>5219</v>
      </c>
      <c r="Y257" t="s">
        <v>5220</v>
      </c>
      <c r="Z257" t="s">
        <v>5221</v>
      </c>
      <c r="AA257" t="s">
        <v>5222</v>
      </c>
      <c r="AB257" t="s">
        <v>5223</v>
      </c>
      <c r="AC257" t="s">
        <v>5224</v>
      </c>
      <c r="AD257" t="s">
        <v>5225</v>
      </c>
      <c r="AE257" t="s">
        <v>5226</v>
      </c>
      <c r="AF257" t="s">
        <v>74</v>
      </c>
      <c r="AG257">
        <v>31</v>
      </c>
      <c r="AH257">
        <v>39</v>
      </c>
      <c r="AI257">
        <v>42</v>
      </c>
      <c r="AJ257">
        <v>1</v>
      </c>
      <c r="AK257">
        <v>23</v>
      </c>
      <c r="AL257" t="s">
        <v>92</v>
      </c>
      <c r="AM257" t="s">
        <v>93</v>
      </c>
      <c r="AN257" t="s">
        <v>94</v>
      </c>
      <c r="AO257" t="s">
        <v>1296</v>
      </c>
      <c r="AP257" t="s">
        <v>1297</v>
      </c>
      <c r="AQ257" t="s">
        <v>74</v>
      </c>
      <c r="AR257" t="s">
        <v>1298</v>
      </c>
      <c r="AS257" t="s">
        <v>1299</v>
      </c>
      <c r="AT257" t="s">
        <v>5193</v>
      </c>
      <c r="AU257">
        <v>2016</v>
      </c>
      <c r="AV257">
        <v>43</v>
      </c>
      <c r="AW257">
        <v>8</v>
      </c>
      <c r="AX257" t="s">
        <v>74</v>
      </c>
      <c r="AY257" t="s">
        <v>74</v>
      </c>
      <c r="AZ257" t="s">
        <v>74</v>
      </c>
      <c r="BA257" t="s">
        <v>74</v>
      </c>
      <c r="BB257">
        <v>3889</v>
      </c>
      <c r="BC257">
        <v>3896</v>
      </c>
      <c r="BD257" t="s">
        <v>74</v>
      </c>
      <c r="BE257" t="s">
        <v>5227</v>
      </c>
      <c r="BF257" t="str">
        <f>HYPERLINK("http://dx.doi.org/10.1002/2015GL066626","http://dx.doi.org/10.1002/2015GL066626")</f>
        <v>http://dx.doi.org/10.1002/2015GL066626</v>
      </c>
      <c r="BG257" t="s">
        <v>74</v>
      </c>
      <c r="BH257" t="s">
        <v>74</v>
      </c>
      <c r="BI257">
        <v>8</v>
      </c>
      <c r="BJ257" t="s">
        <v>269</v>
      </c>
      <c r="BK257" t="s">
        <v>102</v>
      </c>
      <c r="BL257" t="s">
        <v>270</v>
      </c>
      <c r="BM257" t="s">
        <v>5195</v>
      </c>
      <c r="BN257" t="s">
        <v>74</v>
      </c>
      <c r="BO257" t="s">
        <v>420</v>
      </c>
      <c r="BP257" t="s">
        <v>74</v>
      </c>
      <c r="BQ257" t="s">
        <v>74</v>
      </c>
      <c r="BR257" t="s">
        <v>106</v>
      </c>
      <c r="BS257" t="s">
        <v>5228</v>
      </c>
      <c r="BT257" t="str">
        <f>HYPERLINK("https%3A%2F%2Fwww.webofscience.com%2Fwos%2Fwoscc%2Ffull-record%2FWOS:000378338800034","View Full Record in Web of Science")</f>
        <v>View Full Record in Web of Science</v>
      </c>
    </row>
    <row r="258" spans="1:72" x14ac:dyDescent="0.15">
      <c r="A258" t="s">
        <v>72</v>
      </c>
      <c r="B258" t="s">
        <v>5229</v>
      </c>
      <c r="C258" t="s">
        <v>74</v>
      </c>
      <c r="D258" t="s">
        <v>74</v>
      </c>
      <c r="E258" t="s">
        <v>74</v>
      </c>
      <c r="F258" t="s">
        <v>5230</v>
      </c>
      <c r="G258" t="s">
        <v>74</v>
      </c>
      <c r="H258" t="s">
        <v>74</v>
      </c>
      <c r="I258" t="s">
        <v>5231</v>
      </c>
      <c r="J258" t="s">
        <v>1708</v>
      </c>
      <c r="K258" t="s">
        <v>74</v>
      </c>
      <c r="L258" t="s">
        <v>74</v>
      </c>
      <c r="M258" t="s">
        <v>78</v>
      </c>
      <c r="N258" t="s">
        <v>79</v>
      </c>
      <c r="O258" t="s">
        <v>74</v>
      </c>
      <c r="P258" t="s">
        <v>74</v>
      </c>
      <c r="Q258" t="s">
        <v>74</v>
      </c>
      <c r="R258" t="s">
        <v>74</v>
      </c>
      <c r="S258" t="s">
        <v>74</v>
      </c>
      <c r="T258" t="s">
        <v>74</v>
      </c>
      <c r="U258" t="s">
        <v>5232</v>
      </c>
      <c r="V258" t="s">
        <v>5233</v>
      </c>
      <c r="W258" t="s">
        <v>5234</v>
      </c>
      <c r="X258" t="s">
        <v>5235</v>
      </c>
      <c r="Y258" t="s">
        <v>5236</v>
      </c>
      <c r="Z258" t="s">
        <v>5237</v>
      </c>
      <c r="AA258" t="s">
        <v>5238</v>
      </c>
      <c r="AB258" t="s">
        <v>5239</v>
      </c>
      <c r="AC258" t="s">
        <v>5240</v>
      </c>
      <c r="AD258" t="s">
        <v>5241</v>
      </c>
      <c r="AE258" t="s">
        <v>5242</v>
      </c>
      <c r="AF258" t="s">
        <v>74</v>
      </c>
      <c r="AG258">
        <v>41</v>
      </c>
      <c r="AH258">
        <v>8</v>
      </c>
      <c r="AI258">
        <v>9</v>
      </c>
      <c r="AJ258">
        <v>0</v>
      </c>
      <c r="AK258">
        <v>11</v>
      </c>
      <c r="AL258" t="s">
        <v>92</v>
      </c>
      <c r="AM258" t="s">
        <v>93</v>
      </c>
      <c r="AN258" t="s">
        <v>94</v>
      </c>
      <c r="AO258" t="s">
        <v>1720</v>
      </c>
      <c r="AP258" t="s">
        <v>1721</v>
      </c>
      <c r="AQ258" t="s">
        <v>74</v>
      </c>
      <c r="AR258" t="s">
        <v>1722</v>
      </c>
      <c r="AS258" t="s">
        <v>1723</v>
      </c>
      <c r="AT258" t="s">
        <v>5243</v>
      </c>
      <c r="AU258">
        <v>2016</v>
      </c>
      <c r="AV258">
        <v>121</v>
      </c>
      <c r="AW258">
        <v>8</v>
      </c>
      <c r="AX258" t="s">
        <v>74</v>
      </c>
      <c r="AY258" t="s">
        <v>74</v>
      </c>
      <c r="AZ258" t="s">
        <v>74</v>
      </c>
      <c r="BA258" t="s">
        <v>74</v>
      </c>
      <c r="BB258">
        <v>3776</v>
      </c>
      <c r="BC258">
        <v>3789</v>
      </c>
      <c r="BD258" t="s">
        <v>74</v>
      </c>
      <c r="BE258" t="s">
        <v>5244</v>
      </c>
      <c r="BF258" t="str">
        <f>HYPERLINK("http://dx.doi.org/10.1002/2015JD024254","http://dx.doi.org/10.1002/2015JD024254")</f>
        <v>http://dx.doi.org/10.1002/2015JD024254</v>
      </c>
      <c r="BG258" t="s">
        <v>74</v>
      </c>
      <c r="BH258" t="s">
        <v>74</v>
      </c>
      <c r="BI258">
        <v>14</v>
      </c>
      <c r="BJ258" t="s">
        <v>1726</v>
      </c>
      <c r="BK258" t="s">
        <v>102</v>
      </c>
      <c r="BL258" t="s">
        <v>1726</v>
      </c>
      <c r="BM258" t="s">
        <v>5245</v>
      </c>
      <c r="BN258" t="s">
        <v>74</v>
      </c>
      <c r="BO258" t="s">
        <v>420</v>
      </c>
      <c r="BP258" t="s">
        <v>74</v>
      </c>
      <c r="BQ258" t="s">
        <v>74</v>
      </c>
      <c r="BR258" t="s">
        <v>106</v>
      </c>
      <c r="BS258" t="s">
        <v>5246</v>
      </c>
      <c r="BT258" t="str">
        <f>HYPERLINK("https%3A%2F%2Fwww.webofscience.com%2Fwos%2Fwoscc%2Ffull-record%2FWOS:000378318100003","View Full Record in Web of Science")</f>
        <v>View Full Record in Web of Science</v>
      </c>
    </row>
    <row r="259" spans="1:72" x14ac:dyDescent="0.15">
      <c r="A259" t="s">
        <v>72</v>
      </c>
      <c r="B259" t="s">
        <v>5247</v>
      </c>
      <c r="C259" t="s">
        <v>74</v>
      </c>
      <c r="D259" t="s">
        <v>74</v>
      </c>
      <c r="E259" t="s">
        <v>74</v>
      </c>
      <c r="F259" t="s">
        <v>5248</v>
      </c>
      <c r="G259" t="s">
        <v>74</v>
      </c>
      <c r="H259" t="s">
        <v>74</v>
      </c>
      <c r="I259" t="s">
        <v>5249</v>
      </c>
      <c r="J259" t="s">
        <v>5250</v>
      </c>
      <c r="K259" t="s">
        <v>74</v>
      </c>
      <c r="L259" t="s">
        <v>74</v>
      </c>
      <c r="M259" t="s">
        <v>78</v>
      </c>
      <c r="N259" t="s">
        <v>79</v>
      </c>
      <c r="O259" t="s">
        <v>74</v>
      </c>
      <c r="P259" t="s">
        <v>74</v>
      </c>
      <c r="Q259" t="s">
        <v>74</v>
      </c>
      <c r="R259" t="s">
        <v>74</v>
      </c>
      <c r="S259" t="s">
        <v>74</v>
      </c>
      <c r="T259" t="s">
        <v>5251</v>
      </c>
      <c r="U259" t="s">
        <v>5252</v>
      </c>
      <c r="V259" t="s">
        <v>5253</v>
      </c>
      <c r="W259" t="s">
        <v>5254</v>
      </c>
      <c r="X259" t="s">
        <v>5255</v>
      </c>
      <c r="Y259" t="s">
        <v>5256</v>
      </c>
      <c r="Z259" t="s">
        <v>5257</v>
      </c>
      <c r="AA259" t="s">
        <v>5258</v>
      </c>
      <c r="AB259" t="s">
        <v>5259</v>
      </c>
      <c r="AC259" t="s">
        <v>5260</v>
      </c>
      <c r="AD259" t="s">
        <v>5261</v>
      </c>
      <c r="AE259" t="s">
        <v>5262</v>
      </c>
      <c r="AF259" t="s">
        <v>74</v>
      </c>
      <c r="AG259">
        <v>73</v>
      </c>
      <c r="AH259">
        <v>86</v>
      </c>
      <c r="AI259">
        <v>89</v>
      </c>
      <c r="AJ259">
        <v>3</v>
      </c>
      <c r="AK259">
        <v>112</v>
      </c>
      <c r="AL259" t="s">
        <v>2709</v>
      </c>
      <c r="AM259" t="s">
        <v>773</v>
      </c>
      <c r="AN259" t="s">
        <v>2710</v>
      </c>
      <c r="AO259" t="s">
        <v>5263</v>
      </c>
      <c r="AP259" t="s">
        <v>5264</v>
      </c>
      <c r="AQ259" t="s">
        <v>74</v>
      </c>
      <c r="AR259" t="s">
        <v>5265</v>
      </c>
      <c r="AS259" t="s">
        <v>5266</v>
      </c>
      <c r="AT259" t="s">
        <v>5243</v>
      </c>
      <c r="AU259">
        <v>2016</v>
      </c>
      <c r="AV259">
        <v>283</v>
      </c>
      <c r="AW259">
        <v>1829</v>
      </c>
      <c r="AX259" t="s">
        <v>74</v>
      </c>
      <c r="AY259" t="s">
        <v>74</v>
      </c>
      <c r="AZ259" t="s">
        <v>74</v>
      </c>
      <c r="BA259" t="s">
        <v>74</v>
      </c>
      <c r="BB259" t="s">
        <v>74</v>
      </c>
      <c r="BC259" t="s">
        <v>74</v>
      </c>
      <c r="BD259">
        <v>20152664</v>
      </c>
      <c r="BE259" t="s">
        <v>5267</v>
      </c>
      <c r="BF259" t="str">
        <f>HYPERLINK("http://dx.doi.org/10.1098/rspb.2015.2664","http://dx.doi.org/10.1098/rspb.2015.2664")</f>
        <v>http://dx.doi.org/10.1098/rspb.2015.2664</v>
      </c>
      <c r="BG259" t="s">
        <v>74</v>
      </c>
      <c r="BH259" t="s">
        <v>74</v>
      </c>
      <c r="BI259">
        <v>10</v>
      </c>
      <c r="BJ259" t="s">
        <v>5268</v>
      </c>
      <c r="BK259" t="s">
        <v>102</v>
      </c>
      <c r="BL259" t="s">
        <v>5269</v>
      </c>
      <c r="BM259" t="s">
        <v>5270</v>
      </c>
      <c r="BN259">
        <v>27122551</v>
      </c>
      <c r="BO259" t="s">
        <v>5271</v>
      </c>
      <c r="BP259" t="s">
        <v>74</v>
      </c>
      <c r="BQ259" t="s">
        <v>74</v>
      </c>
      <c r="BR259" t="s">
        <v>106</v>
      </c>
      <c r="BS259" t="s">
        <v>5272</v>
      </c>
      <c r="BT259" t="str">
        <f>HYPERLINK("https%3A%2F%2Fwww.webofscience.com%2Fwos%2Fwoscc%2Ffull-record%2FWOS:000376158600002","View Full Record in Web of Science")</f>
        <v>View Full Record in Web of Science</v>
      </c>
    </row>
    <row r="260" spans="1:72" x14ac:dyDescent="0.15">
      <c r="A260" t="s">
        <v>72</v>
      </c>
      <c r="B260" t="s">
        <v>5273</v>
      </c>
      <c r="C260" t="s">
        <v>74</v>
      </c>
      <c r="D260" t="s">
        <v>74</v>
      </c>
      <c r="E260" t="s">
        <v>74</v>
      </c>
      <c r="F260" t="s">
        <v>5274</v>
      </c>
      <c r="G260" t="s">
        <v>74</v>
      </c>
      <c r="H260" t="s">
        <v>74</v>
      </c>
      <c r="I260" t="s">
        <v>5275</v>
      </c>
      <c r="J260" t="s">
        <v>1196</v>
      </c>
      <c r="K260" t="s">
        <v>74</v>
      </c>
      <c r="L260" t="s">
        <v>74</v>
      </c>
      <c r="M260" t="s">
        <v>78</v>
      </c>
      <c r="N260" t="s">
        <v>79</v>
      </c>
      <c r="O260" t="s">
        <v>74</v>
      </c>
      <c r="P260" t="s">
        <v>74</v>
      </c>
      <c r="Q260" t="s">
        <v>74</v>
      </c>
      <c r="R260" t="s">
        <v>74</v>
      </c>
      <c r="S260" t="s">
        <v>74</v>
      </c>
      <c r="T260" t="s">
        <v>74</v>
      </c>
      <c r="U260" t="s">
        <v>5276</v>
      </c>
      <c r="V260" t="s">
        <v>5277</v>
      </c>
      <c r="W260" t="s">
        <v>5278</v>
      </c>
      <c r="X260" t="s">
        <v>5279</v>
      </c>
      <c r="Y260" t="s">
        <v>5280</v>
      </c>
      <c r="Z260" t="s">
        <v>5281</v>
      </c>
      <c r="AA260" t="s">
        <v>5282</v>
      </c>
      <c r="AB260" t="s">
        <v>5283</v>
      </c>
      <c r="AC260" t="s">
        <v>5284</v>
      </c>
      <c r="AD260" t="s">
        <v>5285</v>
      </c>
      <c r="AE260" t="s">
        <v>5286</v>
      </c>
      <c r="AF260" t="s">
        <v>74</v>
      </c>
      <c r="AG260">
        <v>72</v>
      </c>
      <c r="AH260">
        <v>7</v>
      </c>
      <c r="AI260">
        <v>7</v>
      </c>
      <c r="AJ260">
        <v>2</v>
      </c>
      <c r="AK260">
        <v>21</v>
      </c>
      <c r="AL260" t="s">
        <v>1207</v>
      </c>
      <c r="AM260" t="s">
        <v>1208</v>
      </c>
      <c r="AN260" t="s">
        <v>1209</v>
      </c>
      <c r="AO260" t="s">
        <v>1210</v>
      </c>
      <c r="AP260" t="s">
        <v>74</v>
      </c>
      <c r="AQ260" t="s">
        <v>74</v>
      </c>
      <c r="AR260" t="s">
        <v>1196</v>
      </c>
      <c r="AS260" t="s">
        <v>1211</v>
      </c>
      <c r="AT260" t="s">
        <v>5287</v>
      </c>
      <c r="AU260">
        <v>2016</v>
      </c>
      <c r="AV260">
        <v>11</v>
      </c>
      <c r="AW260">
        <v>4</v>
      </c>
      <c r="AX260" t="s">
        <v>74</v>
      </c>
      <c r="AY260" t="s">
        <v>74</v>
      </c>
      <c r="AZ260" t="s">
        <v>74</v>
      </c>
      <c r="BA260" t="s">
        <v>74</v>
      </c>
      <c r="BB260" t="s">
        <v>74</v>
      </c>
      <c r="BC260" t="s">
        <v>74</v>
      </c>
      <c r="BD260" t="s">
        <v>5288</v>
      </c>
      <c r="BE260" t="s">
        <v>5289</v>
      </c>
      <c r="BF260" t="str">
        <f>HYPERLINK("http://dx.doi.org/10.1371/journal.pone.0153915","http://dx.doi.org/10.1371/journal.pone.0153915")</f>
        <v>http://dx.doi.org/10.1371/journal.pone.0153915</v>
      </c>
      <c r="BG260" t="s">
        <v>74</v>
      </c>
      <c r="BH260" t="s">
        <v>74</v>
      </c>
      <c r="BI260">
        <v>21</v>
      </c>
      <c r="BJ260" t="s">
        <v>753</v>
      </c>
      <c r="BK260" t="s">
        <v>102</v>
      </c>
      <c r="BL260" t="s">
        <v>754</v>
      </c>
      <c r="BM260" t="s">
        <v>5290</v>
      </c>
      <c r="BN260">
        <v>27115739</v>
      </c>
      <c r="BO260" t="s">
        <v>993</v>
      </c>
      <c r="BP260" t="s">
        <v>74</v>
      </c>
      <c r="BQ260" t="s">
        <v>74</v>
      </c>
      <c r="BR260" t="s">
        <v>106</v>
      </c>
      <c r="BS260" t="s">
        <v>5291</v>
      </c>
      <c r="BT260" t="str">
        <f>HYPERLINK("https%3A%2F%2Fwww.webofscience.com%2Fwos%2Fwoscc%2Ffull-record%2FWOS:000374973600034","View Full Record in Web of Science")</f>
        <v>View Full Record in Web of Science</v>
      </c>
    </row>
    <row r="261" spans="1:72" x14ac:dyDescent="0.15">
      <c r="A261" t="s">
        <v>72</v>
      </c>
      <c r="B261" t="s">
        <v>5292</v>
      </c>
      <c r="C261" t="s">
        <v>74</v>
      </c>
      <c r="D261" t="s">
        <v>74</v>
      </c>
      <c r="E261" t="s">
        <v>74</v>
      </c>
      <c r="F261" t="s">
        <v>5293</v>
      </c>
      <c r="G261" t="s">
        <v>74</v>
      </c>
      <c r="H261" t="s">
        <v>74</v>
      </c>
      <c r="I261" t="s">
        <v>5294</v>
      </c>
      <c r="J261" t="s">
        <v>1417</v>
      </c>
      <c r="K261" t="s">
        <v>74</v>
      </c>
      <c r="L261" t="s">
        <v>74</v>
      </c>
      <c r="M261" t="s">
        <v>78</v>
      </c>
      <c r="N261" t="s">
        <v>1418</v>
      </c>
      <c r="O261" t="s">
        <v>74</v>
      </c>
      <c r="P261" t="s">
        <v>74</v>
      </c>
      <c r="Q261" t="s">
        <v>74</v>
      </c>
      <c r="R261" t="s">
        <v>74</v>
      </c>
      <c r="S261" t="s">
        <v>74</v>
      </c>
      <c r="T261" t="s">
        <v>74</v>
      </c>
      <c r="U261" t="s">
        <v>5295</v>
      </c>
      <c r="V261" t="s">
        <v>74</v>
      </c>
      <c r="W261" t="s">
        <v>5296</v>
      </c>
      <c r="X261" t="s">
        <v>145</v>
      </c>
      <c r="Y261" t="s">
        <v>5297</v>
      </c>
      <c r="Z261" t="s">
        <v>5298</v>
      </c>
      <c r="AA261" t="s">
        <v>74</v>
      </c>
      <c r="AB261" t="s">
        <v>74</v>
      </c>
      <c r="AC261" t="s">
        <v>332</v>
      </c>
      <c r="AD261" t="s">
        <v>333</v>
      </c>
      <c r="AE261" t="s">
        <v>74</v>
      </c>
      <c r="AF261" t="s">
        <v>74</v>
      </c>
      <c r="AG261">
        <v>10</v>
      </c>
      <c r="AH261">
        <v>5</v>
      </c>
      <c r="AI261">
        <v>6</v>
      </c>
      <c r="AJ261">
        <v>1</v>
      </c>
      <c r="AK261">
        <v>6</v>
      </c>
      <c r="AL261" t="s">
        <v>1426</v>
      </c>
      <c r="AM261" t="s">
        <v>1427</v>
      </c>
      <c r="AN261" t="s">
        <v>1428</v>
      </c>
      <c r="AO261" t="s">
        <v>1429</v>
      </c>
      <c r="AP261" t="s">
        <v>1430</v>
      </c>
      <c r="AQ261" t="s">
        <v>74</v>
      </c>
      <c r="AR261" t="s">
        <v>1431</v>
      </c>
      <c r="AS261" t="s">
        <v>1432</v>
      </c>
      <c r="AT261" t="s">
        <v>5299</v>
      </c>
      <c r="AU261">
        <v>2016</v>
      </c>
      <c r="AV261">
        <v>26</v>
      </c>
      <c r="AW261">
        <v>8</v>
      </c>
      <c r="AX261" t="s">
        <v>74</v>
      </c>
      <c r="AY261" t="s">
        <v>74</v>
      </c>
      <c r="AZ261" t="s">
        <v>74</v>
      </c>
      <c r="BA261" t="s">
        <v>74</v>
      </c>
      <c r="BB261" t="s">
        <v>5300</v>
      </c>
      <c r="BC261" t="s">
        <v>5301</v>
      </c>
      <c r="BD261" t="s">
        <v>74</v>
      </c>
      <c r="BE261" t="s">
        <v>5302</v>
      </c>
      <c r="BF261" t="str">
        <f>HYPERLINK("http://dx.doi.org/10.1016/j.cub.2016.03.012","http://dx.doi.org/10.1016/j.cub.2016.03.012")</f>
        <v>http://dx.doi.org/10.1016/j.cub.2016.03.012</v>
      </c>
      <c r="BG261" t="s">
        <v>74</v>
      </c>
      <c r="BH261" t="s">
        <v>74</v>
      </c>
      <c r="BI261">
        <v>2</v>
      </c>
      <c r="BJ261" t="s">
        <v>1437</v>
      </c>
      <c r="BK261" t="s">
        <v>102</v>
      </c>
      <c r="BL261" t="s">
        <v>1438</v>
      </c>
      <c r="BM261" t="s">
        <v>5303</v>
      </c>
      <c r="BN261">
        <v>27115685</v>
      </c>
      <c r="BO261" t="s">
        <v>222</v>
      </c>
      <c r="BP261" t="s">
        <v>74</v>
      </c>
      <c r="BQ261" t="s">
        <v>74</v>
      </c>
      <c r="BR261" t="s">
        <v>106</v>
      </c>
      <c r="BS261" t="s">
        <v>5304</v>
      </c>
      <c r="BT261" t="str">
        <f>HYPERLINK("https%3A%2F%2Fwww.webofscience.com%2Fwos%2Fwoscc%2Ffull-record%2FWOS:000375339700006","View Full Record in Web of Science")</f>
        <v>View Full Record in Web of Science</v>
      </c>
    </row>
    <row r="262" spans="1:72" x14ac:dyDescent="0.15">
      <c r="A262" t="s">
        <v>72</v>
      </c>
      <c r="B262" t="s">
        <v>5305</v>
      </c>
      <c r="C262" t="s">
        <v>74</v>
      </c>
      <c r="D262" t="s">
        <v>74</v>
      </c>
      <c r="E262" t="s">
        <v>74</v>
      </c>
      <c r="F262" t="s">
        <v>5306</v>
      </c>
      <c r="G262" t="s">
        <v>74</v>
      </c>
      <c r="H262" t="s">
        <v>5307</v>
      </c>
      <c r="I262" t="s">
        <v>5308</v>
      </c>
      <c r="J262" t="s">
        <v>5309</v>
      </c>
      <c r="K262" t="s">
        <v>74</v>
      </c>
      <c r="L262" t="s">
        <v>74</v>
      </c>
      <c r="M262" t="s">
        <v>78</v>
      </c>
      <c r="N262" t="s">
        <v>79</v>
      </c>
      <c r="O262" t="s">
        <v>74</v>
      </c>
      <c r="P262" t="s">
        <v>74</v>
      </c>
      <c r="Q262" t="s">
        <v>74</v>
      </c>
      <c r="R262" t="s">
        <v>74</v>
      </c>
      <c r="S262" t="s">
        <v>74</v>
      </c>
      <c r="T262" t="s">
        <v>74</v>
      </c>
      <c r="U262" t="s">
        <v>5310</v>
      </c>
      <c r="V262" t="s">
        <v>5311</v>
      </c>
      <c r="W262" t="s">
        <v>5312</v>
      </c>
      <c r="X262" t="s">
        <v>5313</v>
      </c>
      <c r="Y262" t="s">
        <v>5314</v>
      </c>
      <c r="Z262" t="s">
        <v>5315</v>
      </c>
      <c r="AA262" t="s">
        <v>5316</v>
      </c>
      <c r="AB262" t="s">
        <v>5317</v>
      </c>
      <c r="AC262" t="s">
        <v>5318</v>
      </c>
      <c r="AD262" t="s">
        <v>5319</v>
      </c>
      <c r="AE262" t="s">
        <v>5320</v>
      </c>
      <c r="AF262" t="s">
        <v>74</v>
      </c>
      <c r="AG262">
        <v>50</v>
      </c>
      <c r="AH262">
        <v>111</v>
      </c>
      <c r="AI262">
        <v>126</v>
      </c>
      <c r="AJ262">
        <v>0</v>
      </c>
      <c r="AK262">
        <v>6</v>
      </c>
      <c r="AL262" t="s">
        <v>5321</v>
      </c>
      <c r="AM262" t="s">
        <v>5322</v>
      </c>
      <c r="AN262" t="s">
        <v>5323</v>
      </c>
      <c r="AO262" t="s">
        <v>5324</v>
      </c>
      <c r="AP262" t="s">
        <v>5325</v>
      </c>
      <c r="AQ262" t="s">
        <v>74</v>
      </c>
      <c r="AR262" t="s">
        <v>5326</v>
      </c>
      <c r="AS262" t="s">
        <v>5327</v>
      </c>
      <c r="AT262" t="s">
        <v>5299</v>
      </c>
      <c r="AU262">
        <v>2016</v>
      </c>
      <c r="AV262">
        <v>93</v>
      </c>
      <c r="AW262">
        <v>8</v>
      </c>
      <c r="AX262" t="s">
        <v>74</v>
      </c>
      <c r="AY262" t="s">
        <v>74</v>
      </c>
      <c r="AZ262" t="s">
        <v>74</v>
      </c>
      <c r="BA262" t="s">
        <v>74</v>
      </c>
      <c r="BB262" t="s">
        <v>74</v>
      </c>
      <c r="BC262" t="s">
        <v>74</v>
      </c>
      <c r="BD262">
        <v>82003</v>
      </c>
      <c r="BE262" t="s">
        <v>5328</v>
      </c>
      <c r="BF262" t="str">
        <f>HYPERLINK("http://dx.doi.org/10.1103/PhysRevD.93.082003","http://dx.doi.org/10.1103/PhysRevD.93.082003")</f>
        <v>http://dx.doi.org/10.1103/PhysRevD.93.082003</v>
      </c>
      <c r="BG262" t="s">
        <v>74</v>
      </c>
      <c r="BH262" t="s">
        <v>74</v>
      </c>
      <c r="BI262">
        <v>26</v>
      </c>
      <c r="BJ262" t="s">
        <v>5329</v>
      </c>
      <c r="BK262" t="s">
        <v>102</v>
      </c>
      <c r="BL262" t="s">
        <v>5330</v>
      </c>
      <c r="BM262" t="s">
        <v>5331</v>
      </c>
      <c r="BN262" t="s">
        <v>74</v>
      </c>
      <c r="BO262" t="s">
        <v>4525</v>
      </c>
      <c r="BP262" t="s">
        <v>74</v>
      </c>
      <c r="BQ262" t="s">
        <v>74</v>
      </c>
      <c r="BR262" t="s">
        <v>106</v>
      </c>
      <c r="BS262" t="s">
        <v>5332</v>
      </c>
      <c r="BT262" t="str">
        <f>HYPERLINK("https%3A%2F%2Fwww.webofscience.com%2Fwos%2Fwoscc%2Ffull-record%2FWOS:000374958900001","View Full Record in Web of Science")</f>
        <v>View Full Record in Web of Science</v>
      </c>
    </row>
    <row r="263" spans="1:72" x14ac:dyDescent="0.15">
      <c r="A263" t="s">
        <v>72</v>
      </c>
      <c r="B263" t="s">
        <v>5333</v>
      </c>
      <c r="C263" t="s">
        <v>74</v>
      </c>
      <c r="D263" t="s">
        <v>74</v>
      </c>
      <c r="E263" t="s">
        <v>74</v>
      </c>
      <c r="F263" t="s">
        <v>5334</v>
      </c>
      <c r="G263" t="s">
        <v>74</v>
      </c>
      <c r="H263" t="s">
        <v>74</v>
      </c>
      <c r="I263" t="s">
        <v>5335</v>
      </c>
      <c r="J263" t="s">
        <v>1387</v>
      </c>
      <c r="K263" t="s">
        <v>74</v>
      </c>
      <c r="L263" t="s">
        <v>74</v>
      </c>
      <c r="M263" t="s">
        <v>78</v>
      </c>
      <c r="N263" t="s">
        <v>79</v>
      </c>
      <c r="O263" t="s">
        <v>74</v>
      </c>
      <c r="P263" t="s">
        <v>74</v>
      </c>
      <c r="Q263" t="s">
        <v>74</v>
      </c>
      <c r="R263" t="s">
        <v>74</v>
      </c>
      <c r="S263" t="s">
        <v>74</v>
      </c>
      <c r="T263" t="s">
        <v>5336</v>
      </c>
      <c r="U263" t="s">
        <v>5337</v>
      </c>
      <c r="V263" t="s">
        <v>5338</v>
      </c>
      <c r="W263" t="s">
        <v>5339</v>
      </c>
      <c r="X263" t="s">
        <v>5340</v>
      </c>
      <c r="Y263" t="s">
        <v>5341</v>
      </c>
      <c r="Z263" t="s">
        <v>5342</v>
      </c>
      <c r="AA263" t="s">
        <v>5343</v>
      </c>
      <c r="AB263" t="s">
        <v>5344</v>
      </c>
      <c r="AC263" t="s">
        <v>5345</v>
      </c>
      <c r="AD263" t="s">
        <v>5346</v>
      </c>
      <c r="AE263" t="s">
        <v>5347</v>
      </c>
      <c r="AF263" t="s">
        <v>74</v>
      </c>
      <c r="AG263">
        <v>82</v>
      </c>
      <c r="AH263">
        <v>13</v>
      </c>
      <c r="AI263">
        <v>15</v>
      </c>
      <c r="AJ263">
        <v>1</v>
      </c>
      <c r="AK263">
        <v>54</v>
      </c>
      <c r="AL263" t="s">
        <v>1400</v>
      </c>
      <c r="AM263" t="s">
        <v>1401</v>
      </c>
      <c r="AN263" t="s">
        <v>1402</v>
      </c>
      <c r="AO263" t="s">
        <v>1403</v>
      </c>
      <c r="AP263" t="s">
        <v>1404</v>
      </c>
      <c r="AQ263" t="s">
        <v>74</v>
      </c>
      <c r="AR263" t="s">
        <v>1405</v>
      </c>
      <c r="AS263" t="s">
        <v>1406</v>
      </c>
      <c r="AT263" t="s">
        <v>5348</v>
      </c>
      <c r="AU263">
        <v>2016</v>
      </c>
      <c r="AV263">
        <v>548</v>
      </c>
      <c r="AW263" t="s">
        <v>74</v>
      </c>
      <c r="AX263" t="s">
        <v>74</v>
      </c>
      <c r="AY263" t="s">
        <v>74</v>
      </c>
      <c r="AZ263" t="s">
        <v>74</v>
      </c>
      <c r="BA263" t="s">
        <v>74</v>
      </c>
      <c r="BB263">
        <v>249</v>
      </c>
      <c r="BC263">
        <v>262</v>
      </c>
      <c r="BD263" t="s">
        <v>74</v>
      </c>
      <c r="BE263" t="s">
        <v>5349</v>
      </c>
      <c r="BF263" t="str">
        <f>HYPERLINK("http://dx.doi.org/10.3354/meps11689","http://dx.doi.org/10.3354/meps11689")</f>
        <v>http://dx.doi.org/10.3354/meps11689</v>
      </c>
      <c r="BG263" t="s">
        <v>74</v>
      </c>
      <c r="BH263" t="s">
        <v>74</v>
      </c>
      <c r="BI263">
        <v>14</v>
      </c>
      <c r="BJ263" t="s">
        <v>1409</v>
      </c>
      <c r="BK263" t="s">
        <v>102</v>
      </c>
      <c r="BL263" t="s">
        <v>1410</v>
      </c>
      <c r="BM263" t="s">
        <v>5350</v>
      </c>
      <c r="BN263" t="s">
        <v>74</v>
      </c>
      <c r="BO263" t="s">
        <v>74</v>
      </c>
      <c r="BP263" t="s">
        <v>74</v>
      </c>
      <c r="BQ263" t="s">
        <v>74</v>
      </c>
      <c r="BR263" t="s">
        <v>106</v>
      </c>
      <c r="BS263" t="s">
        <v>5351</v>
      </c>
      <c r="BT263" t="str">
        <f>HYPERLINK("https%3A%2F%2Fwww.webofscience.com%2Fwos%2Fwoscc%2Ffull-record%2FWOS:000376375000018","View Full Record in Web of Science")</f>
        <v>View Full Record in Web of Science</v>
      </c>
    </row>
    <row r="264" spans="1:72" x14ac:dyDescent="0.15">
      <c r="A264" t="s">
        <v>72</v>
      </c>
      <c r="B264" t="s">
        <v>5352</v>
      </c>
      <c r="C264" t="s">
        <v>74</v>
      </c>
      <c r="D264" t="s">
        <v>74</v>
      </c>
      <c r="E264" t="s">
        <v>74</v>
      </c>
      <c r="F264" t="s">
        <v>5353</v>
      </c>
      <c r="G264" t="s">
        <v>74</v>
      </c>
      <c r="H264" t="s">
        <v>74</v>
      </c>
      <c r="I264" t="s">
        <v>5354</v>
      </c>
      <c r="J264" t="s">
        <v>5355</v>
      </c>
      <c r="K264" t="s">
        <v>74</v>
      </c>
      <c r="L264" t="s">
        <v>74</v>
      </c>
      <c r="M264" t="s">
        <v>78</v>
      </c>
      <c r="N264" t="s">
        <v>79</v>
      </c>
      <c r="O264" t="s">
        <v>74</v>
      </c>
      <c r="P264" t="s">
        <v>74</v>
      </c>
      <c r="Q264" t="s">
        <v>74</v>
      </c>
      <c r="R264" t="s">
        <v>74</v>
      </c>
      <c r="S264" t="s">
        <v>74</v>
      </c>
      <c r="T264" t="s">
        <v>74</v>
      </c>
      <c r="U264" t="s">
        <v>5356</v>
      </c>
      <c r="V264" t="s">
        <v>5357</v>
      </c>
      <c r="W264" t="s">
        <v>5358</v>
      </c>
      <c r="X264" t="s">
        <v>5359</v>
      </c>
      <c r="Y264" t="s">
        <v>5360</v>
      </c>
      <c r="Z264" t="s">
        <v>5361</v>
      </c>
      <c r="AA264" t="s">
        <v>5362</v>
      </c>
      <c r="AB264" t="s">
        <v>5363</v>
      </c>
      <c r="AC264" t="s">
        <v>74</v>
      </c>
      <c r="AD264" t="s">
        <v>74</v>
      </c>
      <c r="AE264" t="s">
        <v>74</v>
      </c>
      <c r="AF264" t="s">
        <v>74</v>
      </c>
      <c r="AG264">
        <v>102</v>
      </c>
      <c r="AH264">
        <v>22</v>
      </c>
      <c r="AI264">
        <v>23</v>
      </c>
      <c r="AJ264">
        <v>2</v>
      </c>
      <c r="AK264">
        <v>18</v>
      </c>
      <c r="AL264" t="s">
        <v>5364</v>
      </c>
      <c r="AM264" t="s">
        <v>5365</v>
      </c>
      <c r="AN264" t="s">
        <v>5366</v>
      </c>
      <c r="AO264" t="s">
        <v>5367</v>
      </c>
      <c r="AP264" t="s">
        <v>74</v>
      </c>
      <c r="AQ264" t="s">
        <v>74</v>
      </c>
      <c r="AR264" t="s">
        <v>5368</v>
      </c>
      <c r="AS264" t="s">
        <v>5369</v>
      </c>
      <c r="AT264" t="s">
        <v>5348</v>
      </c>
      <c r="AU264">
        <v>2016</v>
      </c>
      <c r="AV264">
        <v>4</v>
      </c>
      <c r="AW264" t="s">
        <v>74</v>
      </c>
      <c r="AX264" t="s">
        <v>74</v>
      </c>
      <c r="AY264" t="s">
        <v>74</v>
      </c>
      <c r="AZ264" t="s">
        <v>74</v>
      </c>
      <c r="BA264" t="s">
        <v>74</v>
      </c>
      <c r="BB264">
        <v>1</v>
      </c>
      <c r="BC264">
        <v>18</v>
      </c>
      <c r="BD264">
        <v>102</v>
      </c>
      <c r="BE264" t="s">
        <v>5370</v>
      </c>
      <c r="BF264" t="str">
        <f>HYPERLINK("http://dx.doi.org/10.12952/journal.elementa.000102","http://dx.doi.org/10.12952/journal.elementa.000102")</f>
        <v>http://dx.doi.org/10.12952/journal.elementa.000102</v>
      </c>
      <c r="BG264" t="s">
        <v>74</v>
      </c>
      <c r="BH264" t="s">
        <v>74</v>
      </c>
      <c r="BI264">
        <v>18</v>
      </c>
      <c r="BJ264" t="s">
        <v>5371</v>
      </c>
      <c r="BK264" t="s">
        <v>102</v>
      </c>
      <c r="BL264" t="s">
        <v>4674</v>
      </c>
      <c r="BM264" t="s">
        <v>5372</v>
      </c>
      <c r="BN264" t="s">
        <v>74</v>
      </c>
      <c r="BO264" t="s">
        <v>993</v>
      </c>
      <c r="BP264" t="s">
        <v>74</v>
      </c>
      <c r="BQ264" t="s">
        <v>74</v>
      </c>
      <c r="BR264" t="s">
        <v>106</v>
      </c>
      <c r="BS264" t="s">
        <v>5373</v>
      </c>
      <c r="BT264" t="str">
        <f>HYPERLINK("https%3A%2F%2Fwww.webofscience.com%2Fwos%2Fwoscc%2Ffull-record%2FWOS:000377460800001","View Full Record in Web of Science")</f>
        <v>View Full Record in Web of Science</v>
      </c>
    </row>
    <row r="265" spans="1:72" x14ac:dyDescent="0.15">
      <c r="A265" t="s">
        <v>72</v>
      </c>
      <c r="B265" t="s">
        <v>5374</v>
      </c>
      <c r="C265" t="s">
        <v>74</v>
      </c>
      <c r="D265" t="s">
        <v>74</v>
      </c>
      <c r="E265" t="s">
        <v>74</v>
      </c>
      <c r="F265" t="s">
        <v>5375</v>
      </c>
      <c r="G265" t="s">
        <v>74</v>
      </c>
      <c r="H265" t="s">
        <v>74</v>
      </c>
      <c r="I265" t="s">
        <v>5376</v>
      </c>
      <c r="J265" t="s">
        <v>1387</v>
      </c>
      <c r="K265" t="s">
        <v>74</v>
      </c>
      <c r="L265" t="s">
        <v>74</v>
      </c>
      <c r="M265" t="s">
        <v>78</v>
      </c>
      <c r="N265" t="s">
        <v>79</v>
      </c>
      <c r="O265" t="s">
        <v>74</v>
      </c>
      <c r="P265" t="s">
        <v>74</v>
      </c>
      <c r="Q265" t="s">
        <v>74</v>
      </c>
      <c r="R265" t="s">
        <v>74</v>
      </c>
      <c r="S265" t="s">
        <v>74</v>
      </c>
      <c r="T265" t="s">
        <v>5377</v>
      </c>
      <c r="U265" t="s">
        <v>5378</v>
      </c>
      <c r="V265" t="s">
        <v>5379</v>
      </c>
      <c r="W265" t="s">
        <v>5380</v>
      </c>
      <c r="X265" t="s">
        <v>5381</v>
      </c>
      <c r="Y265" t="s">
        <v>5382</v>
      </c>
      <c r="Z265" t="s">
        <v>5383</v>
      </c>
      <c r="AA265" t="s">
        <v>5384</v>
      </c>
      <c r="AB265" t="s">
        <v>5385</v>
      </c>
      <c r="AC265" t="s">
        <v>5386</v>
      </c>
      <c r="AD265" t="s">
        <v>5387</v>
      </c>
      <c r="AE265" t="s">
        <v>5388</v>
      </c>
      <c r="AF265" t="s">
        <v>74</v>
      </c>
      <c r="AG265">
        <v>82</v>
      </c>
      <c r="AH265">
        <v>19</v>
      </c>
      <c r="AI265">
        <v>23</v>
      </c>
      <c r="AJ265">
        <v>2</v>
      </c>
      <c r="AK265">
        <v>40</v>
      </c>
      <c r="AL265" t="s">
        <v>1400</v>
      </c>
      <c r="AM265" t="s">
        <v>1401</v>
      </c>
      <c r="AN265" t="s">
        <v>1402</v>
      </c>
      <c r="AO265" t="s">
        <v>1403</v>
      </c>
      <c r="AP265" t="s">
        <v>1404</v>
      </c>
      <c r="AQ265" t="s">
        <v>74</v>
      </c>
      <c r="AR265" t="s">
        <v>1405</v>
      </c>
      <c r="AS265" t="s">
        <v>1406</v>
      </c>
      <c r="AT265" t="s">
        <v>5348</v>
      </c>
      <c r="AU265">
        <v>2016</v>
      </c>
      <c r="AV265">
        <v>548</v>
      </c>
      <c r="AW265" t="s">
        <v>74</v>
      </c>
      <c r="AX265" t="s">
        <v>74</v>
      </c>
      <c r="AY265" t="s">
        <v>74</v>
      </c>
      <c r="AZ265" t="s">
        <v>74</v>
      </c>
      <c r="BA265" t="s">
        <v>74</v>
      </c>
      <c r="BB265">
        <v>11</v>
      </c>
      <c r="BC265">
        <v>30</v>
      </c>
      <c r="BD265" t="s">
        <v>74</v>
      </c>
      <c r="BE265" t="s">
        <v>5389</v>
      </c>
      <c r="BF265" t="str">
        <f>HYPERLINK("http://dx.doi.org/10.3354/meps11651","http://dx.doi.org/10.3354/meps11651")</f>
        <v>http://dx.doi.org/10.3354/meps11651</v>
      </c>
      <c r="BG265" t="s">
        <v>74</v>
      </c>
      <c r="BH265" t="s">
        <v>74</v>
      </c>
      <c r="BI265">
        <v>20</v>
      </c>
      <c r="BJ265" t="s">
        <v>1409</v>
      </c>
      <c r="BK265" t="s">
        <v>102</v>
      </c>
      <c r="BL265" t="s">
        <v>1410</v>
      </c>
      <c r="BM265" t="s">
        <v>5350</v>
      </c>
      <c r="BN265" t="s">
        <v>74</v>
      </c>
      <c r="BO265" t="s">
        <v>74</v>
      </c>
      <c r="BP265" t="s">
        <v>74</v>
      </c>
      <c r="BQ265" t="s">
        <v>74</v>
      </c>
      <c r="BR265" t="s">
        <v>106</v>
      </c>
      <c r="BS265" t="s">
        <v>5390</v>
      </c>
      <c r="BT265" t="str">
        <f>HYPERLINK("https%3A%2F%2Fwww.webofscience.com%2Fwos%2Fwoscc%2Ffull-record%2FWOS:000376375000002","View Full Record in Web of Science")</f>
        <v>View Full Record in Web of Science</v>
      </c>
    </row>
    <row r="266" spans="1:72" x14ac:dyDescent="0.15">
      <c r="A266" t="s">
        <v>72</v>
      </c>
      <c r="B266" t="s">
        <v>5391</v>
      </c>
      <c r="C266" t="s">
        <v>74</v>
      </c>
      <c r="D266" t="s">
        <v>74</v>
      </c>
      <c r="E266" t="s">
        <v>74</v>
      </c>
      <c r="F266" t="s">
        <v>5392</v>
      </c>
      <c r="G266" t="s">
        <v>74</v>
      </c>
      <c r="H266" t="s">
        <v>74</v>
      </c>
      <c r="I266" t="s">
        <v>5393</v>
      </c>
      <c r="J266" t="s">
        <v>1387</v>
      </c>
      <c r="K266" t="s">
        <v>74</v>
      </c>
      <c r="L266" t="s">
        <v>74</v>
      </c>
      <c r="M266" t="s">
        <v>78</v>
      </c>
      <c r="N266" t="s">
        <v>79</v>
      </c>
      <c r="O266" t="s">
        <v>74</v>
      </c>
      <c r="P266" t="s">
        <v>74</v>
      </c>
      <c r="Q266" t="s">
        <v>74</v>
      </c>
      <c r="R266" t="s">
        <v>74</v>
      </c>
      <c r="S266" t="s">
        <v>74</v>
      </c>
      <c r="T266" t="s">
        <v>5394</v>
      </c>
      <c r="U266" t="s">
        <v>5395</v>
      </c>
      <c r="V266" t="s">
        <v>5396</v>
      </c>
      <c r="W266" t="s">
        <v>5397</v>
      </c>
      <c r="X266" t="s">
        <v>5398</v>
      </c>
      <c r="Y266" t="s">
        <v>5399</v>
      </c>
      <c r="Z266" t="s">
        <v>5400</v>
      </c>
      <c r="AA266" t="s">
        <v>5401</v>
      </c>
      <c r="AB266" t="s">
        <v>5402</v>
      </c>
      <c r="AC266" t="s">
        <v>5403</v>
      </c>
      <c r="AD266" t="s">
        <v>5404</v>
      </c>
      <c r="AE266" t="s">
        <v>5405</v>
      </c>
      <c r="AF266" t="s">
        <v>74</v>
      </c>
      <c r="AG266">
        <v>66</v>
      </c>
      <c r="AH266">
        <v>13</v>
      </c>
      <c r="AI266">
        <v>14</v>
      </c>
      <c r="AJ266">
        <v>0</v>
      </c>
      <c r="AK266">
        <v>30</v>
      </c>
      <c r="AL266" t="s">
        <v>1400</v>
      </c>
      <c r="AM266" t="s">
        <v>1401</v>
      </c>
      <c r="AN266" t="s">
        <v>1402</v>
      </c>
      <c r="AO266" t="s">
        <v>1403</v>
      </c>
      <c r="AP266" t="s">
        <v>1404</v>
      </c>
      <c r="AQ266" t="s">
        <v>74</v>
      </c>
      <c r="AR266" t="s">
        <v>1405</v>
      </c>
      <c r="AS266" t="s">
        <v>1406</v>
      </c>
      <c r="AT266" t="s">
        <v>5348</v>
      </c>
      <c r="AU266">
        <v>2016</v>
      </c>
      <c r="AV266">
        <v>548</v>
      </c>
      <c r="AW266" t="s">
        <v>74</v>
      </c>
      <c r="AX266" t="s">
        <v>74</v>
      </c>
      <c r="AY266" t="s">
        <v>74</v>
      </c>
      <c r="AZ266" t="s">
        <v>74</v>
      </c>
      <c r="BA266" t="s">
        <v>74</v>
      </c>
      <c r="BB266">
        <v>233</v>
      </c>
      <c r="BC266">
        <v>247</v>
      </c>
      <c r="BD266" t="s">
        <v>74</v>
      </c>
      <c r="BE266" t="s">
        <v>5406</v>
      </c>
      <c r="BF266" t="str">
        <f>HYPERLINK("http://dx.doi.org/10.3354/meps11626","http://dx.doi.org/10.3354/meps11626")</f>
        <v>http://dx.doi.org/10.3354/meps11626</v>
      </c>
      <c r="BG266" t="s">
        <v>74</v>
      </c>
      <c r="BH266" t="s">
        <v>74</v>
      </c>
      <c r="BI266">
        <v>15</v>
      </c>
      <c r="BJ266" t="s">
        <v>1409</v>
      </c>
      <c r="BK266" t="s">
        <v>102</v>
      </c>
      <c r="BL266" t="s">
        <v>1410</v>
      </c>
      <c r="BM266" t="s">
        <v>5350</v>
      </c>
      <c r="BN266" t="s">
        <v>74</v>
      </c>
      <c r="BO266" t="s">
        <v>363</v>
      </c>
      <c r="BP266" t="s">
        <v>74</v>
      </c>
      <c r="BQ266" t="s">
        <v>74</v>
      </c>
      <c r="BR266" t="s">
        <v>106</v>
      </c>
      <c r="BS266" t="s">
        <v>5407</v>
      </c>
      <c r="BT266" t="str">
        <f>HYPERLINK("https%3A%2F%2Fwww.webofscience.com%2Fwos%2Fwoscc%2Ffull-record%2FWOS:000376375000017","View Full Record in Web of Science")</f>
        <v>View Full Record in Web of Science</v>
      </c>
    </row>
    <row r="267" spans="1:72" x14ac:dyDescent="0.15">
      <c r="A267" t="s">
        <v>72</v>
      </c>
      <c r="B267" t="s">
        <v>5408</v>
      </c>
      <c r="C267" t="s">
        <v>74</v>
      </c>
      <c r="D267" t="s">
        <v>74</v>
      </c>
      <c r="E267" t="s">
        <v>74</v>
      </c>
      <c r="F267" t="s">
        <v>5409</v>
      </c>
      <c r="G267" t="s">
        <v>74</v>
      </c>
      <c r="H267" t="s">
        <v>74</v>
      </c>
      <c r="I267" t="s">
        <v>5410</v>
      </c>
      <c r="J267" t="s">
        <v>1528</v>
      </c>
      <c r="K267" t="s">
        <v>74</v>
      </c>
      <c r="L267" t="s">
        <v>74</v>
      </c>
      <c r="M267" t="s">
        <v>78</v>
      </c>
      <c r="N267" t="s">
        <v>79</v>
      </c>
      <c r="O267" t="s">
        <v>74</v>
      </c>
      <c r="P267" t="s">
        <v>74</v>
      </c>
      <c r="Q267" t="s">
        <v>74</v>
      </c>
      <c r="R267" t="s">
        <v>74</v>
      </c>
      <c r="S267" t="s">
        <v>74</v>
      </c>
      <c r="T267" t="s">
        <v>5411</v>
      </c>
      <c r="U267" t="s">
        <v>5412</v>
      </c>
      <c r="V267" t="s">
        <v>5413</v>
      </c>
      <c r="W267" t="s">
        <v>5414</v>
      </c>
      <c r="X267" t="s">
        <v>5415</v>
      </c>
      <c r="Y267" t="s">
        <v>5416</v>
      </c>
      <c r="Z267" t="s">
        <v>74</v>
      </c>
      <c r="AA267" t="s">
        <v>74</v>
      </c>
      <c r="AB267" t="s">
        <v>74</v>
      </c>
      <c r="AC267" t="s">
        <v>5417</v>
      </c>
      <c r="AD267" t="s">
        <v>5418</v>
      </c>
      <c r="AE267" t="s">
        <v>5419</v>
      </c>
      <c r="AF267" t="s">
        <v>74</v>
      </c>
      <c r="AG267">
        <v>40</v>
      </c>
      <c r="AH267">
        <v>21</v>
      </c>
      <c r="AI267">
        <v>30</v>
      </c>
      <c r="AJ267">
        <v>4</v>
      </c>
      <c r="AK267">
        <v>46</v>
      </c>
      <c r="AL267" t="s">
        <v>626</v>
      </c>
      <c r="AM267" t="s">
        <v>583</v>
      </c>
      <c r="AN267" t="s">
        <v>627</v>
      </c>
      <c r="AO267" t="s">
        <v>1541</v>
      </c>
      <c r="AP267" t="s">
        <v>1542</v>
      </c>
      <c r="AQ267" t="s">
        <v>74</v>
      </c>
      <c r="AR267" t="s">
        <v>1543</v>
      </c>
      <c r="AS267" t="s">
        <v>1544</v>
      </c>
      <c r="AT267" t="s">
        <v>5420</v>
      </c>
      <c r="AU267">
        <v>2016</v>
      </c>
      <c r="AV267">
        <v>181</v>
      </c>
      <c r="AW267" t="s">
        <v>74</v>
      </c>
      <c r="AX267" t="s">
        <v>74</v>
      </c>
      <c r="AY267" t="s">
        <v>74</v>
      </c>
      <c r="AZ267" t="s">
        <v>74</v>
      </c>
      <c r="BA267" t="s">
        <v>74</v>
      </c>
      <c r="BB267">
        <v>1</v>
      </c>
      <c r="BC267">
        <v>9</v>
      </c>
      <c r="BD267" t="s">
        <v>74</v>
      </c>
      <c r="BE267" t="s">
        <v>5421</v>
      </c>
      <c r="BF267" t="str">
        <f>HYPERLINK("http://dx.doi.org/10.1016/j.marchem.2016.02.003","http://dx.doi.org/10.1016/j.marchem.2016.02.003")</f>
        <v>http://dx.doi.org/10.1016/j.marchem.2016.02.003</v>
      </c>
      <c r="BG267" t="s">
        <v>74</v>
      </c>
      <c r="BH267" t="s">
        <v>74</v>
      </c>
      <c r="BI267">
        <v>9</v>
      </c>
      <c r="BJ267" t="s">
        <v>1546</v>
      </c>
      <c r="BK267" t="s">
        <v>102</v>
      </c>
      <c r="BL267" t="s">
        <v>1547</v>
      </c>
      <c r="BM267" t="s">
        <v>5422</v>
      </c>
      <c r="BN267" t="s">
        <v>74</v>
      </c>
      <c r="BO267" t="s">
        <v>203</v>
      </c>
      <c r="BP267" t="s">
        <v>74</v>
      </c>
      <c r="BQ267" t="s">
        <v>74</v>
      </c>
      <c r="BR267" t="s">
        <v>106</v>
      </c>
      <c r="BS267" t="s">
        <v>5423</v>
      </c>
      <c r="BT267" t="str">
        <f>HYPERLINK("https%3A%2F%2Fwww.webofscience.com%2Fwos%2Fwoscc%2Ffull-record%2FWOS:000375163500001","View Full Record in Web of Science")</f>
        <v>View Full Record in Web of Science</v>
      </c>
    </row>
    <row r="268" spans="1:72" x14ac:dyDescent="0.15">
      <c r="A268" t="s">
        <v>72</v>
      </c>
      <c r="B268" t="s">
        <v>5424</v>
      </c>
      <c r="C268" t="s">
        <v>74</v>
      </c>
      <c r="D268" t="s">
        <v>74</v>
      </c>
      <c r="E268" t="s">
        <v>74</v>
      </c>
      <c r="F268" t="s">
        <v>5425</v>
      </c>
      <c r="G268" t="s">
        <v>74</v>
      </c>
      <c r="H268" t="s">
        <v>74</v>
      </c>
      <c r="I268" t="s">
        <v>5426</v>
      </c>
      <c r="J268" t="s">
        <v>1196</v>
      </c>
      <c r="K268" t="s">
        <v>74</v>
      </c>
      <c r="L268" t="s">
        <v>74</v>
      </c>
      <c r="M268" t="s">
        <v>78</v>
      </c>
      <c r="N268" t="s">
        <v>79</v>
      </c>
      <c r="O268" t="s">
        <v>74</v>
      </c>
      <c r="P268" t="s">
        <v>74</v>
      </c>
      <c r="Q268" t="s">
        <v>74</v>
      </c>
      <c r="R268" t="s">
        <v>74</v>
      </c>
      <c r="S268" t="s">
        <v>74</v>
      </c>
      <c r="T268" t="s">
        <v>74</v>
      </c>
      <c r="U268" t="s">
        <v>5427</v>
      </c>
      <c r="V268" t="s">
        <v>5428</v>
      </c>
      <c r="W268" t="s">
        <v>5429</v>
      </c>
      <c r="X268" t="s">
        <v>5430</v>
      </c>
      <c r="Y268" t="s">
        <v>5431</v>
      </c>
      <c r="Z268" t="s">
        <v>5432</v>
      </c>
      <c r="AA268" t="s">
        <v>5433</v>
      </c>
      <c r="AB268" t="s">
        <v>5434</v>
      </c>
      <c r="AC268" t="s">
        <v>5435</v>
      </c>
      <c r="AD268" t="s">
        <v>5436</v>
      </c>
      <c r="AE268" t="s">
        <v>5437</v>
      </c>
      <c r="AF268" t="s">
        <v>74</v>
      </c>
      <c r="AG268">
        <v>81</v>
      </c>
      <c r="AH268">
        <v>15</v>
      </c>
      <c r="AI268">
        <v>17</v>
      </c>
      <c r="AJ268">
        <v>0</v>
      </c>
      <c r="AK268">
        <v>19</v>
      </c>
      <c r="AL268" t="s">
        <v>1207</v>
      </c>
      <c r="AM268" t="s">
        <v>1208</v>
      </c>
      <c r="AN268" t="s">
        <v>1209</v>
      </c>
      <c r="AO268" t="s">
        <v>1210</v>
      </c>
      <c r="AP268" t="s">
        <v>74</v>
      </c>
      <c r="AQ268" t="s">
        <v>74</v>
      </c>
      <c r="AR268" t="s">
        <v>1196</v>
      </c>
      <c r="AS268" t="s">
        <v>1211</v>
      </c>
      <c r="AT268" t="s">
        <v>5420</v>
      </c>
      <c r="AU268">
        <v>2016</v>
      </c>
      <c r="AV268">
        <v>11</v>
      </c>
      <c r="AW268">
        <v>4</v>
      </c>
      <c r="AX268" t="s">
        <v>74</v>
      </c>
      <c r="AY268" t="s">
        <v>74</v>
      </c>
      <c r="AZ268" t="s">
        <v>74</v>
      </c>
      <c r="BA268" t="s">
        <v>74</v>
      </c>
      <c r="BB268" t="s">
        <v>74</v>
      </c>
      <c r="BC268" t="s">
        <v>74</v>
      </c>
      <c r="BD268" t="s">
        <v>5438</v>
      </c>
      <c r="BE268" t="s">
        <v>5439</v>
      </c>
      <c r="BF268" t="str">
        <f>HYPERLINK("http://dx.doi.org/10.1371/journal.pone.0154056","http://dx.doi.org/10.1371/journal.pone.0154056")</f>
        <v>http://dx.doi.org/10.1371/journal.pone.0154056</v>
      </c>
      <c r="BG268" t="s">
        <v>74</v>
      </c>
      <c r="BH268" t="s">
        <v>74</v>
      </c>
      <c r="BI268">
        <v>26</v>
      </c>
      <c r="BJ268" t="s">
        <v>753</v>
      </c>
      <c r="BK268" t="s">
        <v>102</v>
      </c>
      <c r="BL268" t="s">
        <v>754</v>
      </c>
      <c r="BM268" t="s">
        <v>5440</v>
      </c>
      <c r="BN268">
        <v>27097164</v>
      </c>
      <c r="BO268" t="s">
        <v>5441</v>
      </c>
      <c r="BP268" t="s">
        <v>74</v>
      </c>
      <c r="BQ268" t="s">
        <v>74</v>
      </c>
      <c r="BR268" t="s">
        <v>106</v>
      </c>
      <c r="BS268" t="s">
        <v>5442</v>
      </c>
      <c r="BT268" t="str">
        <f>HYPERLINK("https%3A%2F%2Fwww.webofscience.com%2Fwos%2Fwoscc%2Ffull-record%2FWOS:000374543600084","View Full Record in Web of Science")</f>
        <v>View Full Record in Web of Science</v>
      </c>
    </row>
    <row r="269" spans="1:72" x14ac:dyDescent="0.15">
      <c r="A269" t="s">
        <v>72</v>
      </c>
      <c r="B269" t="s">
        <v>5443</v>
      </c>
      <c r="C269" t="s">
        <v>74</v>
      </c>
      <c r="D269" t="s">
        <v>74</v>
      </c>
      <c r="E269" t="s">
        <v>74</v>
      </c>
      <c r="F269" t="s">
        <v>5444</v>
      </c>
      <c r="G269" t="s">
        <v>74</v>
      </c>
      <c r="H269" t="s">
        <v>74</v>
      </c>
      <c r="I269" t="s">
        <v>5445</v>
      </c>
      <c r="J269" t="s">
        <v>1288</v>
      </c>
      <c r="K269" t="s">
        <v>74</v>
      </c>
      <c r="L269" t="s">
        <v>74</v>
      </c>
      <c r="M269" t="s">
        <v>78</v>
      </c>
      <c r="N269" t="s">
        <v>79</v>
      </c>
      <c r="O269" t="s">
        <v>74</v>
      </c>
      <c r="P269" t="s">
        <v>74</v>
      </c>
      <c r="Q269" t="s">
        <v>74</v>
      </c>
      <c r="R269" t="s">
        <v>74</v>
      </c>
      <c r="S269" t="s">
        <v>74</v>
      </c>
      <c r="T269" t="s">
        <v>74</v>
      </c>
      <c r="U269" t="s">
        <v>5446</v>
      </c>
      <c r="V269" t="s">
        <v>5447</v>
      </c>
      <c r="W269" t="s">
        <v>5448</v>
      </c>
      <c r="X269" t="s">
        <v>5449</v>
      </c>
      <c r="Y269" t="s">
        <v>5450</v>
      </c>
      <c r="Z269" t="s">
        <v>5451</v>
      </c>
      <c r="AA269" t="s">
        <v>5452</v>
      </c>
      <c r="AB269" t="s">
        <v>5453</v>
      </c>
      <c r="AC269" t="s">
        <v>5454</v>
      </c>
      <c r="AD269" t="s">
        <v>5455</v>
      </c>
      <c r="AE269" t="s">
        <v>5456</v>
      </c>
      <c r="AF269" t="s">
        <v>74</v>
      </c>
      <c r="AG269">
        <v>37</v>
      </c>
      <c r="AH269">
        <v>45</v>
      </c>
      <c r="AI269">
        <v>48</v>
      </c>
      <c r="AJ269">
        <v>1</v>
      </c>
      <c r="AK269">
        <v>28</v>
      </c>
      <c r="AL269" t="s">
        <v>92</v>
      </c>
      <c r="AM269" t="s">
        <v>93</v>
      </c>
      <c r="AN269" t="s">
        <v>94</v>
      </c>
      <c r="AO269" t="s">
        <v>1296</v>
      </c>
      <c r="AP269" t="s">
        <v>1297</v>
      </c>
      <c r="AQ269" t="s">
        <v>74</v>
      </c>
      <c r="AR269" t="s">
        <v>1298</v>
      </c>
      <c r="AS269" t="s">
        <v>1299</v>
      </c>
      <c r="AT269" t="s">
        <v>5457</v>
      </c>
      <c r="AU269">
        <v>2016</v>
      </c>
      <c r="AV269">
        <v>43</v>
      </c>
      <c r="AW269">
        <v>7</v>
      </c>
      <c r="AX269" t="s">
        <v>74</v>
      </c>
      <c r="AY269" t="s">
        <v>74</v>
      </c>
      <c r="AZ269" t="s">
        <v>74</v>
      </c>
      <c r="BA269" t="s">
        <v>74</v>
      </c>
      <c r="BB269">
        <v>3415</v>
      </c>
      <c r="BC269">
        <v>3422</v>
      </c>
      <c r="BD269" t="s">
        <v>74</v>
      </c>
      <c r="BE269" t="s">
        <v>5458</v>
      </c>
      <c r="BF269" t="str">
        <f>HYPERLINK("http://dx.doi.org/10.1002/2016GL068539","http://dx.doi.org/10.1002/2016GL068539")</f>
        <v>http://dx.doi.org/10.1002/2016GL068539</v>
      </c>
      <c r="BG269" t="s">
        <v>74</v>
      </c>
      <c r="BH269" t="s">
        <v>74</v>
      </c>
      <c r="BI269">
        <v>8</v>
      </c>
      <c r="BJ269" t="s">
        <v>269</v>
      </c>
      <c r="BK269" t="s">
        <v>102</v>
      </c>
      <c r="BL269" t="s">
        <v>270</v>
      </c>
      <c r="BM269" t="s">
        <v>5459</v>
      </c>
      <c r="BN269" t="s">
        <v>74</v>
      </c>
      <c r="BO269" t="s">
        <v>293</v>
      </c>
      <c r="BP269" t="s">
        <v>74</v>
      </c>
      <c r="BQ269" t="s">
        <v>74</v>
      </c>
      <c r="BR269" t="s">
        <v>106</v>
      </c>
      <c r="BS269" t="s">
        <v>5460</v>
      </c>
      <c r="BT269" t="str">
        <f>HYPERLINK("https%3A%2F%2Fwww.webofscience.com%2Fwos%2Fwoscc%2Ffull-record%2FWOS:000375537300048","View Full Record in Web of Science")</f>
        <v>View Full Record in Web of Science</v>
      </c>
    </row>
    <row r="270" spans="1:72" x14ac:dyDescent="0.15">
      <c r="A270" t="s">
        <v>72</v>
      </c>
      <c r="B270" t="s">
        <v>5461</v>
      </c>
      <c r="C270" t="s">
        <v>74</v>
      </c>
      <c r="D270" t="s">
        <v>74</v>
      </c>
      <c r="E270" t="s">
        <v>74</v>
      </c>
      <c r="F270" t="s">
        <v>5462</v>
      </c>
      <c r="G270" t="s">
        <v>74</v>
      </c>
      <c r="H270" t="s">
        <v>74</v>
      </c>
      <c r="I270" t="s">
        <v>5463</v>
      </c>
      <c r="J270" t="s">
        <v>1288</v>
      </c>
      <c r="K270" t="s">
        <v>74</v>
      </c>
      <c r="L270" t="s">
        <v>74</v>
      </c>
      <c r="M270" t="s">
        <v>78</v>
      </c>
      <c r="N270" t="s">
        <v>79</v>
      </c>
      <c r="O270" t="s">
        <v>74</v>
      </c>
      <c r="P270" t="s">
        <v>74</v>
      </c>
      <c r="Q270" t="s">
        <v>74</v>
      </c>
      <c r="R270" t="s">
        <v>74</v>
      </c>
      <c r="S270" t="s">
        <v>74</v>
      </c>
      <c r="T270" t="s">
        <v>74</v>
      </c>
      <c r="U270" t="s">
        <v>5464</v>
      </c>
      <c r="V270" t="s">
        <v>5465</v>
      </c>
      <c r="W270" t="s">
        <v>5466</v>
      </c>
      <c r="X270" t="s">
        <v>5467</v>
      </c>
      <c r="Y270" t="s">
        <v>5468</v>
      </c>
      <c r="Z270" t="s">
        <v>5469</v>
      </c>
      <c r="AA270" t="s">
        <v>5470</v>
      </c>
      <c r="AB270" t="s">
        <v>5471</v>
      </c>
      <c r="AC270" t="s">
        <v>5472</v>
      </c>
      <c r="AD270" t="s">
        <v>5473</v>
      </c>
      <c r="AE270" t="s">
        <v>5474</v>
      </c>
      <c r="AF270" t="s">
        <v>74</v>
      </c>
      <c r="AG270">
        <v>50</v>
      </c>
      <c r="AH270">
        <v>67</v>
      </c>
      <c r="AI270">
        <v>68</v>
      </c>
      <c r="AJ270">
        <v>0</v>
      </c>
      <c r="AK270">
        <v>29</v>
      </c>
      <c r="AL270" t="s">
        <v>92</v>
      </c>
      <c r="AM270" t="s">
        <v>93</v>
      </c>
      <c r="AN270" t="s">
        <v>94</v>
      </c>
      <c r="AO270" t="s">
        <v>1296</v>
      </c>
      <c r="AP270" t="s">
        <v>1297</v>
      </c>
      <c r="AQ270" t="s">
        <v>74</v>
      </c>
      <c r="AR270" t="s">
        <v>1298</v>
      </c>
      <c r="AS270" t="s">
        <v>1299</v>
      </c>
      <c r="AT270" t="s">
        <v>5457</v>
      </c>
      <c r="AU270">
        <v>2016</v>
      </c>
      <c r="AV270">
        <v>43</v>
      </c>
      <c r="AW270">
        <v>7</v>
      </c>
      <c r="AX270" t="s">
        <v>74</v>
      </c>
      <c r="AY270" t="s">
        <v>74</v>
      </c>
      <c r="AZ270" t="s">
        <v>74</v>
      </c>
      <c r="BA270" t="s">
        <v>74</v>
      </c>
      <c r="BB270">
        <v>3543</v>
      </c>
      <c r="BC270">
        <v>3553</v>
      </c>
      <c r="BD270" t="s">
        <v>74</v>
      </c>
      <c r="BE270" t="s">
        <v>5475</v>
      </c>
      <c r="BF270" t="str">
        <f>HYPERLINK("http://dx.doi.org/10.1002/2016GL068148","http://dx.doi.org/10.1002/2016GL068148")</f>
        <v>http://dx.doi.org/10.1002/2016GL068148</v>
      </c>
      <c r="BG270" t="s">
        <v>74</v>
      </c>
      <c r="BH270" t="s">
        <v>74</v>
      </c>
      <c r="BI270">
        <v>11</v>
      </c>
      <c r="BJ270" t="s">
        <v>269</v>
      </c>
      <c r="BK270" t="s">
        <v>102</v>
      </c>
      <c r="BL270" t="s">
        <v>270</v>
      </c>
      <c r="BM270" t="s">
        <v>5459</v>
      </c>
      <c r="BN270" t="s">
        <v>74</v>
      </c>
      <c r="BO270" t="s">
        <v>293</v>
      </c>
      <c r="BP270" t="s">
        <v>74</v>
      </c>
      <c r="BQ270" t="s">
        <v>74</v>
      </c>
      <c r="BR270" t="s">
        <v>106</v>
      </c>
      <c r="BS270" t="s">
        <v>5476</v>
      </c>
      <c r="BT270" t="str">
        <f>HYPERLINK("https%3A%2F%2Fwww.webofscience.com%2Fwos%2Fwoscc%2Ffull-record%2FWOS:000375537300064","View Full Record in Web of Science")</f>
        <v>View Full Record in Web of Science</v>
      </c>
    </row>
    <row r="271" spans="1:72" x14ac:dyDescent="0.15">
      <c r="A271" t="s">
        <v>72</v>
      </c>
      <c r="B271" t="s">
        <v>5477</v>
      </c>
      <c r="C271" t="s">
        <v>74</v>
      </c>
      <c r="D271" t="s">
        <v>74</v>
      </c>
      <c r="E271" t="s">
        <v>74</v>
      </c>
      <c r="F271" t="s">
        <v>5478</v>
      </c>
      <c r="G271" t="s">
        <v>74</v>
      </c>
      <c r="H271" t="s">
        <v>74</v>
      </c>
      <c r="I271" t="s">
        <v>5479</v>
      </c>
      <c r="J271" t="s">
        <v>1708</v>
      </c>
      <c r="K271" t="s">
        <v>74</v>
      </c>
      <c r="L271" t="s">
        <v>74</v>
      </c>
      <c r="M271" t="s">
        <v>78</v>
      </c>
      <c r="N271" t="s">
        <v>79</v>
      </c>
      <c r="O271" t="s">
        <v>74</v>
      </c>
      <c r="P271" t="s">
        <v>74</v>
      </c>
      <c r="Q271" t="s">
        <v>74</v>
      </c>
      <c r="R271" t="s">
        <v>74</v>
      </c>
      <c r="S271" t="s">
        <v>74</v>
      </c>
      <c r="T271" t="s">
        <v>5480</v>
      </c>
      <c r="U271" t="s">
        <v>5481</v>
      </c>
      <c r="V271" t="s">
        <v>5482</v>
      </c>
      <c r="W271" t="s">
        <v>5483</v>
      </c>
      <c r="X271" t="s">
        <v>5484</v>
      </c>
      <c r="Y271" t="s">
        <v>5485</v>
      </c>
      <c r="Z271" t="s">
        <v>5486</v>
      </c>
      <c r="AA271" t="s">
        <v>3726</v>
      </c>
      <c r="AB271" t="s">
        <v>5487</v>
      </c>
      <c r="AC271" t="s">
        <v>5488</v>
      </c>
      <c r="AD271" t="s">
        <v>5489</v>
      </c>
      <c r="AE271" t="s">
        <v>5490</v>
      </c>
      <c r="AF271" t="s">
        <v>74</v>
      </c>
      <c r="AG271">
        <v>46</v>
      </c>
      <c r="AH271">
        <v>21</v>
      </c>
      <c r="AI271">
        <v>24</v>
      </c>
      <c r="AJ271">
        <v>2</v>
      </c>
      <c r="AK271">
        <v>24</v>
      </c>
      <c r="AL271" t="s">
        <v>92</v>
      </c>
      <c r="AM271" t="s">
        <v>93</v>
      </c>
      <c r="AN271" t="s">
        <v>94</v>
      </c>
      <c r="AO271" t="s">
        <v>1720</v>
      </c>
      <c r="AP271" t="s">
        <v>1721</v>
      </c>
      <c r="AQ271" t="s">
        <v>74</v>
      </c>
      <c r="AR271" t="s">
        <v>1722</v>
      </c>
      <c r="AS271" t="s">
        <v>1723</v>
      </c>
      <c r="AT271" t="s">
        <v>5457</v>
      </c>
      <c r="AU271">
        <v>2016</v>
      </c>
      <c r="AV271">
        <v>121</v>
      </c>
      <c r="AW271">
        <v>7</v>
      </c>
      <c r="AX271" t="s">
        <v>74</v>
      </c>
      <c r="AY271" t="s">
        <v>74</v>
      </c>
      <c r="AZ271" t="s">
        <v>74</v>
      </c>
      <c r="BA271" t="s">
        <v>74</v>
      </c>
      <c r="BB271">
        <v>3339</v>
      </c>
      <c r="BC271">
        <v>3362</v>
      </c>
      <c r="BD271" t="s">
        <v>74</v>
      </c>
      <c r="BE271" t="s">
        <v>5491</v>
      </c>
      <c r="BF271" t="str">
        <f>HYPERLINK("http://dx.doi.org/10.1002/2015JD024383","http://dx.doi.org/10.1002/2015JD024383")</f>
        <v>http://dx.doi.org/10.1002/2015JD024383</v>
      </c>
      <c r="BG271" t="s">
        <v>74</v>
      </c>
      <c r="BH271" t="s">
        <v>74</v>
      </c>
      <c r="BI271">
        <v>24</v>
      </c>
      <c r="BJ271" t="s">
        <v>1726</v>
      </c>
      <c r="BK271" t="s">
        <v>102</v>
      </c>
      <c r="BL271" t="s">
        <v>1726</v>
      </c>
      <c r="BM271" t="s">
        <v>5492</v>
      </c>
      <c r="BN271" t="s">
        <v>74</v>
      </c>
      <c r="BO271" t="s">
        <v>420</v>
      </c>
      <c r="BP271" t="s">
        <v>74</v>
      </c>
      <c r="BQ271" t="s">
        <v>74</v>
      </c>
      <c r="BR271" t="s">
        <v>106</v>
      </c>
      <c r="BS271" t="s">
        <v>5493</v>
      </c>
      <c r="BT271" t="str">
        <f>HYPERLINK("https%3A%2F%2Fwww.webofscience.com%2Fwos%2Fwoscc%2Ffull-record%2FWOS:000375120200016","View Full Record in Web of Science")</f>
        <v>View Full Record in Web of Science</v>
      </c>
    </row>
    <row r="272" spans="1:72" x14ac:dyDescent="0.15">
      <c r="A272" t="s">
        <v>72</v>
      </c>
      <c r="B272" t="s">
        <v>5494</v>
      </c>
      <c r="C272" t="s">
        <v>74</v>
      </c>
      <c r="D272" t="s">
        <v>74</v>
      </c>
      <c r="E272" t="s">
        <v>74</v>
      </c>
      <c r="F272" t="s">
        <v>5495</v>
      </c>
      <c r="G272" t="s">
        <v>74</v>
      </c>
      <c r="H272" t="s">
        <v>74</v>
      </c>
      <c r="I272" t="s">
        <v>5496</v>
      </c>
      <c r="J272" t="s">
        <v>1288</v>
      </c>
      <c r="K272" t="s">
        <v>74</v>
      </c>
      <c r="L272" t="s">
        <v>74</v>
      </c>
      <c r="M272" t="s">
        <v>78</v>
      </c>
      <c r="N272" t="s">
        <v>79</v>
      </c>
      <c r="O272" t="s">
        <v>74</v>
      </c>
      <c r="P272" t="s">
        <v>74</v>
      </c>
      <c r="Q272" t="s">
        <v>74</v>
      </c>
      <c r="R272" t="s">
        <v>74</v>
      </c>
      <c r="S272" t="s">
        <v>74</v>
      </c>
      <c r="T272" t="s">
        <v>74</v>
      </c>
      <c r="U272" t="s">
        <v>5497</v>
      </c>
      <c r="V272" t="s">
        <v>5498</v>
      </c>
      <c r="W272" t="s">
        <v>5499</v>
      </c>
      <c r="X272" t="s">
        <v>5500</v>
      </c>
      <c r="Y272" t="s">
        <v>5501</v>
      </c>
      <c r="Z272" t="s">
        <v>5502</v>
      </c>
      <c r="AA272" t="s">
        <v>5503</v>
      </c>
      <c r="AB272" t="s">
        <v>5504</v>
      </c>
      <c r="AC272" t="s">
        <v>5505</v>
      </c>
      <c r="AD272" t="s">
        <v>5506</v>
      </c>
      <c r="AE272" t="s">
        <v>5507</v>
      </c>
      <c r="AF272" t="s">
        <v>74</v>
      </c>
      <c r="AG272">
        <v>33</v>
      </c>
      <c r="AH272">
        <v>25</v>
      </c>
      <c r="AI272">
        <v>28</v>
      </c>
      <c r="AJ272">
        <v>0</v>
      </c>
      <c r="AK272">
        <v>23</v>
      </c>
      <c r="AL272" t="s">
        <v>92</v>
      </c>
      <c r="AM272" t="s">
        <v>93</v>
      </c>
      <c r="AN272" t="s">
        <v>94</v>
      </c>
      <c r="AO272" t="s">
        <v>1296</v>
      </c>
      <c r="AP272" t="s">
        <v>1297</v>
      </c>
      <c r="AQ272" t="s">
        <v>74</v>
      </c>
      <c r="AR272" t="s">
        <v>1298</v>
      </c>
      <c r="AS272" t="s">
        <v>1299</v>
      </c>
      <c r="AT272" t="s">
        <v>5457</v>
      </c>
      <c r="AU272">
        <v>2016</v>
      </c>
      <c r="AV272">
        <v>43</v>
      </c>
      <c r="AW272">
        <v>7</v>
      </c>
      <c r="AX272" t="s">
        <v>74</v>
      </c>
      <c r="AY272" t="s">
        <v>74</v>
      </c>
      <c r="AZ272" t="s">
        <v>74</v>
      </c>
      <c r="BA272" t="s">
        <v>74</v>
      </c>
      <c r="BB272">
        <v>3342</v>
      </c>
      <c r="BC272">
        <v>3350</v>
      </c>
      <c r="BD272" t="s">
        <v>74</v>
      </c>
      <c r="BE272" t="s">
        <v>5508</v>
      </c>
      <c r="BF272" t="str">
        <f>HYPERLINK("http://dx.doi.org/10.1002/2016GL068436","http://dx.doi.org/10.1002/2016GL068436")</f>
        <v>http://dx.doi.org/10.1002/2016GL068436</v>
      </c>
      <c r="BG272" t="s">
        <v>74</v>
      </c>
      <c r="BH272" t="s">
        <v>74</v>
      </c>
      <c r="BI272">
        <v>9</v>
      </c>
      <c r="BJ272" t="s">
        <v>269</v>
      </c>
      <c r="BK272" t="s">
        <v>102</v>
      </c>
      <c r="BL272" t="s">
        <v>270</v>
      </c>
      <c r="BM272" t="s">
        <v>5459</v>
      </c>
      <c r="BN272" t="s">
        <v>74</v>
      </c>
      <c r="BO272" t="s">
        <v>3346</v>
      </c>
      <c r="BP272" t="s">
        <v>74</v>
      </c>
      <c r="BQ272" t="s">
        <v>74</v>
      </c>
      <c r="BR272" t="s">
        <v>106</v>
      </c>
      <c r="BS272" t="s">
        <v>5509</v>
      </c>
      <c r="BT272" t="str">
        <f>HYPERLINK("https%3A%2F%2Fwww.webofscience.com%2Fwos%2Fwoscc%2Ffull-record%2FWOS:000375537300040","View Full Record in Web of Science")</f>
        <v>View Full Record in Web of Science</v>
      </c>
    </row>
    <row r="273" spans="1:72" x14ac:dyDescent="0.15">
      <c r="A273" t="s">
        <v>72</v>
      </c>
      <c r="B273" t="s">
        <v>5510</v>
      </c>
      <c r="C273" t="s">
        <v>74</v>
      </c>
      <c r="D273" t="s">
        <v>74</v>
      </c>
      <c r="E273" t="s">
        <v>74</v>
      </c>
      <c r="F273" t="s">
        <v>5511</v>
      </c>
      <c r="G273" t="s">
        <v>74</v>
      </c>
      <c r="H273" t="s">
        <v>74</v>
      </c>
      <c r="I273" t="s">
        <v>5512</v>
      </c>
      <c r="J273" t="s">
        <v>1288</v>
      </c>
      <c r="K273" t="s">
        <v>74</v>
      </c>
      <c r="L273" t="s">
        <v>74</v>
      </c>
      <c r="M273" t="s">
        <v>78</v>
      </c>
      <c r="N273" t="s">
        <v>79</v>
      </c>
      <c r="O273" t="s">
        <v>74</v>
      </c>
      <c r="P273" t="s">
        <v>74</v>
      </c>
      <c r="Q273" t="s">
        <v>74</v>
      </c>
      <c r="R273" t="s">
        <v>74</v>
      </c>
      <c r="S273" t="s">
        <v>74</v>
      </c>
      <c r="T273" t="s">
        <v>74</v>
      </c>
      <c r="U273" t="s">
        <v>5513</v>
      </c>
      <c r="V273" t="s">
        <v>5514</v>
      </c>
      <c r="W273" t="s">
        <v>5515</v>
      </c>
      <c r="X273" t="s">
        <v>5516</v>
      </c>
      <c r="Y273" t="s">
        <v>5517</v>
      </c>
      <c r="Z273" t="s">
        <v>5518</v>
      </c>
      <c r="AA273" t="s">
        <v>5519</v>
      </c>
      <c r="AB273" t="s">
        <v>5520</v>
      </c>
      <c r="AC273" t="s">
        <v>5521</v>
      </c>
      <c r="AD273" t="s">
        <v>5522</v>
      </c>
      <c r="AE273" t="s">
        <v>5523</v>
      </c>
      <c r="AF273" t="s">
        <v>74</v>
      </c>
      <c r="AG273">
        <v>40</v>
      </c>
      <c r="AH273">
        <v>38</v>
      </c>
      <c r="AI273">
        <v>40</v>
      </c>
      <c r="AJ273">
        <v>0</v>
      </c>
      <c r="AK273">
        <v>22</v>
      </c>
      <c r="AL273" t="s">
        <v>92</v>
      </c>
      <c r="AM273" t="s">
        <v>93</v>
      </c>
      <c r="AN273" t="s">
        <v>94</v>
      </c>
      <c r="AO273" t="s">
        <v>1296</v>
      </c>
      <c r="AP273" t="s">
        <v>1297</v>
      </c>
      <c r="AQ273" t="s">
        <v>74</v>
      </c>
      <c r="AR273" t="s">
        <v>1298</v>
      </c>
      <c r="AS273" t="s">
        <v>1299</v>
      </c>
      <c r="AT273" t="s">
        <v>5457</v>
      </c>
      <c r="AU273">
        <v>2016</v>
      </c>
      <c r="AV273">
        <v>43</v>
      </c>
      <c r="AW273">
        <v>7</v>
      </c>
      <c r="AX273" t="s">
        <v>74</v>
      </c>
      <c r="AY273" t="s">
        <v>74</v>
      </c>
      <c r="AZ273" t="s">
        <v>74</v>
      </c>
      <c r="BA273" t="s">
        <v>74</v>
      </c>
      <c r="BB273">
        <v>3554</v>
      </c>
      <c r="BC273">
        <v>3562</v>
      </c>
      <c r="BD273" t="s">
        <v>74</v>
      </c>
      <c r="BE273" t="s">
        <v>5524</v>
      </c>
      <c r="BF273" t="str">
        <f>HYPERLINK("http://dx.doi.org/10.1002/2016GL068279","http://dx.doi.org/10.1002/2016GL068279")</f>
        <v>http://dx.doi.org/10.1002/2016GL068279</v>
      </c>
      <c r="BG273" t="s">
        <v>74</v>
      </c>
      <c r="BH273" t="s">
        <v>74</v>
      </c>
      <c r="BI273">
        <v>9</v>
      </c>
      <c r="BJ273" t="s">
        <v>269</v>
      </c>
      <c r="BK273" t="s">
        <v>102</v>
      </c>
      <c r="BL273" t="s">
        <v>270</v>
      </c>
      <c r="BM273" t="s">
        <v>5459</v>
      </c>
      <c r="BN273" t="s">
        <v>74</v>
      </c>
      <c r="BO273" t="s">
        <v>842</v>
      </c>
      <c r="BP273" t="s">
        <v>74</v>
      </c>
      <c r="BQ273" t="s">
        <v>74</v>
      </c>
      <c r="BR273" t="s">
        <v>106</v>
      </c>
      <c r="BS273" t="s">
        <v>5525</v>
      </c>
      <c r="BT273" t="str">
        <f>HYPERLINK("https%3A%2F%2Fwww.webofscience.com%2Fwos%2Fwoscc%2Ffull-record%2FWOS:000375537300065","View Full Record in Web of Science")</f>
        <v>View Full Record in Web of Science</v>
      </c>
    </row>
    <row r="274" spans="1:72" x14ac:dyDescent="0.15">
      <c r="A274" t="s">
        <v>72</v>
      </c>
      <c r="B274" t="s">
        <v>5526</v>
      </c>
      <c r="C274" t="s">
        <v>74</v>
      </c>
      <c r="D274" t="s">
        <v>74</v>
      </c>
      <c r="E274" t="s">
        <v>74</v>
      </c>
      <c r="F274" t="s">
        <v>5527</v>
      </c>
      <c r="G274" t="s">
        <v>74</v>
      </c>
      <c r="H274" t="s">
        <v>74</v>
      </c>
      <c r="I274" t="s">
        <v>5528</v>
      </c>
      <c r="J274" t="s">
        <v>1708</v>
      </c>
      <c r="K274" t="s">
        <v>74</v>
      </c>
      <c r="L274" t="s">
        <v>74</v>
      </c>
      <c r="M274" t="s">
        <v>78</v>
      </c>
      <c r="N274" t="s">
        <v>79</v>
      </c>
      <c r="O274" t="s">
        <v>74</v>
      </c>
      <c r="P274" t="s">
        <v>74</v>
      </c>
      <c r="Q274" t="s">
        <v>74</v>
      </c>
      <c r="R274" t="s">
        <v>74</v>
      </c>
      <c r="S274" t="s">
        <v>74</v>
      </c>
      <c r="T274" t="s">
        <v>5529</v>
      </c>
      <c r="U274" t="s">
        <v>5530</v>
      </c>
      <c r="V274" t="s">
        <v>5531</v>
      </c>
      <c r="W274" t="s">
        <v>5532</v>
      </c>
      <c r="X274" t="s">
        <v>5533</v>
      </c>
      <c r="Y274" t="s">
        <v>5534</v>
      </c>
      <c r="Z274" t="s">
        <v>5535</v>
      </c>
      <c r="AA274" t="s">
        <v>5536</v>
      </c>
      <c r="AB274" t="s">
        <v>5537</v>
      </c>
      <c r="AC274" t="s">
        <v>5538</v>
      </c>
      <c r="AD274" t="s">
        <v>5539</v>
      </c>
      <c r="AE274" t="s">
        <v>5540</v>
      </c>
      <c r="AF274" t="s">
        <v>74</v>
      </c>
      <c r="AG274">
        <v>52</v>
      </c>
      <c r="AH274">
        <v>71</v>
      </c>
      <c r="AI274">
        <v>74</v>
      </c>
      <c r="AJ274">
        <v>2</v>
      </c>
      <c r="AK274">
        <v>36</v>
      </c>
      <c r="AL274" t="s">
        <v>92</v>
      </c>
      <c r="AM274" t="s">
        <v>93</v>
      </c>
      <c r="AN274" t="s">
        <v>94</v>
      </c>
      <c r="AO274" t="s">
        <v>1720</v>
      </c>
      <c r="AP274" t="s">
        <v>1721</v>
      </c>
      <c r="AQ274" t="s">
        <v>74</v>
      </c>
      <c r="AR274" t="s">
        <v>1722</v>
      </c>
      <c r="AS274" t="s">
        <v>1723</v>
      </c>
      <c r="AT274" t="s">
        <v>5457</v>
      </c>
      <c r="AU274">
        <v>2016</v>
      </c>
      <c r="AV274">
        <v>121</v>
      </c>
      <c r="AW274">
        <v>7</v>
      </c>
      <c r="AX274" t="s">
        <v>74</v>
      </c>
      <c r="AY274" t="s">
        <v>74</v>
      </c>
      <c r="AZ274" t="s">
        <v>74</v>
      </c>
      <c r="BA274" t="s">
        <v>74</v>
      </c>
      <c r="BB274">
        <v>3276</v>
      </c>
      <c r="BC274">
        <v>3289</v>
      </c>
      <c r="BD274" t="s">
        <v>74</v>
      </c>
      <c r="BE274" t="s">
        <v>5541</v>
      </c>
      <c r="BF274" t="str">
        <f>HYPERLINK("http://dx.doi.org/10.1002/2015JD024665","http://dx.doi.org/10.1002/2015JD024665")</f>
        <v>http://dx.doi.org/10.1002/2015JD024665</v>
      </c>
      <c r="BG274" t="s">
        <v>74</v>
      </c>
      <c r="BH274" t="s">
        <v>74</v>
      </c>
      <c r="BI274">
        <v>14</v>
      </c>
      <c r="BJ274" t="s">
        <v>1726</v>
      </c>
      <c r="BK274" t="s">
        <v>102</v>
      </c>
      <c r="BL274" t="s">
        <v>1726</v>
      </c>
      <c r="BM274" t="s">
        <v>5492</v>
      </c>
      <c r="BN274" t="s">
        <v>74</v>
      </c>
      <c r="BO274" t="s">
        <v>203</v>
      </c>
      <c r="BP274" t="s">
        <v>74</v>
      </c>
      <c r="BQ274" t="s">
        <v>74</v>
      </c>
      <c r="BR274" t="s">
        <v>106</v>
      </c>
      <c r="BS274" t="s">
        <v>5542</v>
      </c>
      <c r="BT274" t="str">
        <f>HYPERLINK("https%3A%2F%2Fwww.webofscience.com%2Fwos%2Fwoscc%2Ffull-record%2FWOS:000375120200012","View Full Record in Web of Science")</f>
        <v>View Full Record in Web of Science</v>
      </c>
    </row>
    <row r="275" spans="1:72" x14ac:dyDescent="0.15">
      <c r="A275" t="s">
        <v>72</v>
      </c>
      <c r="B275" t="s">
        <v>5543</v>
      </c>
      <c r="C275" t="s">
        <v>74</v>
      </c>
      <c r="D275" t="s">
        <v>74</v>
      </c>
      <c r="E275" t="s">
        <v>74</v>
      </c>
      <c r="F275" t="s">
        <v>5544</v>
      </c>
      <c r="G275" t="s">
        <v>74</v>
      </c>
      <c r="H275" t="s">
        <v>74</v>
      </c>
      <c r="I275" t="s">
        <v>5545</v>
      </c>
      <c r="J275" t="s">
        <v>1708</v>
      </c>
      <c r="K275" t="s">
        <v>74</v>
      </c>
      <c r="L275" t="s">
        <v>74</v>
      </c>
      <c r="M275" t="s">
        <v>78</v>
      </c>
      <c r="N275" t="s">
        <v>79</v>
      </c>
      <c r="O275" t="s">
        <v>74</v>
      </c>
      <c r="P275" t="s">
        <v>74</v>
      </c>
      <c r="Q275" t="s">
        <v>74</v>
      </c>
      <c r="R275" t="s">
        <v>74</v>
      </c>
      <c r="S275" t="s">
        <v>74</v>
      </c>
      <c r="T275" t="s">
        <v>5546</v>
      </c>
      <c r="U275" t="s">
        <v>5547</v>
      </c>
      <c r="V275" t="s">
        <v>5548</v>
      </c>
      <c r="W275" t="s">
        <v>5549</v>
      </c>
      <c r="X275" t="s">
        <v>5550</v>
      </c>
      <c r="Y275" t="s">
        <v>5551</v>
      </c>
      <c r="Z275" t="s">
        <v>5552</v>
      </c>
      <c r="AA275" t="s">
        <v>5553</v>
      </c>
      <c r="AB275" t="s">
        <v>5554</v>
      </c>
      <c r="AC275" t="s">
        <v>5555</v>
      </c>
      <c r="AD275" t="s">
        <v>5556</v>
      </c>
      <c r="AE275" t="s">
        <v>5557</v>
      </c>
      <c r="AF275" t="s">
        <v>74</v>
      </c>
      <c r="AG275">
        <v>64</v>
      </c>
      <c r="AH275">
        <v>23</v>
      </c>
      <c r="AI275">
        <v>24</v>
      </c>
      <c r="AJ275">
        <v>0</v>
      </c>
      <c r="AK275">
        <v>44</v>
      </c>
      <c r="AL275" t="s">
        <v>92</v>
      </c>
      <c r="AM275" t="s">
        <v>93</v>
      </c>
      <c r="AN275" t="s">
        <v>94</v>
      </c>
      <c r="AO275" t="s">
        <v>1720</v>
      </c>
      <c r="AP275" t="s">
        <v>1721</v>
      </c>
      <c r="AQ275" t="s">
        <v>74</v>
      </c>
      <c r="AR275" t="s">
        <v>1722</v>
      </c>
      <c r="AS275" t="s">
        <v>1723</v>
      </c>
      <c r="AT275" t="s">
        <v>5457</v>
      </c>
      <c r="AU275">
        <v>2016</v>
      </c>
      <c r="AV275">
        <v>121</v>
      </c>
      <c r="AW275">
        <v>7</v>
      </c>
      <c r="AX275" t="s">
        <v>74</v>
      </c>
      <c r="AY275" t="s">
        <v>74</v>
      </c>
      <c r="AZ275" t="s">
        <v>74</v>
      </c>
      <c r="BA275" t="s">
        <v>74</v>
      </c>
      <c r="BB275">
        <v>3663</v>
      </c>
      <c r="BC275">
        <v>3686</v>
      </c>
      <c r="BD275" t="s">
        <v>74</v>
      </c>
      <c r="BE275" t="s">
        <v>5558</v>
      </c>
      <c r="BF275" t="str">
        <f>HYPERLINK("http://dx.doi.org/10.1002/2015JD024488","http://dx.doi.org/10.1002/2015JD024488")</f>
        <v>http://dx.doi.org/10.1002/2015JD024488</v>
      </c>
      <c r="BG275" t="s">
        <v>74</v>
      </c>
      <c r="BH275" t="s">
        <v>74</v>
      </c>
      <c r="BI275">
        <v>24</v>
      </c>
      <c r="BJ275" t="s">
        <v>1726</v>
      </c>
      <c r="BK275" t="s">
        <v>102</v>
      </c>
      <c r="BL275" t="s">
        <v>1726</v>
      </c>
      <c r="BM275" t="s">
        <v>5492</v>
      </c>
      <c r="BN275" t="s">
        <v>74</v>
      </c>
      <c r="BO275" t="s">
        <v>1143</v>
      </c>
      <c r="BP275" t="s">
        <v>74</v>
      </c>
      <c r="BQ275" t="s">
        <v>74</v>
      </c>
      <c r="BR275" t="s">
        <v>106</v>
      </c>
      <c r="BS275" t="s">
        <v>5559</v>
      </c>
      <c r="BT275" t="str">
        <f>HYPERLINK("https%3A%2F%2Fwww.webofscience.com%2Fwos%2Fwoscc%2Ffull-record%2FWOS:000375120200037","View Full Record in Web of Science")</f>
        <v>View Full Record in Web of Science</v>
      </c>
    </row>
    <row r="276" spans="1:72" x14ac:dyDescent="0.15">
      <c r="A276" t="s">
        <v>72</v>
      </c>
      <c r="B276" t="s">
        <v>5560</v>
      </c>
      <c r="C276" t="s">
        <v>74</v>
      </c>
      <c r="D276" t="s">
        <v>74</v>
      </c>
      <c r="E276" t="s">
        <v>74</v>
      </c>
      <c r="F276" t="s">
        <v>5561</v>
      </c>
      <c r="G276" t="s">
        <v>74</v>
      </c>
      <c r="H276" t="s">
        <v>74</v>
      </c>
      <c r="I276" t="s">
        <v>5562</v>
      </c>
      <c r="J276" t="s">
        <v>5563</v>
      </c>
      <c r="K276" t="s">
        <v>74</v>
      </c>
      <c r="L276" t="s">
        <v>74</v>
      </c>
      <c r="M276" t="s">
        <v>78</v>
      </c>
      <c r="N276" t="s">
        <v>79</v>
      </c>
      <c r="O276" t="s">
        <v>74</v>
      </c>
      <c r="P276" t="s">
        <v>74</v>
      </c>
      <c r="Q276" t="s">
        <v>74</v>
      </c>
      <c r="R276" t="s">
        <v>74</v>
      </c>
      <c r="S276" t="s">
        <v>74</v>
      </c>
      <c r="T276" t="s">
        <v>5564</v>
      </c>
      <c r="U276" t="s">
        <v>5565</v>
      </c>
      <c r="V276" t="s">
        <v>5566</v>
      </c>
      <c r="W276" t="s">
        <v>5567</v>
      </c>
      <c r="X276" t="s">
        <v>5568</v>
      </c>
      <c r="Y276" t="s">
        <v>5569</v>
      </c>
      <c r="Z276" t="s">
        <v>5570</v>
      </c>
      <c r="AA276" t="s">
        <v>5571</v>
      </c>
      <c r="AB276" t="s">
        <v>5572</v>
      </c>
      <c r="AC276" t="s">
        <v>5573</v>
      </c>
      <c r="AD276" t="s">
        <v>5574</v>
      </c>
      <c r="AE276" t="s">
        <v>5575</v>
      </c>
      <c r="AF276" t="s">
        <v>74</v>
      </c>
      <c r="AG276">
        <v>57</v>
      </c>
      <c r="AH276">
        <v>11</v>
      </c>
      <c r="AI276">
        <v>12</v>
      </c>
      <c r="AJ276">
        <v>1</v>
      </c>
      <c r="AK276">
        <v>30</v>
      </c>
      <c r="AL276" t="s">
        <v>1829</v>
      </c>
      <c r="AM276" t="s">
        <v>679</v>
      </c>
      <c r="AN276" t="s">
        <v>1830</v>
      </c>
      <c r="AO276" t="s">
        <v>5576</v>
      </c>
      <c r="AP276" t="s">
        <v>5577</v>
      </c>
      <c r="AQ276" t="s">
        <v>74</v>
      </c>
      <c r="AR276" t="s">
        <v>5563</v>
      </c>
      <c r="AS276" t="s">
        <v>5578</v>
      </c>
      <c r="AT276" t="s">
        <v>5579</v>
      </c>
      <c r="AU276">
        <v>2016</v>
      </c>
      <c r="AV276">
        <v>101</v>
      </c>
      <c r="AW276" t="s">
        <v>74</v>
      </c>
      <c r="AX276" t="s">
        <v>74</v>
      </c>
      <c r="AY276" t="s">
        <v>74</v>
      </c>
      <c r="AZ276" t="s">
        <v>74</v>
      </c>
      <c r="BA276" t="s">
        <v>74</v>
      </c>
      <c r="BB276">
        <v>568</v>
      </c>
      <c r="BC276">
        <v>580</v>
      </c>
      <c r="BD276" t="s">
        <v>74</v>
      </c>
      <c r="BE276" t="s">
        <v>5580</v>
      </c>
      <c r="BF276" t="str">
        <f>HYPERLINK("http://dx.doi.org/10.1016/j.energy.2016.02.021","http://dx.doi.org/10.1016/j.energy.2016.02.021")</f>
        <v>http://dx.doi.org/10.1016/j.energy.2016.02.021</v>
      </c>
      <c r="BG276" t="s">
        <v>74</v>
      </c>
      <c r="BH276" t="s">
        <v>74</v>
      </c>
      <c r="BI276">
        <v>13</v>
      </c>
      <c r="BJ276" t="s">
        <v>5581</v>
      </c>
      <c r="BK276" t="s">
        <v>102</v>
      </c>
      <c r="BL276" t="s">
        <v>5581</v>
      </c>
      <c r="BM276" t="s">
        <v>5582</v>
      </c>
      <c r="BN276" t="s">
        <v>74</v>
      </c>
      <c r="BO276" t="s">
        <v>74</v>
      </c>
      <c r="BP276" t="s">
        <v>74</v>
      </c>
      <c r="BQ276" t="s">
        <v>74</v>
      </c>
      <c r="BR276" t="s">
        <v>106</v>
      </c>
      <c r="BS276" t="s">
        <v>5583</v>
      </c>
      <c r="BT276" t="str">
        <f>HYPERLINK("https%3A%2F%2Fwww.webofscience.com%2Fwos%2Fwoscc%2Ffull-record%2FWOS:000375362400052","View Full Record in Web of Science")</f>
        <v>View Full Record in Web of Science</v>
      </c>
    </row>
    <row r="277" spans="1:72" x14ac:dyDescent="0.15">
      <c r="A277" t="s">
        <v>72</v>
      </c>
      <c r="B277" t="s">
        <v>5584</v>
      </c>
      <c r="C277" t="s">
        <v>74</v>
      </c>
      <c r="D277" t="s">
        <v>74</v>
      </c>
      <c r="E277" t="s">
        <v>74</v>
      </c>
      <c r="F277" t="s">
        <v>5585</v>
      </c>
      <c r="G277" t="s">
        <v>74</v>
      </c>
      <c r="H277" t="s">
        <v>74</v>
      </c>
      <c r="I277" t="s">
        <v>5586</v>
      </c>
      <c r="J277" t="s">
        <v>3001</v>
      </c>
      <c r="K277" t="s">
        <v>74</v>
      </c>
      <c r="L277" t="s">
        <v>74</v>
      </c>
      <c r="M277" t="s">
        <v>78</v>
      </c>
      <c r="N277" t="s">
        <v>79</v>
      </c>
      <c r="O277" t="s">
        <v>74</v>
      </c>
      <c r="P277" t="s">
        <v>74</v>
      </c>
      <c r="Q277" t="s">
        <v>74</v>
      </c>
      <c r="R277" t="s">
        <v>74</v>
      </c>
      <c r="S277" t="s">
        <v>74</v>
      </c>
      <c r="T277" t="s">
        <v>5587</v>
      </c>
      <c r="U277" t="s">
        <v>5588</v>
      </c>
      <c r="V277" t="s">
        <v>5589</v>
      </c>
      <c r="W277" t="s">
        <v>5590</v>
      </c>
      <c r="X277" t="s">
        <v>5591</v>
      </c>
      <c r="Y277" t="s">
        <v>5592</v>
      </c>
      <c r="Z277" t="s">
        <v>5593</v>
      </c>
      <c r="AA277" t="s">
        <v>74</v>
      </c>
      <c r="AB277" t="s">
        <v>5594</v>
      </c>
      <c r="AC277" t="s">
        <v>5595</v>
      </c>
      <c r="AD277" t="s">
        <v>5596</v>
      </c>
      <c r="AE277" t="s">
        <v>5597</v>
      </c>
      <c r="AF277" t="s">
        <v>74</v>
      </c>
      <c r="AG277">
        <v>128</v>
      </c>
      <c r="AH277">
        <v>11</v>
      </c>
      <c r="AI277">
        <v>15</v>
      </c>
      <c r="AJ277">
        <v>1</v>
      </c>
      <c r="AK277">
        <v>40</v>
      </c>
      <c r="AL277" t="s">
        <v>5598</v>
      </c>
      <c r="AM277" t="s">
        <v>1427</v>
      </c>
      <c r="AN277" t="s">
        <v>5599</v>
      </c>
      <c r="AO277" t="s">
        <v>3015</v>
      </c>
      <c r="AP277" t="s">
        <v>3016</v>
      </c>
      <c r="AQ277" t="s">
        <v>74</v>
      </c>
      <c r="AR277" t="s">
        <v>3017</v>
      </c>
      <c r="AS277" t="s">
        <v>3018</v>
      </c>
      <c r="AT277" t="s">
        <v>5579</v>
      </c>
      <c r="AU277">
        <v>2016</v>
      </c>
      <c r="AV277">
        <v>219</v>
      </c>
      <c r="AW277">
        <v>8</v>
      </c>
      <c r="AX277" t="s">
        <v>74</v>
      </c>
      <c r="AY277" t="s">
        <v>74</v>
      </c>
      <c r="AZ277" t="s">
        <v>74</v>
      </c>
      <c r="BA277" t="s">
        <v>74</v>
      </c>
      <c r="BB277">
        <v>1203</v>
      </c>
      <c r="BC277">
        <v>1213</v>
      </c>
      <c r="BD277" t="s">
        <v>74</v>
      </c>
      <c r="BE277" t="s">
        <v>5600</v>
      </c>
      <c r="BF277" t="str">
        <f>HYPERLINK("http://dx.doi.org/10.1242/jeb.133173","http://dx.doi.org/10.1242/jeb.133173")</f>
        <v>http://dx.doi.org/10.1242/jeb.133173</v>
      </c>
      <c r="BG277" t="s">
        <v>74</v>
      </c>
      <c r="BH277" t="s">
        <v>74</v>
      </c>
      <c r="BI277">
        <v>11</v>
      </c>
      <c r="BJ277" t="s">
        <v>3021</v>
      </c>
      <c r="BK277" t="s">
        <v>102</v>
      </c>
      <c r="BL277" t="s">
        <v>3022</v>
      </c>
      <c r="BM277" t="s">
        <v>5601</v>
      </c>
      <c r="BN277">
        <v>26944503</v>
      </c>
      <c r="BO277" t="s">
        <v>293</v>
      </c>
      <c r="BP277" t="s">
        <v>74</v>
      </c>
      <c r="BQ277" t="s">
        <v>74</v>
      </c>
      <c r="BR277" t="s">
        <v>106</v>
      </c>
      <c r="BS277" t="s">
        <v>5602</v>
      </c>
      <c r="BT277" t="str">
        <f>HYPERLINK("https%3A%2F%2Fwww.webofscience.com%2Fwos%2Fwoscc%2Ffull-record%2FWOS:000374958100018","View Full Record in Web of Science")</f>
        <v>View Full Record in Web of Science</v>
      </c>
    </row>
    <row r="278" spans="1:72" x14ac:dyDescent="0.15">
      <c r="A278" t="s">
        <v>72</v>
      </c>
      <c r="B278" t="s">
        <v>5603</v>
      </c>
      <c r="C278" t="s">
        <v>74</v>
      </c>
      <c r="D278" t="s">
        <v>74</v>
      </c>
      <c r="E278" t="s">
        <v>74</v>
      </c>
      <c r="F278" t="s">
        <v>5604</v>
      </c>
      <c r="G278" t="s">
        <v>74</v>
      </c>
      <c r="H278" t="s">
        <v>74</v>
      </c>
      <c r="I278" t="s">
        <v>5605</v>
      </c>
      <c r="J278" t="s">
        <v>1845</v>
      </c>
      <c r="K278" t="s">
        <v>74</v>
      </c>
      <c r="L278" t="s">
        <v>74</v>
      </c>
      <c r="M278" t="s">
        <v>78</v>
      </c>
      <c r="N278" t="s">
        <v>79</v>
      </c>
      <c r="O278" t="s">
        <v>74</v>
      </c>
      <c r="P278" t="s">
        <v>74</v>
      </c>
      <c r="Q278" t="s">
        <v>74</v>
      </c>
      <c r="R278" t="s">
        <v>74</v>
      </c>
      <c r="S278" t="s">
        <v>74</v>
      </c>
      <c r="T278" t="s">
        <v>5606</v>
      </c>
      <c r="U278" t="s">
        <v>5607</v>
      </c>
      <c r="V278" t="s">
        <v>5608</v>
      </c>
      <c r="W278" t="s">
        <v>5609</v>
      </c>
      <c r="X278" t="s">
        <v>5610</v>
      </c>
      <c r="Y278" t="s">
        <v>5611</v>
      </c>
      <c r="Z278" t="s">
        <v>5612</v>
      </c>
      <c r="AA278" t="s">
        <v>5613</v>
      </c>
      <c r="AB278" t="s">
        <v>5614</v>
      </c>
      <c r="AC278" t="s">
        <v>5615</v>
      </c>
      <c r="AD278" t="s">
        <v>5616</v>
      </c>
      <c r="AE278" t="s">
        <v>5617</v>
      </c>
      <c r="AF278" t="s">
        <v>74</v>
      </c>
      <c r="AG278">
        <v>57</v>
      </c>
      <c r="AH278">
        <v>3</v>
      </c>
      <c r="AI278">
        <v>4</v>
      </c>
      <c r="AJ278">
        <v>0</v>
      </c>
      <c r="AK278">
        <v>24</v>
      </c>
      <c r="AL278" t="s">
        <v>1829</v>
      </c>
      <c r="AM278" t="s">
        <v>679</v>
      </c>
      <c r="AN278" t="s">
        <v>1830</v>
      </c>
      <c r="AO278" t="s">
        <v>1858</v>
      </c>
      <c r="AP278" t="s">
        <v>1859</v>
      </c>
      <c r="AQ278" t="s">
        <v>74</v>
      </c>
      <c r="AR278" t="s">
        <v>1860</v>
      </c>
      <c r="AS278" t="s">
        <v>1861</v>
      </c>
      <c r="AT278" t="s">
        <v>5579</v>
      </c>
      <c r="AU278">
        <v>2016</v>
      </c>
      <c r="AV278">
        <v>118</v>
      </c>
      <c r="AW278" t="s">
        <v>74</v>
      </c>
      <c r="AX278" t="s">
        <v>74</v>
      </c>
      <c r="AY278" t="s">
        <v>74</v>
      </c>
      <c r="AZ278" t="s">
        <v>74</v>
      </c>
      <c r="BA278" t="s">
        <v>74</v>
      </c>
      <c r="BB278">
        <v>1</v>
      </c>
      <c r="BC278">
        <v>10</v>
      </c>
      <c r="BD278" t="s">
        <v>74</v>
      </c>
      <c r="BE278" t="s">
        <v>5618</v>
      </c>
      <c r="BF278" t="str">
        <f>HYPERLINK("http://dx.doi.org/10.1016/j.csr.2016.02.013","http://dx.doi.org/10.1016/j.csr.2016.02.013")</f>
        <v>http://dx.doi.org/10.1016/j.csr.2016.02.013</v>
      </c>
      <c r="BG278" t="s">
        <v>74</v>
      </c>
      <c r="BH278" t="s">
        <v>74</v>
      </c>
      <c r="BI278">
        <v>10</v>
      </c>
      <c r="BJ278" t="s">
        <v>361</v>
      </c>
      <c r="BK278" t="s">
        <v>102</v>
      </c>
      <c r="BL278" t="s">
        <v>361</v>
      </c>
      <c r="BM278" t="s">
        <v>5619</v>
      </c>
      <c r="BN278" t="s">
        <v>74</v>
      </c>
      <c r="BO278" t="s">
        <v>74</v>
      </c>
      <c r="BP278" t="s">
        <v>74</v>
      </c>
      <c r="BQ278" t="s">
        <v>74</v>
      </c>
      <c r="BR278" t="s">
        <v>106</v>
      </c>
      <c r="BS278" t="s">
        <v>5620</v>
      </c>
      <c r="BT278" t="str">
        <f>HYPERLINK("https%3A%2F%2Fwww.webofscience.com%2Fwos%2Fwoscc%2Ffull-record%2FWOS:000374078400001","View Full Record in Web of Science")</f>
        <v>View Full Record in Web of Science</v>
      </c>
    </row>
    <row r="279" spans="1:72" x14ac:dyDescent="0.15">
      <c r="A279" t="s">
        <v>72</v>
      </c>
      <c r="B279" t="s">
        <v>5621</v>
      </c>
      <c r="C279" t="s">
        <v>74</v>
      </c>
      <c r="D279" t="s">
        <v>74</v>
      </c>
      <c r="E279" t="s">
        <v>74</v>
      </c>
      <c r="F279" t="s">
        <v>5622</v>
      </c>
      <c r="G279" t="s">
        <v>74</v>
      </c>
      <c r="H279" t="s">
        <v>74</v>
      </c>
      <c r="I279" t="s">
        <v>5623</v>
      </c>
      <c r="J279" t="s">
        <v>5624</v>
      </c>
      <c r="K279" t="s">
        <v>74</v>
      </c>
      <c r="L279" t="s">
        <v>74</v>
      </c>
      <c r="M279" t="s">
        <v>78</v>
      </c>
      <c r="N279" t="s">
        <v>79</v>
      </c>
      <c r="O279" t="s">
        <v>74</v>
      </c>
      <c r="P279" t="s">
        <v>74</v>
      </c>
      <c r="Q279" t="s">
        <v>74</v>
      </c>
      <c r="R279" t="s">
        <v>74</v>
      </c>
      <c r="S279" t="s">
        <v>74</v>
      </c>
      <c r="T279" t="s">
        <v>5625</v>
      </c>
      <c r="U279" t="s">
        <v>5626</v>
      </c>
      <c r="V279" t="s">
        <v>5627</v>
      </c>
      <c r="W279" t="s">
        <v>5628</v>
      </c>
      <c r="X279" t="s">
        <v>5629</v>
      </c>
      <c r="Y279" t="s">
        <v>5630</v>
      </c>
      <c r="Z279" t="s">
        <v>5631</v>
      </c>
      <c r="AA279" t="s">
        <v>5632</v>
      </c>
      <c r="AB279" t="s">
        <v>5633</v>
      </c>
      <c r="AC279" t="s">
        <v>5634</v>
      </c>
      <c r="AD279" t="s">
        <v>5635</v>
      </c>
      <c r="AE279" t="s">
        <v>5636</v>
      </c>
      <c r="AF279" t="s">
        <v>74</v>
      </c>
      <c r="AG279">
        <v>52</v>
      </c>
      <c r="AH279">
        <v>21</v>
      </c>
      <c r="AI279">
        <v>29</v>
      </c>
      <c r="AJ279">
        <v>1</v>
      </c>
      <c r="AK279">
        <v>34</v>
      </c>
      <c r="AL279" t="s">
        <v>626</v>
      </c>
      <c r="AM279" t="s">
        <v>583</v>
      </c>
      <c r="AN279" t="s">
        <v>627</v>
      </c>
      <c r="AO279" t="s">
        <v>5637</v>
      </c>
      <c r="AP279" t="s">
        <v>5638</v>
      </c>
      <c r="AQ279" t="s">
        <v>74</v>
      </c>
      <c r="AR279" t="s">
        <v>5639</v>
      </c>
      <c r="AS279" t="s">
        <v>5640</v>
      </c>
      <c r="AT279" t="s">
        <v>5579</v>
      </c>
      <c r="AU279">
        <v>2016</v>
      </c>
      <c r="AV279">
        <v>440</v>
      </c>
      <c r="AW279" t="s">
        <v>74</v>
      </c>
      <c r="AX279" t="s">
        <v>74</v>
      </c>
      <c r="AY279" t="s">
        <v>74</v>
      </c>
      <c r="AZ279" t="s">
        <v>74</v>
      </c>
      <c r="BA279" t="s">
        <v>74</v>
      </c>
      <c r="BB279">
        <v>12</v>
      </c>
      <c r="BC279">
        <v>19</v>
      </c>
      <c r="BD279" t="s">
        <v>74</v>
      </c>
      <c r="BE279" t="s">
        <v>5641</v>
      </c>
      <c r="BF279" t="str">
        <f>HYPERLINK("http://dx.doi.org/10.1016/j.epsl.2016.01.035","http://dx.doi.org/10.1016/j.epsl.2016.01.035")</f>
        <v>http://dx.doi.org/10.1016/j.epsl.2016.01.035</v>
      </c>
      <c r="BG279" t="s">
        <v>74</v>
      </c>
      <c r="BH279" t="s">
        <v>74</v>
      </c>
      <c r="BI279">
        <v>8</v>
      </c>
      <c r="BJ279" t="s">
        <v>727</v>
      </c>
      <c r="BK279" t="s">
        <v>102</v>
      </c>
      <c r="BL279" t="s">
        <v>727</v>
      </c>
      <c r="BM279" t="s">
        <v>5642</v>
      </c>
      <c r="BN279" t="s">
        <v>74</v>
      </c>
      <c r="BO279" t="s">
        <v>1191</v>
      </c>
      <c r="BP279" t="s">
        <v>74</v>
      </c>
      <c r="BQ279" t="s">
        <v>74</v>
      </c>
      <c r="BR279" t="s">
        <v>106</v>
      </c>
      <c r="BS279" t="s">
        <v>5643</v>
      </c>
      <c r="BT279" t="str">
        <f>HYPERLINK("https%3A%2F%2Fwww.webofscience.com%2Fwos%2Fwoscc%2Ffull-record%2FWOS:000372942600002","View Full Record in Web of Science")</f>
        <v>View Full Record in Web of Science</v>
      </c>
    </row>
    <row r="280" spans="1:72" x14ac:dyDescent="0.15">
      <c r="A280" t="s">
        <v>72</v>
      </c>
      <c r="B280" t="s">
        <v>5644</v>
      </c>
      <c r="C280" t="s">
        <v>74</v>
      </c>
      <c r="D280" t="s">
        <v>74</v>
      </c>
      <c r="E280" t="s">
        <v>74</v>
      </c>
      <c r="F280" t="s">
        <v>5645</v>
      </c>
      <c r="G280" t="s">
        <v>74</v>
      </c>
      <c r="H280" t="s">
        <v>74</v>
      </c>
      <c r="I280" t="s">
        <v>5646</v>
      </c>
      <c r="J280" t="s">
        <v>5097</v>
      </c>
      <c r="K280" t="s">
        <v>74</v>
      </c>
      <c r="L280" t="s">
        <v>74</v>
      </c>
      <c r="M280" t="s">
        <v>78</v>
      </c>
      <c r="N280" t="s">
        <v>79</v>
      </c>
      <c r="O280" t="s">
        <v>74</v>
      </c>
      <c r="P280" t="s">
        <v>74</v>
      </c>
      <c r="Q280" t="s">
        <v>74</v>
      </c>
      <c r="R280" t="s">
        <v>74</v>
      </c>
      <c r="S280" t="s">
        <v>74</v>
      </c>
      <c r="T280" t="s">
        <v>74</v>
      </c>
      <c r="U280" t="s">
        <v>5647</v>
      </c>
      <c r="V280" t="s">
        <v>5648</v>
      </c>
      <c r="W280" t="s">
        <v>5649</v>
      </c>
      <c r="X280" t="s">
        <v>5650</v>
      </c>
      <c r="Y280" t="s">
        <v>5651</v>
      </c>
      <c r="Z280" t="s">
        <v>5652</v>
      </c>
      <c r="AA280" t="s">
        <v>5653</v>
      </c>
      <c r="AB280" t="s">
        <v>5654</v>
      </c>
      <c r="AC280" t="s">
        <v>5655</v>
      </c>
      <c r="AD280" t="s">
        <v>5656</v>
      </c>
      <c r="AE280" t="s">
        <v>5657</v>
      </c>
      <c r="AF280" t="s">
        <v>74</v>
      </c>
      <c r="AG280">
        <v>86</v>
      </c>
      <c r="AH280">
        <v>48</v>
      </c>
      <c r="AI280">
        <v>50</v>
      </c>
      <c r="AJ280">
        <v>0</v>
      </c>
      <c r="AK280">
        <v>18</v>
      </c>
      <c r="AL280" t="s">
        <v>1829</v>
      </c>
      <c r="AM280" t="s">
        <v>679</v>
      </c>
      <c r="AN280" t="s">
        <v>1830</v>
      </c>
      <c r="AO280" t="s">
        <v>5107</v>
      </c>
      <c r="AP280" t="s">
        <v>5108</v>
      </c>
      <c r="AQ280" t="s">
        <v>74</v>
      </c>
      <c r="AR280" t="s">
        <v>5109</v>
      </c>
      <c r="AS280" t="s">
        <v>5110</v>
      </c>
      <c r="AT280" t="s">
        <v>5579</v>
      </c>
      <c r="AU280">
        <v>2016</v>
      </c>
      <c r="AV280">
        <v>179</v>
      </c>
      <c r="AW280" t="s">
        <v>74</v>
      </c>
      <c r="AX280" t="s">
        <v>74</v>
      </c>
      <c r="AY280" t="s">
        <v>74</v>
      </c>
      <c r="AZ280" t="s">
        <v>74</v>
      </c>
      <c r="BA280" t="s">
        <v>74</v>
      </c>
      <c r="BB280">
        <v>1</v>
      </c>
      <c r="BC280">
        <v>31</v>
      </c>
      <c r="BD280" t="s">
        <v>74</v>
      </c>
      <c r="BE280" t="s">
        <v>5658</v>
      </c>
      <c r="BF280" t="str">
        <f>HYPERLINK("http://dx.doi.org/10.1016/j.gca.2015.11.045","http://dx.doi.org/10.1016/j.gca.2015.11.045")</f>
        <v>http://dx.doi.org/10.1016/j.gca.2015.11.045</v>
      </c>
      <c r="BG280" t="s">
        <v>74</v>
      </c>
      <c r="BH280" t="s">
        <v>74</v>
      </c>
      <c r="BI280">
        <v>31</v>
      </c>
      <c r="BJ280" t="s">
        <v>727</v>
      </c>
      <c r="BK280" t="s">
        <v>102</v>
      </c>
      <c r="BL280" t="s">
        <v>727</v>
      </c>
      <c r="BM280" t="s">
        <v>5659</v>
      </c>
      <c r="BN280" t="s">
        <v>74</v>
      </c>
      <c r="BO280" t="s">
        <v>403</v>
      </c>
      <c r="BP280" t="s">
        <v>74</v>
      </c>
      <c r="BQ280" t="s">
        <v>74</v>
      </c>
      <c r="BR280" t="s">
        <v>106</v>
      </c>
      <c r="BS280" t="s">
        <v>5660</v>
      </c>
      <c r="BT280" t="str">
        <f>HYPERLINK("https%3A%2F%2Fwww.webofscience.com%2Fwos%2Fwoscc%2Ffull-record%2FWOS:000372565800001","View Full Record in Web of Science")</f>
        <v>View Full Record in Web of Science</v>
      </c>
    </row>
    <row r="281" spans="1:72" x14ac:dyDescent="0.15">
      <c r="A281" t="s">
        <v>72</v>
      </c>
      <c r="B281" t="s">
        <v>5661</v>
      </c>
      <c r="C281" t="s">
        <v>74</v>
      </c>
      <c r="D281" t="s">
        <v>74</v>
      </c>
      <c r="E281" t="s">
        <v>74</v>
      </c>
      <c r="F281" t="s">
        <v>5662</v>
      </c>
      <c r="G281" t="s">
        <v>74</v>
      </c>
      <c r="H281" t="s">
        <v>74</v>
      </c>
      <c r="I281" t="s">
        <v>5663</v>
      </c>
      <c r="J281" t="s">
        <v>5664</v>
      </c>
      <c r="K281" t="s">
        <v>74</v>
      </c>
      <c r="L281" t="s">
        <v>74</v>
      </c>
      <c r="M281" t="s">
        <v>78</v>
      </c>
      <c r="N281" t="s">
        <v>949</v>
      </c>
      <c r="O281" t="s">
        <v>74</v>
      </c>
      <c r="P281" t="s">
        <v>74</v>
      </c>
      <c r="Q281" t="s">
        <v>74</v>
      </c>
      <c r="R281" t="s">
        <v>74</v>
      </c>
      <c r="S281" t="s">
        <v>74</v>
      </c>
      <c r="T281" t="s">
        <v>5665</v>
      </c>
      <c r="U281" t="s">
        <v>5666</v>
      </c>
      <c r="V281" t="s">
        <v>5667</v>
      </c>
      <c r="W281" t="s">
        <v>5668</v>
      </c>
      <c r="X281" t="s">
        <v>5669</v>
      </c>
      <c r="Y281" t="s">
        <v>5670</v>
      </c>
      <c r="Z281" t="s">
        <v>5671</v>
      </c>
      <c r="AA281" t="s">
        <v>5672</v>
      </c>
      <c r="AB281" t="s">
        <v>5673</v>
      </c>
      <c r="AC281" t="s">
        <v>5674</v>
      </c>
      <c r="AD281" t="s">
        <v>5675</v>
      </c>
      <c r="AE281" t="s">
        <v>5676</v>
      </c>
      <c r="AF281" t="s">
        <v>74</v>
      </c>
      <c r="AG281">
        <v>166</v>
      </c>
      <c r="AH281">
        <v>12</v>
      </c>
      <c r="AI281">
        <v>12</v>
      </c>
      <c r="AJ281">
        <v>3</v>
      </c>
      <c r="AK281">
        <v>105</v>
      </c>
      <c r="AL281" t="s">
        <v>5677</v>
      </c>
      <c r="AM281" t="s">
        <v>773</v>
      </c>
      <c r="AN281" t="s">
        <v>5678</v>
      </c>
      <c r="AO281" t="s">
        <v>5679</v>
      </c>
      <c r="AP281" t="s">
        <v>5680</v>
      </c>
      <c r="AQ281" t="s">
        <v>74</v>
      </c>
      <c r="AR281" t="s">
        <v>5681</v>
      </c>
      <c r="AS281" t="s">
        <v>5682</v>
      </c>
      <c r="AT281" t="s">
        <v>5579</v>
      </c>
      <c r="AU281">
        <v>2016</v>
      </c>
      <c r="AV281">
        <v>171</v>
      </c>
      <c r="AW281" t="s">
        <v>74</v>
      </c>
      <c r="AX281" t="s">
        <v>74</v>
      </c>
      <c r="AY281" t="s">
        <v>74</v>
      </c>
      <c r="AZ281" t="s">
        <v>74</v>
      </c>
      <c r="BA281" t="s">
        <v>74</v>
      </c>
      <c r="BB281">
        <v>243</v>
      </c>
      <c r="BC281">
        <v>259</v>
      </c>
      <c r="BD281" t="s">
        <v>74</v>
      </c>
      <c r="BE281" t="s">
        <v>5683</v>
      </c>
      <c r="BF281" t="str">
        <f>HYPERLINK("http://dx.doi.org/10.1016/j.jenvman.2016.01.026","http://dx.doi.org/10.1016/j.jenvman.2016.01.026")</f>
        <v>http://dx.doi.org/10.1016/j.jenvman.2016.01.026</v>
      </c>
      <c r="BG281" t="s">
        <v>74</v>
      </c>
      <c r="BH281" t="s">
        <v>74</v>
      </c>
      <c r="BI281">
        <v>17</v>
      </c>
      <c r="BJ281" t="s">
        <v>464</v>
      </c>
      <c r="BK281" t="s">
        <v>102</v>
      </c>
      <c r="BL281" t="s">
        <v>465</v>
      </c>
      <c r="BM281" t="s">
        <v>5684</v>
      </c>
      <c r="BN281">
        <v>26846983</v>
      </c>
      <c r="BO281" t="s">
        <v>74</v>
      </c>
      <c r="BP281" t="s">
        <v>74</v>
      </c>
      <c r="BQ281" t="s">
        <v>74</v>
      </c>
      <c r="BR281" t="s">
        <v>106</v>
      </c>
      <c r="BS281" t="s">
        <v>5685</v>
      </c>
      <c r="BT281" t="str">
        <f>HYPERLINK("https%3A%2F%2Fwww.webofscience.com%2Fwos%2Fwoscc%2Ffull-record%2FWOS:000372680900027","View Full Record in Web of Science")</f>
        <v>View Full Record in Web of Science</v>
      </c>
    </row>
    <row r="282" spans="1:72" x14ac:dyDescent="0.15">
      <c r="A282" t="s">
        <v>72</v>
      </c>
      <c r="B282" t="s">
        <v>5686</v>
      </c>
      <c r="C282" t="s">
        <v>74</v>
      </c>
      <c r="D282" t="s">
        <v>74</v>
      </c>
      <c r="E282" t="s">
        <v>74</v>
      </c>
      <c r="F282" t="s">
        <v>5687</v>
      </c>
      <c r="G282" t="s">
        <v>74</v>
      </c>
      <c r="H282" t="s">
        <v>74</v>
      </c>
      <c r="I282" t="s">
        <v>5688</v>
      </c>
      <c r="J282" t="s">
        <v>3001</v>
      </c>
      <c r="K282" t="s">
        <v>74</v>
      </c>
      <c r="L282" t="s">
        <v>74</v>
      </c>
      <c r="M282" t="s">
        <v>78</v>
      </c>
      <c r="N282" t="s">
        <v>949</v>
      </c>
      <c r="O282" t="s">
        <v>74</v>
      </c>
      <c r="P282" t="s">
        <v>74</v>
      </c>
      <c r="Q282" t="s">
        <v>74</v>
      </c>
      <c r="R282" t="s">
        <v>74</v>
      </c>
      <c r="S282" t="s">
        <v>74</v>
      </c>
      <c r="T282" t="s">
        <v>5689</v>
      </c>
      <c r="U282" t="s">
        <v>5690</v>
      </c>
      <c r="V282" t="s">
        <v>5691</v>
      </c>
      <c r="W282" t="s">
        <v>5692</v>
      </c>
      <c r="X282" t="s">
        <v>5693</v>
      </c>
      <c r="Y282" t="s">
        <v>5694</v>
      </c>
      <c r="Z282" t="s">
        <v>5695</v>
      </c>
      <c r="AA282" t="s">
        <v>74</v>
      </c>
      <c r="AB282" t="s">
        <v>74</v>
      </c>
      <c r="AC282" t="s">
        <v>74</v>
      </c>
      <c r="AD282" t="s">
        <v>74</v>
      </c>
      <c r="AE282" t="s">
        <v>74</v>
      </c>
      <c r="AF282" t="s">
        <v>74</v>
      </c>
      <c r="AG282">
        <v>170</v>
      </c>
      <c r="AH282">
        <v>73</v>
      </c>
      <c r="AI282">
        <v>83</v>
      </c>
      <c r="AJ282">
        <v>20</v>
      </c>
      <c r="AK282">
        <v>463</v>
      </c>
      <c r="AL282" t="s">
        <v>5598</v>
      </c>
      <c r="AM282" t="s">
        <v>1427</v>
      </c>
      <c r="AN282" t="s">
        <v>5599</v>
      </c>
      <c r="AO282" t="s">
        <v>3015</v>
      </c>
      <c r="AP282" t="s">
        <v>3016</v>
      </c>
      <c r="AQ282" t="s">
        <v>74</v>
      </c>
      <c r="AR282" t="s">
        <v>3017</v>
      </c>
      <c r="AS282" t="s">
        <v>3018</v>
      </c>
      <c r="AT282" t="s">
        <v>5579</v>
      </c>
      <c r="AU282">
        <v>2016</v>
      </c>
      <c r="AV282">
        <v>219</v>
      </c>
      <c r="AW282">
        <v>8</v>
      </c>
      <c r="AX282" t="s">
        <v>74</v>
      </c>
      <c r="AY282" t="s">
        <v>74</v>
      </c>
      <c r="AZ282" t="s">
        <v>74</v>
      </c>
      <c r="BA282" t="s">
        <v>74</v>
      </c>
      <c r="BB282">
        <v>1093</v>
      </c>
      <c r="BC282">
        <v>1105</v>
      </c>
      <c r="BD282" t="s">
        <v>74</v>
      </c>
      <c r="BE282" t="s">
        <v>5696</v>
      </c>
      <c r="BF282" t="str">
        <f>HYPERLINK("http://dx.doi.org/10.1242/jeb.120477","http://dx.doi.org/10.1242/jeb.120477")</f>
        <v>http://dx.doi.org/10.1242/jeb.120477</v>
      </c>
      <c r="BG282" t="s">
        <v>74</v>
      </c>
      <c r="BH282" t="s">
        <v>74</v>
      </c>
      <c r="BI282">
        <v>13</v>
      </c>
      <c r="BJ282" t="s">
        <v>3021</v>
      </c>
      <c r="BK282" t="s">
        <v>102</v>
      </c>
      <c r="BL282" t="s">
        <v>3022</v>
      </c>
      <c r="BM282" t="s">
        <v>5601</v>
      </c>
      <c r="BN282">
        <v>27103673</v>
      </c>
      <c r="BO282" t="s">
        <v>420</v>
      </c>
      <c r="BP282" t="s">
        <v>74</v>
      </c>
      <c r="BQ282" t="s">
        <v>74</v>
      </c>
      <c r="BR282" t="s">
        <v>106</v>
      </c>
      <c r="BS282" t="s">
        <v>5697</v>
      </c>
      <c r="BT282" t="str">
        <f>HYPERLINK("https%3A%2F%2Fwww.webofscience.com%2Fwos%2Fwoscc%2Ffull-record%2FWOS:000374958100006","View Full Record in Web of Science")</f>
        <v>View Full Record in Web of Science</v>
      </c>
    </row>
    <row r="283" spans="1:72" x14ac:dyDescent="0.15">
      <c r="A283" t="s">
        <v>72</v>
      </c>
      <c r="B283" t="s">
        <v>5698</v>
      </c>
      <c r="C283" t="s">
        <v>74</v>
      </c>
      <c r="D283" t="s">
        <v>74</v>
      </c>
      <c r="E283" t="s">
        <v>74</v>
      </c>
      <c r="F283" t="s">
        <v>5699</v>
      </c>
      <c r="G283" t="s">
        <v>74</v>
      </c>
      <c r="H283" t="s">
        <v>74</v>
      </c>
      <c r="I283" t="s">
        <v>5700</v>
      </c>
      <c r="J283" t="s">
        <v>2000</v>
      </c>
      <c r="K283" t="s">
        <v>74</v>
      </c>
      <c r="L283" t="s">
        <v>74</v>
      </c>
      <c r="M283" t="s">
        <v>78</v>
      </c>
      <c r="N283" t="s">
        <v>79</v>
      </c>
      <c r="O283" t="s">
        <v>74</v>
      </c>
      <c r="P283" t="s">
        <v>74</v>
      </c>
      <c r="Q283" t="s">
        <v>74</v>
      </c>
      <c r="R283" t="s">
        <v>74</v>
      </c>
      <c r="S283" t="s">
        <v>74</v>
      </c>
      <c r="T283" t="s">
        <v>5701</v>
      </c>
      <c r="U283" t="s">
        <v>5702</v>
      </c>
      <c r="V283" t="s">
        <v>5703</v>
      </c>
      <c r="W283" t="s">
        <v>5704</v>
      </c>
      <c r="X283" t="s">
        <v>5705</v>
      </c>
      <c r="Y283" t="s">
        <v>5706</v>
      </c>
      <c r="Z283" t="s">
        <v>5707</v>
      </c>
      <c r="AA283" t="s">
        <v>5708</v>
      </c>
      <c r="AB283" t="s">
        <v>5709</v>
      </c>
      <c r="AC283" t="s">
        <v>5710</v>
      </c>
      <c r="AD283" t="s">
        <v>5711</v>
      </c>
      <c r="AE283" t="s">
        <v>5712</v>
      </c>
      <c r="AF283" t="s">
        <v>74</v>
      </c>
      <c r="AG283">
        <v>51</v>
      </c>
      <c r="AH283">
        <v>13</v>
      </c>
      <c r="AI283">
        <v>14</v>
      </c>
      <c r="AJ283">
        <v>0</v>
      </c>
      <c r="AK283">
        <v>41</v>
      </c>
      <c r="AL283" t="s">
        <v>626</v>
      </c>
      <c r="AM283" t="s">
        <v>583</v>
      </c>
      <c r="AN283" t="s">
        <v>627</v>
      </c>
      <c r="AO283" t="s">
        <v>2011</v>
      </c>
      <c r="AP283" t="s">
        <v>2012</v>
      </c>
      <c r="AQ283" t="s">
        <v>74</v>
      </c>
      <c r="AR283" t="s">
        <v>2013</v>
      </c>
      <c r="AS283" t="s">
        <v>2014</v>
      </c>
      <c r="AT283" t="s">
        <v>5579</v>
      </c>
      <c r="AU283">
        <v>2016</v>
      </c>
      <c r="AV283">
        <v>550</v>
      </c>
      <c r="AW283" t="s">
        <v>74</v>
      </c>
      <c r="AX283" t="s">
        <v>74</v>
      </c>
      <c r="AY283" t="s">
        <v>74</v>
      </c>
      <c r="AZ283" t="s">
        <v>74</v>
      </c>
      <c r="BA283" t="s">
        <v>74</v>
      </c>
      <c r="BB283">
        <v>418</v>
      </c>
      <c r="BC283">
        <v>430</v>
      </c>
      <c r="BD283" t="s">
        <v>74</v>
      </c>
      <c r="BE283" t="s">
        <v>5713</v>
      </c>
      <c r="BF283" t="str">
        <f>HYPERLINK("http://dx.doi.org/10.1016/j.scitotenv.2016.01.087","http://dx.doi.org/10.1016/j.scitotenv.2016.01.087")</f>
        <v>http://dx.doi.org/10.1016/j.scitotenv.2016.01.087</v>
      </c>
      <c r="BG283" t="s">
        <v>74</v>
      </c>
      <c r="BH283" t="s">
        <v>74</v>
      </c>
      <c r="BI283">
        <v>13</v>
      </c>
      <c r="BJ283" t="s">
        <v>464</v>
      </c>
      <c r="BK283" t="s">
        <v>102</v>
      </c>
      <c r="BL283" t="s">
        <v>465</v>
      </c>
      <c r="BM283" t="s">
        <v>5714</v>
      </c>
      <c r="BN283">
        <v>26849319</v>
      </c>
      <c r="BO283" t="s">
        <v>74</v>
      </c>
      <c r="BP283" t="s">
        <v>74</v>
      </c>
      <c r="BQ283" t="s">
        <v>74</v>
      </c>
      <c r="BR283" t="s">
        <v>106</v>
      </c>
      <c r="BS283" t="s">
        <v>5715</v>
      </c>
      <c r="BT283" t="str">
        <f>HYPERLINK("https%3A%2F%2Fwww.webofscience.com%2Fwos%2Fwoscc%2Ffull-record%2FWOS:000371226700044","View Full Record in Web of Science")</f>
        <v>View Full Record in Web of Science</v>
      </c>
    </row>
    <row r="284" spans="1:72" x14ac:dyDescent="0.15">
      <c r="A284" t="s">
        <v>72</v>
      </c>
      <c r="B284" t="s">
        <v>5716</v>
      </c>
      <c r="C284" t="s">
        <v>74</v>
      </c>
      <c r="D284" t="s">
        <v>74</v>
      </c>
      <c r="E284" t="s">
        <v>74</v>
      </c>
      <c r="F284" t="s">
        <v>5717</v>
      </c>
      <c r="G284" t="s">
        <v>74</v>
      </c>
      <c r="H284" t="s">
        <v>74</v>
      </c>
      <c r="I284" t="s">
        <v>5718</v>
      </c>
      <c r="J284" t="s">
        <v>5719</v>
      </c>
      <c r="K284" t="s">
        <v>74</v>
      </c>
      <c r="L284" t="s">
        <v>74</v>
      </c>
      <c r="M284" t="s">
        <v>78</v>
      </c>
      <c r="N284" t="s">
        <v>949</v>
      </c>
      <c r="O284" t="s">
        <v>74</v>
      </c>
      <c r="P284" t="s">
        <v>74</v>
      </c>
      <c r="Q284" t="s">
        <v>74</v>
      </c>
      <c r="R284" t="s">
        <v>74</v>
      </c>
      <c r="S284" t="s">
        <v>74</v>
      </c>
      <c r="T284" t="s">
        <v>5720</v>
      </c>
      <c r="U284" t="s">
        <v>5721</v>
      </c>
      <c r="V284" t="s">
        <v>5722</v>
      </c>
      <c r="W284" t="s">
        <v>5723</v>
      </c>
      <c r="X284" t="s">
        <v>1057</v>
      </c>
      <c r="Y284" t="s">
        <v>5724</v>
      </c>
      <c r="Z284" t="s">
        <v>5725</v>
      </c>
      <c r="AA284" t="s">
        <v>5726</v>
      </c>
      <c r="AB284" t="s">
        <v>5727</v>
      </c>
      <c r="AC284" t="s">
        <v>5728</v>
      </c>
      <c r="AD284" t="s">
        <v>5728</v>
      </c>
      <c r="AE284" t="s">
        <v>5729</v>
      </c>
      <c r="AF284" t="s">
        <v>74</v>
      </c>
      <c r="AG284">
        <v>84</v>
      </c>
      <c r="AH284">
        <v>45</v>
      </c>
      <c r="AI284">
        <v>48</v>
      </c>
      <c r="AJ284">
        <v>1</v>
      </c>
      <c r="AK284">
        <v>57</v>
      </c>
      <c r="AL284" t="s">
        <v>5730</v>
      </c>
      <c r="AM284" t="s">
        <v>1180</v>
      </c>
      <c r="AN284" t="s">
        <v>1181</v>
      </c>
      <c r="AO284" t="s">
        <v>5731</v>
      </c>
      <c r="AP284" t="s">
        <v>74</v>
      </c>
      <c r="AQ284" t="s">
        <v>74</v>
      </c>
      <c r="AR284" t="s">
        <v>5719</v>
      </c>
      <c r="AS284" t="s">
        <v>5732</v>
      </c>
      <c r="AT284" t="s">
        <v>5733</v>
      </c>
      <c r="AU284">
        <v>2016</v>
      </c>
      <c r="AV284">
        <v>5</v>
      </c>
      <c r="AW284" t="s">
        <v>74</v>
      </c>
      <c r="AX284" t="s">
        <v>74</v>
      </c>
      <c r="AY284" t="s">
        <v>74</v>
      </c>
      <c r="AZ284" t="s">
        <v>74</v>
      </c>
      <c r="BA284" t="s">
        <v>74</v>
      </c>
      <c r="BB284" t="s">
        <v>74</v>
      </c>
      <c r="BC284" t="s">
        <v>74</v>
      </c>
      <c r="BD284">
        <v>464</v>
      </c>
      <c r="BE284" t="s">
        <v>5734</v>
      </c>
      <c r="BF284" t="str">
        <f>HYPERLINK("http://dx.doi.org/10.1186/s40064-016-2115-7","http://dx.doi.org/10.1186/s40064-016-2115-7")</f>
        <v>http://dx.doi.org/10.1186/s40064-016-2115-7</v>
      </c>
      <c r="BG284" t="s">
        <v>74</v>
      </c>
      <c r="BH284" t="s">
        <v>74</v>
      </c>
      <c r="BI284">
        <v>17</v>
      </c>
      <c r="BJ284" t="s">
        <v>753</v>
      </c>
      <c r="BK284" t="s">
        <v>102</v>
      </c>
      <c r="BL284" t="s">
        <v>754</v>
      </c>
      <c r="BM284" t="s">
        <v>5735</v>
      </c>
      <c r="BN284">
        <v>27119068</v>
      </c>
      <c r="BO284" t="s">
        <v>1684</v>
      </c>
      <c r="BP284" t="s">
        <v>74</v>
      </c>
      <c r="BQ284" t="s">
        <v>74</v>
      </c>
      <c r="BR284" t="s">
        <v>106</v>
      </c>
      <c r="BS284" t="s">
        <v>5736</v>
      </c>
      <c r="BT284" t="str">
        <f>HYPERLINK("https%3A%2F%2Fwww.webofscience.com%2Fwos%2Fwoscc%2Ffull-record%2FWOS:000375698600020","View Full Record in Web of Science")</f>
        <v>View Full Record in Web of Science</v>
      </c>
    </row>
    <row r="285" spans="1:72" x14ac:dyDescent="0.15">
      <c r="A285" t="s">
        <v>72</v>
      </c>
      <c r="B285" t="s">
        <v>5737</v>
      </c>
      <c r="C285" t="s">
        <v>74</v>
      </c>
      <c r="D285" t="s">
        <v>74</v>
      </c>
      <c r="E285" t="s">
        <v>74</v>
      </c>
      <c r="F285" t="s">
        <v>5738</v>
      </c>
      <c r="G285" t="s">
        <v>74</v>
      </c>
      <c r="H285" t="s">
        <v>74</v>
      </c>
      <c r="I285" t="s">
        <v>5739</v>
      </c>
      <c r="J285" t="s">
        <v>1196</v>
      </c>
      <c r="K285" t="s">
        <v>74</v>
      </c>
      <c r="L285" t="s">
        <v>74</v>
      </c>
      <c r="M285" t="s">
        <v>78</v>
      </c>
      <c r="N285" t="s">
        <v>79</v>
      </c>
      <c r="O285" t="s">
        <v>74</v>
      </c>
      <c r="P285" t="s">
        <v>74</v>
      </c>
      <c r="Q285" t="s">
        <v>74</v>
      </c>
      <c r="R285" t="s">
        <v>74</v>
      </c>
      <c r="S285" t="s">
        <v>74</v>
      </c>
      <c r="T285" t="s">
        <v>74</v>
      </c>
      <c r="U285" t="s">
        <v>5740</v>
      </c>
      <c r="V285" t="s">
        <v>5741</v>
      </c>
      <c r="W285" t="s">
        <v>5742</v>
      </c>
      <c r="X285" t="s">
        <v>5743</v>
      </c>
      <c r="Y285" t="s">
        <v>5744</v>
      </c>
      <c r="Z285" t="s">
        <v>5745</v>
      </c>
      <c r="AA285" t="s">
        <v>5746</v>
      </c>
      <c r="AB285" t="s">
        <v>5747</v>
      </c>
      <c r="AC285" t="s">
        <v>5748</v>
      </c>
      <c r="AD285" t="s">
        <v>5749</v>
      </c>
      <c r="AE285" t="s">
        <v>5750</v>
      </c>
      <c r="AF285" t="s">
        <v>74</v>
      </c>
      <c r="AG285">
        <v>137</v>
      </c>
      <c r="AH285">
        <v>23</v>
      </c>
      <c r="AI285">
        <v>23</v>
      </c>
      <c r="AJ285">
        <v>0</v>
      </c>
      <c r="AK285">
        <v>23</v>
      </c>
      <c r="AL285" t="s">
        <v>1207</v>
      </c>
      <c r="AM285" t="s">
        <v>1208</v>
      </c>
      <c r="AN285" t="s">
        <v>1209</v>
      </c>
      <c r="AO285" t="s">
        <v>1210</v>
      </c>
      <c r="AP285" t="s">
        <v>74</v>
      </c>
      <c r="AQ285" t="s">
        <v>74</v>
      </c>
      <c r="AR285" t="s">
        <v>1196</v>
      </c>
      <c r="AS285" t="s">
        <v>1211</v>
      </c>
      <c r="AT285" t="s">
        <v>5733</v>
      </c>
      <c r="AU285">
        <v>2016</v>
      </c>
      <c r="AV285">
        <v>11</v>
      </c>
      <c r="AW285">
        <v>4</v>
      </c>
      <c r="AX285" t="s">
        <v>74</v>
      </c>
      <c r="AY285" t="s">
        <v>74</v>
      </c>
      <c r="AZ285" t="s">
        <v>74</v>
      </c>
      <c r="BA285" t="s">
        <v>74</v>
      </c>
      <c r="BB285" t="s">
        <v>74</v>
      </c>
      <c r="BC285" t="s">
        <v>74</v>
      </c>
      <c r="BD285" t="s">
        <v>5751</v>
      </c>
      <c r="BE285" t="s">
        <v>5752</v>
      </c>
      <c r="BF285" t="str">
        <f>HYPERLINK("http://dx.doi.org/10.1371/journal.pone.0153254","http://dx.doi.org/10.1371/journal.pone.0153254")</f>
        <v>http://dx.doi.org/10.1371/journal.pone.0153254</v>
      </c>
      <c r="BG285" t="s">
        <v>74</v>
      </c>
      <c r="BH285" t="s">
        <v>74</v>
      </c>
      <c r="BI285">
        <v>30</v>
      </c>
      <c r="BJ285" t="s">
        <v>753</v>
      </c>
      <c r="BK285" t="s">
        <v>102</v>
      </c>
      <c r="BL285" t="s">
        <v>754</v>
      </c>
      <c r="BM285" t="s">
        <v>5753</v>
      </c>
      <c r="BN285">
        <v>27078637</v>
      </c>
      <c r="BO285" t="s">
        <v>5754</v>
      </c>
      <c r="BP285" t="s">
        <v>74</v>
      </c>
      <c r="BQ285" t="s">
        <v>74</v>
      </c>
      <c r="BR285" t="s">
        <v>106</v>
      </c>
      <c r="BS285" t="s">
        <v>5755</v>
      </c>
      <c r="BT285" t="str">
        <f>HYPERLINK("https%3A%2F%2Fwww.webofscience.com%2Fwos%2Fwoscc%2Ffull-record%2FWOS:000374131700030","View Full Record in Web of Science")</f>
        <v>View Full Record in Web of Science</v>
      </c>
    </row>
    <row r="286" spans="1:72" x14ac:dyDescent="0.15">
      <c r="A286" t="s">
        <v>72</v>
      </c>
      <c r="B286" t="s">
        <v>5756</v>
      </c>
      <c r="C286" t="s">
        <v>74</v>
      </c>
      <c r="D286" t="s">
        <v>74</v>
      </c>
      <c r="E286" t="s">
        <v>74</v>
      </c>
      <c r="F286" t="s">
        <v>5757</v>
      </c>
      <c r="G286" t="s">
        <v>74</v>
      </c>
      <c r="H286" t="s">
        <v>74</v>
      </c>
      <c r="I286" t="s">
        <v>5758</v>
      </c>
      <c r="J286" t="s">
        <v>1350</v>
      </c>
      <c r="K286" t="s">
        <v>74</v>
      </c>
      <c r="L286" t="s">
        <v>74</v>
      </c>
      <c r="M286" t="s">
        <v>78</v>
      </c>
      <c r="N286" t="s">
        <v>79</v>
      </c>
      <c r="O286" t="s">
        <v>74</v>
      </c>
      <c r="P286" t="s">
        <v>74</v>
      </c>
      <c r="Q286" t="s">
        <v>74</v>
      </c>
      <c r="R286" t="s">
        <v>74</v>
      </c>
      <c r="S286" t="s">
        <v>74</v>
      </c>
      <c r="T286" t="s">
        <v>74</v>
      </c>
      <c r="U286" t="s">
        <v>5759</v>
      </c>
      <c r="V286" t="s">
        <v>5760</v>
      </c>
      <c r="W286" t="s">
        <v>5761</v>
      </c>
      <c r="X286" t="s">
        <v>5762</v>
      </c>
      <c r="Y286" t="s">
        <v>5763</v>
      </c>
      <c r="Z286" t="s">
        <v>5764</v>
      </c>
      <c r="AA286" t="s">
        <v>5765</v>
      </c>
      <c r="AB286" t="s">
        <v>5766</v>
      </c>
      <c r="AC286" t="s">
        <v>5767</v>
      </c>
      <c r="AD286" t="s">
        <v>5768</v>
      </c>
      <c r="AE286" t="s">
        <v>5769</v>
      </c>
      <c r="AF286" t="s">
        <v>74</v>
      </c>
      <c r="AG286">
        <v>43</v>
      </c>
      <c r="AH286">
        <v>190</v>
      </c>
      <c r="AI286">
        <v>218</v>
      </c>
      <c r="AJ286">
        <v>14</v>
      </c>
      <c r="AK286">
        <v>88</v>
      </c>
      <c r="AL286" t="s">
        <v>746</v>
      </c>
      <c r="AM286" t="s">
        <v>747</v>
      </c>
      <c r="AN286" t="s">
        <v>748</v>
      </c>
      <c r="AO286" t="s">
        <v>1362</v>
      </c>
      <c r="AP286" t="s">
        <v>74</v>
      </c>
      <c r="AQ286" t="s">
        <v>74</v>
      </c>
      <c r="AR286" t="s">
        <v>1363</v>
      </c>
      <c r="AS286" t="s">
        <v>1364</v>
      </c>
      <c r="AT286" t="s">
        <v>5770</v>
      </c>
      <c r="AU286">
        <v>2016</v>
      </c>
      <c r="AV286">
        <v>6</v>
      </c>
      <c r="AW286" t="s">
        <v>74</v>
      </c>
      <c r="AX286" t="s">
        <v>74</v>
      </c>
      <c r="AY286" t="s">
        <v>74</v>
      </c>
      <c r="AZ286" t="s">
        <v>74</v>
      </c>
      <c r="BA286" t="s">
        <v>74</v>
      </c>
      <c r="BB286" t="s">
        <v>74</v>
      </c>
      <c r="BC286" t="s">
        <v>74</v>
      </c>
      <c r="BD286">
        <v>24374</v>
      </c>
      <c r="BE286" t="s">
        <v>5771</v>
      </c>
      <c r="BF286" t="str">
        <f>HYPERLINK("http://dx.doi.org/10.1038/srep24374","http://dx.doi.org/10.1038/srep24374")</f>
        <v>http://dx.doi.org/10.1038/srep24374</v>
      </c>
      <c r="BG286" t="s">
        <v>74</v>
      </c>
      <c r="BH286" t="s">
        <v>74</v>
      </c>
      <c r="BI286">
        <v>7</v>
      </c>
      <c r="BJ286" t="s">
        <v>753</v>
      </c>
      <c r="BK286" t="s">
        <v>102</v>
      </c>
      <c r="BL286" t="s">
        <v>754</v>
      </c>
      <c r="BM286" t="s">
        <v>5772</v>
      </c>
      <c r="BN286">
        <v>27071753</v>
      </c>
      <c r="BO286" t="s">
        <v>818</v>
      </c>
      <c r="BP286" t="s">
        <v>74</v>
      </c>
      <c r="BQ286" t="s">
        <v>74</v>
      </c>
      <c r="BR286" t="s">
        <v>106</v>
      </c>
      <c r="BS286" t="s">
        <v>5773</v>
      </c>
      <c r="BT286" t="str">
        <f>HYPERLINK("https%3A%2F%2Fwww.webofscience.com%2Fwos%2Fwoscc%2Ffull-record%2FWOS:000373916200003","View Full Record in Web of Science")</f>
        <v>View Full Record in Web of Science</v>
      </c>
    </row>
    <row r="287" spans="1:72" x14ac:dyDescent="0.15">
      <c r="A287" t="s">
        <v>72</v>
      </c>
      <c r="B287" t="s">
        <v>5774</v>
      </c>
      <c r="C287" t="s">
        <v>74</v>
      </c>
      <c r="D287" t="s">
        <v>74</v>
      </c>
      <c r="E287" t="s">
        <v>74</v>
      </c>
      <c r="F287" t="s">
        <v>5775</v>
      </c>
      <c r="G287" t="s">
        <v>74</v>
      </c>
      <c r="H287" t="s">
        <v>74</v>
      </c>
      <c r="I287" t="s">
        <v>5776</v>
      </c>
      <c r="J287" t="s">
        <v>1467</v>
      </c>
      <c r="K287" t="s">
        <v>74</v>
      </c>
      <c r="L287" t="s">
        <v>74</v>
      </c>
      <c r="M287" t="s">
        <v>78</v>
      </c>
      <c r="N287" t="s">
        <v>79</v>
      </c>
      <c r="O287" t="s">
        <v>74</v>
      </c>
      <c r="P287" t="s">
        <v>74</v>
      </c>
      <c r="Q287" t="s">
        <v>74</v>
      </c>
      <c r="R287" t="s">
        <v>74</v>
      </c>
      <c r="S287" t="s">
        <v>74</v>
      </c>
      <c r="T287" t="s">
        <v>5777</v>
      </c>
      <c r="U287" t="s">
        <v>5778</v>
      </c>
      <c r="V287" t="s">
        <v>5779</v>
      </c>
      <c r="W287" t="s">
        <v>5780</v>
      </c>
      <c r="X287" t="s">
        <v>5781</v>
      </c>
      <c r="Y287" t="s">
        <v>5782</v>
      </c>
      <c r="Z287" t="s">
        <v>5783</v>
      </c>
      <c r="AA287" t="s">
        <v>74</v>
      </c>
      <c r="AB287" t="s">
        <v>1474</v>
      </c>
      <c r="AC287" t="s">
        <v>1475</v>
      </c>
      <c r="AD287" t="s">
        <v>1476</v>
      </c>
      <c r="AE287" t="s">
        <v>1477</v>
      </c>
      <c r="AF287" t="s">
        <v>74</v>
      </c>
      <c r="AG287">
        <v>6</v>
      </c>
      <c r="AH287">
        <v>4</v>
      </c>
      <c r="AI287">
        <v>4</v>
      </c>
      <c r="AJ287">
        <v>0</v>
      </c>
      <c r="AK287">
        <v>11</v>
      </c>
      <c r="AL287" t="s">
        <v>582</v>
      </c>
      <c r="AM287" t="s">
        <v>583</v>
      </c>
      <c r="AN287" t="s">
        <v>584</v>
      </c>
      <c r="AO287" t="s">
        <v>1478</v>
      </c>
      <c r="AP287" t="s">
        <v>1479</v>
      </c>
      <c r="AQ287" t="s">
        <v>74</v>
      </c>
      <c r="AR287" t="s">
        <v>1480</v>
      </c>
      <c r="AS287" t="s">
        <v>1481</v>
      </c>
      <c r="AT287" t="s">
        <v>5784</v>
      </c>
      <c r="AU287">
        <v>2016</v>
      </c>
      <c r="AV287">
        <v>223</v>
      </c>
      <c r="AW287" t="s">
        <v>74</v>
      </c>
      <c r="AX287" t="s">
        <v>74</v>
      </c>
      <c r="AY287" t="s">
        <v>74</v>
      </c>
      <c r="AZ287" t="s">
        <v>74</v>
      </c>
      <c r="BA287" t="s">
        <v>74</v>
      </c>
      <c r="BB287">
        <v>38</v>
      </c>
      <c r="BC287">
        <v>39</v>
      </c>
      <c r="BD287" t="s">
        <v>74</v>
      </c>
      <c r="BE287" t="s">
        <v>5785</v>
      </c>
      <c r="BF287" t="str">
        <f>HYPERLINK("http://dx.doi.org/10.1016/j.jbiotec.2016.02.033","http://dx.doi.org/10.1016/j.jbiotec.2016.02.033")</f>
        <v>http://dx.doi.org/10.1016/j.jbiotec.2016.02.033</v>
      </c>
      <c r="BG287" t="s">
        <v>74</v>
      </c>
      <c r="BH287" t="s">
        <v>74</v>
      </c>
      <c r="BI287">
        <v>2</v>
      </c>
      <c r="BJ287" t="s">
        <v>1484</v>
      </c>
      <c r="BK287" t="s">
        <v>102</v>
      </c>
      <c r="BL287" t="s">
        <v>1484</v>
      </c>
      <c r="BM287" t="s">
        <v>5786</v>
      </c>
      <c r="BN287">
        <v>26924237</v>
      </c>
      <c r="BO287" t="s">
        <v>74</v>
      </c>
      <c r="BP287" t="s">
        <v>74</v>
      </c>
      <c r="BQ287" t="s">
        <v>74</v>
      </c>
      <c r="BR287" t="s">
        <v>106</v>
      </c>
      <c r="BS287" t="s">
        <v>5787</v>
      </c>
      <c r="BT287" t="str">
        <f>HYPERLINK("https%3A%2F%2Fwww.webofscience.com%2Fwos%2Fwoscc%2Ffull-record%2FWOS:000372318200008","View Full Record in Web of Science")</f>
        <v>View Full Record in Web of Science</v>
      </c>
    </row>
    <row r="288" spans="1:72" x14ac:dyDescent="0.15">
      <c r="A288" t="s">
        <v>72</v>
      </c>
      <c r="B288" t="s">
        <v>5788</v>
      </c>
      <c r="C288" t="s">
        <v>74</v>
      </c>
      <c r="D288" t="s">
        <v>74</v>
      </c>
      <c r="E288" t="s">
        <v>74</v>
      </c>
      <c r="F288" t="s">
        <v>5789</v>
      </c>
      <c r="G288" t="s">
        <v>74</v>
      </c>
      <c r="H288" t="s">
        <v>74</v>
      </c>
      <c r="I288" t="s">
        <v>5790</v>
      </c>
      <c r="J288" t="s">
        <v>1467</v>
      </c>
      <c r="K288" t="s">
        <v>74</v>
      </c>
      <c r="L288" t="s">
        <v>74</v>
      </c>
      <c r="M288" t="s">
        <v>78</v>
      </c>
      <c r="N288" t="s">
        <v>79</v>
      </c>
      <c r="O288" t="s">
        <v>74</v>
      </c>
      <c r="P288" t="s">
        <v>74</v>
      </c>
      <c r="Q288" t="s">
        <v>74</v>
      </c>
      <c r="R288" t="s">
        <v>74</v>
      </c>
      <c r="S288" t="s">
        <v>74</v>
      </c>
      <c r="T288" t="s">
        <v>5791</v>
      </c>
      <c r="U288" t="s">
        <v>5792</v>
      </c>
      <c r="V288" t="s">
        <v>5793</v>
      </c>
      <c r="W288" t="s">
        <v>5794</v>
      </c>
      <c r="X288" t="s">
        <v>5781</v>
      </c>
      <c r="Y288" t="s">
        <v>5782</v>
      </c>
      <c r="Z288" t="s">
        <v>5783</v>
      </c>
      <c r="AA288" t="s">
        <v>74</v>
      </c>
      <c r="AB288" t="s">
        <v>1474</v>
      </c>
      <c r="AC288" t="s">
        <v>5795</v>
      </c>
      <c r="AD288" t="s">
        <v>5796</v>
      </c>
      <c r="AE288" t="s">
        <v>2134</v>
      </c>
      <c r="AF288" t="s">
        <v>74</v>
      </c>
      <c r="AG288">
        <v>10</v>
      </c>
      <c r="AH288">
        <v>7</v>
      </c>
      <c r="AI288">
        <v>7</v>
      </c>
      <c r="AJ288">
        <v>2</v>
      </c>
      <c r="AK288">
        <v>9</v>
      </c>
      <c r="AL288" t="s">
        <v>626</v>
      </c>
      <c r="AM288" t="s">
        <v>583</v>
      </c>
      <c r="AN288" t="s">
        <v>627</v>
      </c>
      <c r="AO288" t="s">
        <v>1478</v>
      </c>
      <c r="AP288" t="s">
        <v>1479</v>
      </c>
      <c r="AQ288" t="s">
        <v>74</v>
      </c>
      <c r="AR288" t="s">
        <v>1480</v>
      </c>
      <c r="AS288" t="s">
        <v>1481</v>
      </c>
      <c r="AT288" t="s">
        <v>5784</v>
      </c>
      <c r="AU288">
        <v>2016</v>
      </c>
      <c r="AV288">
        <v>223</v>
      </c>
      <c r="AW288" t="s">
        <v>74</v>
      </c>
      <c r="AX288" t="s">
        <v>74</v>
      </c>
      <c r="AY288" t="s">
        <v>74</v>
      </c>
      <c r="AZ288" t="s">
        <v>74</v>
      </c>
      <c r="BA288" t="s">
        <v>74</v>
      </c>
      <c r="BB288">
        <v>50</v>
      </c>
      <c r="BC288">
        <v>51</v>
      </c>
      <c r="BD288" t="s">
        <v>74</v>
      </c>
      <c r="BE288" t="s">
        <v>5797</v>
      </c>
      <c r="BF288" t="str">
        <f>HYPERLINK("http://dx.doi.org/10.1016/j.jbiotec.2016.02.031","http://dx.doi.org/10.1016/j.jbiotec.2016.02.031")</f>
        <v>http://dx.doi.org/10.1016/j.jbiotec.2016.02.031</v>
      </c>
      <c r="BG288" t="s">
        <v>74</v>
      </c>
      <c r="BH288" t="s">
        <v>74</v>
      </c>
      <c r="BI288">
        <v>2</v>
      </c>
      <c r="BJ288" t="s">
        <v>1484</v>
      </c>
      <c r="BK288" t="s">
        <v>102</v>
      </c>
      <c r="BL288" t="s">
        <v>1484</v>
      </c>
      <c r="BM288" t="s">
        <v>5786</v>
      </c>
      <c r="BN288">
        <v>26924242</v>
      </c>
      <c r="BO288" t="s">
        <v>74</v>
      </c>
      <c r="BP288" t="s">
        <v>74</v>
      </c>
      <c r="BQ288" t="s">
        <v>74</v>
      </c>
      <c r="BR288" t="s">
        <v>106</v>
      </c>
      <c r="BS288" t="s">
        <v>5798</v>
      </c>
      <c r="BT288" t="str">
        <f>HYPERLINK("https%3A%2F%2Fwww.webofscience.com%2Fwos%2Fwoscc%2Ffull-record%2FWOS:000372318200011","View Full Record in Web of Science")</f>
        <v>View Full Record in Web of Science</v>
      </c>
    </row>
    <row r="289" spans="1:72" x14ac:dyDescent="0.15">
      <c r="A289" t="s">
        <v>72</v>
      </c>
      <c r="B289" t="s">
        <v>5799</v>
      </c>
      <c r="C289" t="s">
        <v>74</v>
      </c>
      <c r="D289" t="s">
        <v>74</v>
      </c>
      <c r="E289" t="s">
        <v>74</v>
      </c>
      <c r="F289" t="s">
        <v>5800</v>
      </c>
      <c r="G289" t="s">
        <v>74</v>
      </c>
      <c r="H289" t="s">
        <v>74</v>
      </c>
      <c r="I289" t="s">
        <v>5801</v>
      </c>
      <c r="J289" t="s">
        <v>5802</v>
      </c>
      <c r="K289" t="s">
        <v>74</v>
      </c>
      <c r="L289" t="s">
        <v>74</v>
      </c>
      <c r="M289" t="s">
        <v>78</v>
      </c>
      <c r="N289" t="s">
        <v>79</v>
      </c>
      <c r="O289" t="s">
        <v>74</v>
      </c>
      <c r="P289" t="s">
        <v>74</v>
      </c>
      <c r="Q289" t="s">
        <v>74</v>
      </c>
      <c r="R289" t="s">
        <v>74</v>
      </c>
      <c r="S289" t="s">
        <v>74</v>
      </c>
      <c r="T289" t="s">
        <v>5803</v>
      </c>
      <c r="U289" t="s">
        <v>5804</v>
      </c>
      <c r="V289" t="s">
        <v>5805</v>
      </c>
      <c r="W289" t="s">
        <v>5806</v>
      </c>
      <c r="X289" t="s">
        <v>74</v>
      </c>
      <c r="Y289" t="s">
        <v>5807</v>
      </c>
      <c r="Z289" t="s">
        <v>5808</v>
      </c>
      <c r="AA289" t="s">
        <v>5809</v>
      </c>
      <c r="AB289" t="s">
        <v>5810</v>
      </c>
      <c r="AC289" t="s">
        <v>5811</v>
      </c>
      <c r="AD289" t="s">
        <v>5812</v>
      </c>
      <c r="AE289" t="s">
        <v>5813</v>
      </c>
      <c r="AF289" t="s">
        <v>74</v>
      </c>
      <c r="AG289">
        <v>33</v>
      </c>
      <c r="AH289">
        <v>13</v>
      </c>
      <c r="AI289">
        <v>15</v>
      </c>
      <c r="AJ289">
        <v>0</v>
      </c>
      <c r="AK289">
        <v>28</v>
      </c>
      <c r="AL289" t="s">
        <v>582</v>
      </c>
      <c r="AM289" t="s">
        <v>583</v>
      </c>
      <c r="AN289" t="s">
        <v>584</v>
      </c>
      <c r="AO289" t="s">
        <v>5814</v>
      </c>
      <c r="AP289" t="s">
        <v>5815</v>
      </c>
      <c r="AQ289" t="s">
        <v>74</v>
      </c>
      <c r="AR289" t="s">
        <v>5816</v>
      </c>
      <c r="AS289" t="s">
        <v>5817</v>
      </c>
      <c r="AT289" t="s">
        <v>5784</v>
      </c>
      <c r="AU289">
        <v>2016</v>
      </c>
      <c r="AV289">
        <v>325</v>
      </c>
      <c r="AW289" t="s">
        <v>74</v>
      </c>
      <c r="AX289" t="s">
        <v>74</v>
      </c>
      <c r="AY289" t="s">
        <v>74</v>
      </c>
      <c r="AZ289" t="s">
        <v>74</v>
      </c>
      <c r="BA289" t="s">
        <v>74</v>
      </c>
      <c r="BB289">
        <v>28</v>
      </c>
      <c r="BC289">
        <v>34</v>
      </c>
      <c r="BD289" t="s">
        <v>74</v>
      </c>
      <c r="BE289" t="s">
        <v>5818</v>
      </c>
      <c r="BF289" t="str">
        <f>HYPERLINK("http://dx.doi.org/10.1016/j.ecolmodel.2015.12.020","http://dx.doi.org/10.1016/j.ecolmodel.2015.12.020")</f>
        <v>http://dx.doi.org/10.1016/j.ecolmodel.2015.12.020</v>
      </c>
      <c r="BG289" t="s">
        <v>74</v>
      </c>
      <c r="BH289" t="s">
        <v>74</v>
      </c>
      <c r="BI289">
        <v>7</v>
      </c>
      <c r="BJ289" t="s">
        <v>4041</v>
      </c>
      <c r="BK289" t="s">
        <v>102</v>
      </c>
      <c r="BL289" t="s">
        <v>465</v>
      </c>
      <c r="BM289" t="s">
        <v>5819</v>
      </c>
      <c r="BN289" t="s">
        <v>74</v>
      </c>
      <c r="BO289" t="s">
        <v>74</v>
      </c>
      <c r="BP289" t="s">
        <v>74</v>
      </c>
      <c r="BQ289" t="s">
        <v>74</v>
      </c>
      <c r="BR289" t="s">
        <v>106</v>
      </c>
      <c r="BS289" t="s">
        <v>5820</v>
      </c>
      <c r="BT289" t="str">
        <f>HYPERLINK("https%3A%2F%2Fwww.webofscience.com%2Fwos%2Fwoscc%2Ffull-record%2FWOS:000371944400003","View Full Record in Web of Science")</f>
        <v>View Full Record in Web of Science</v>
      </c>
    </row>
    <row r="290" spans="1:72" x14ac:dyDescent="0.15">
      <c r="A290" t="s">
        <v>72</v>
      </c>
      <c r="B290" t="s">
        <v>5821</v>
      </c>
      <c r="C290" t="s">
        <v>74</v>
      </c>
      <c r="D290" t="s">
        <v>74</v>
      </c>
      <c r="E290" t="s">
        <v>74</v>
      </c>
      <c r="F290" t="s">
        <v>5822</v>
      </c>
      <c r="G290" t="s">
        <v>74</v>
      </c>
      <c r="H290" t="s">
        <v>74</v>
      </c>
      <c r="I290" t="s">
        <v>5823</v>
      </c>
      <c r="J290" t="s">
        <v>5824</v>
      </c>
      <c r="K290" t="s">
        <v>74</v>
      </c>
      <c r="L290" t="s">
        <v>74</v>
      </c>
      <c r="M290" t="s">
        <v>78</v>
      </c>
      <c r="N290" t="s">
        <v>79</v>
      </c>
      <c r="O290" t="s">
        <v>74</v>
      </c>
      <c r="P290" t="s">
        <v>74</v>
      </c>
      <c r="Q290" t="s">
        <v>74</v>
      </c>
      <c r="R290" t="s">
        <v>74</v>
      </c>
      <c r="S290" t="s">
        <v>74</v>
      </c>
      <c r="T290" t="s">
        <v>5825</v>
      </c>
      <c r="U290" t="s">
        <v>5826</v>
      </c>
      <c r="V290" t="s">
        <v>5827</v>
      </c>
      <c r="W290" t="s">
        <v>5828</v>
      </c>
      <c r="X290" t="s">
        <v>5829</v>
      </c>
      <c r="Y290" t="s">
        <v>5830</v>
      </c>
      <c r="Z290" t="s">
        <v>5831</v>
      </c>
      <c r="AA290" t="s">
        <v>74</v>
      </c>
      <c r="AB290" t="s">
        <v>74</v>
      </c>
      <c r="AC290" t="s">
        <v>74</v>
      </c>
      <c r="AD290" t="s">
        <v>74</v>
      </c>
      <c r="AE290" t="s">
        <v>74</v>
      </c>
      <c r="AF290" t="s">
        <v>74</v>
      </c>
      <c r="AG290">
        <v>44</v>
      </c>
      <c r="AH290">
        <v>2</v>
      </c>
      <c r="AI290">
        <v>2</v>
      </c>
      <c r="AJ290">
        <v>0</v>
      </c>
      <c r="AK290">
        <v>24</v>
      </c>
      <c r="AL290" t="s">
        <v>454</v>
      </c>
      <c r="AM290" t="s">
        <v>455</v>
      </c>
      <c r="AN290" t="s">
        <v>456</v>
      </c>
      <c r="AO290" t="s">
        <v>5832</v>
      </c>
      <c r="AP290" t="s">
        <v>5833</v>
      </c>
      <c r="AQ290" t="s">
        <v>74</v>
      </c>
      <c r="AR290" t="s">
        <v>5834</v>
      </c>
      <c r="AS290" t="s">
        <v>5835</v>
      </c>
      <c r="AT290" t="s">
        <v>5784</v>
      </c>
      <c r="AU290">
        <v>2016</v>
      </c>
      <c r="AV290">
        <v>50</v>
      </c>
      <c r="AW290" t="s">
        <v>5836</v>
      </c>
      <c r="AX290" t="s">
        <v>74</v>
      </c>
      <c r="AY290" t="s">
        <v>74</v>
      </c>
      <c r="AZ290" t="s">
        <v>74</v>
      </c>
      <c r="BA290" t="s">
        <v>74</v>
      </c>
      <c r="BB290">
        <v>817</v>
      </c>
      <c r="BC290">
        <v>831</v>
      </c>
      <c r="BD290" t="s">
        <v>74</v>
      </c>
      <c r="BE290" t="s">
        <v>5837</v>
      </c>
      <c r="BF290" t="str">
        <f>HYPERLINK("http://dx.doi.org/10.1080/00222933.2015.1091098","http://dx.doi.org/10.1080/00222933.2015.1091098")</f>
        <v>http://dx.doi.org/10.1080/00222933.2015.1091098</v>
      </c>
      <c r="BG290" t="s">
        <v>74</v>
      </c>
      <c r="BH290" t="s">
        <v>74</v>
      </c>
      <c r="BI290">
        <v>15</v>
      </c>
      <c r="BJ290" t="s">
        <v>5838</v>
      </c>
      <c r="BK290" t="s">
        <v>102</v>
      </c>
      <c r="BL290" t="s">
        <v>5839</v>
      </c>
      <c r="BM290" t="s">
        <v>5840</v>
      </c>
      <c r="BN290" t="s">
        <v>74</v>
      </c>
      <c r="BO290" t="s">
        <v>1143</v>
      </c>
      <c r="BP290" t="s">
        <v>74</v>
      </c>
      <c r="BQ290" t="s">
        <v>74</v>
      </c>
      <c r="BR290" t="s">
        <v>106</v>
      </c>
      <c r="BS290" t="s">
        <v>5841</v>
      </c>
      <c r="BT290" t="str">
        <f>HYPERLINK("https%3A%2F%2Fwww.webofscience.com%2Fwos%2Fwoscc%2Ffull-record%2FWOS:000370038200001","View Full Record in Web of Science")</f>
        <v>View Full Record in Web of Science</v>
      </c>
    </row>
    <row r="291" spans="1:72" x14ac:dyDescent="0.15">
      <c r="A291" t="s">
        <v>72</v>
      </c>
      <c r="B291" t="s">
        <v>5842</v>
      </c>
      <c r="C291" t="s">
        <v>74</v>
      </c>
      <c r="D291" t="s">
        <v>74</v>
      </c>
      <c r="E291" t="s">
        <v>74</v>
      </c>
      <c r="F291" t="s">
        <v>5843</v>
      </c>
      <c r="G291" t="s">
        <v>74</v>
      </c>
      <c r="H291" t="s">
        <v>74</v>
      </c>
      <c r="I291" t="s">
        <v>5844</v>
      </c>
      <c r="J291" t="s">
        <v>1196</v>
      </c>
      <c r="K291" t="s">
        <v>74</v>
      </c>
      <c r="L291" t="s">
        <v>74</v>
      </c>
      <c r="M291" t="s">
        <v>78</v>
      </c>
      <c r="N291" t="s">
        <v>79</v>
      </c>
      <c r="O291" t="s">
        <v>74</v>
      </c>
      <c r="P291" t="s">
        <v>74</v>
      </c>
      <c r="Q291" t="s">
        <v>74</v>
      </c>
      <c r="R291" t="s">
        <v>74</v>
      </c>
      <c r="S291" t="s">
        <v>74</v>
      </c>
      <c r="T291" t="s">
        <v>74</v>
      </c>
      <c r="U291" t="s">
        <v>5845</v>
      </c>
      <c r="V291" t="s">
        <v>5846</v>
      </c>
      <c r="W291" t="s">
        <v>5847</v>
      </c>
      <c r="X291" t="s">
        <v>5848</v>
      </c>
      <c r="Y291" t="s">
        <v>5849</v>
      </c>
      <c r="Z291" t="s">
        <v>5850</v>
      </c>
      <c r="AA291" t="s">
        <v>5851</v>
      </c>
      <c r="AB291" t="s">
        <v>5852</v>
      </c>
      <c r="AC291" t="s">
        <v>5853</v>
      </c>
      <c r="AD291" t="s">
        <v>5854</v>
      </c>
      <c r="AE291" t="s">
        <v>5855</v>
      </c>
      <c r="AF291" t="s">
        <v>74</v>
      </c>
      <c r="AG291">
        <v>49</v>
      </c>
      <c r="AH291">
        <v>25</v>
      </c>
      <c r="AI291">
        <v>27</v>
      </c>
      <c r="AJ291">
        <v>1</v>
      </c>
      <c r="AK291">
        <v>14</v>
      </c>
      <c r="AL291" t="s">
        <v>1207</v>
      </c>
      <c r="AM291" t="s">
        <v>1208</v>
      </c>
      <c r="AN291" t="s">
        <v>1209</v>
      </c>
      <c r="AO291" t="s">
        <v>1210</v>
      </c>
      <c r="AP291" t="s">
        <v>74</v>
      </c>
      <c r="AQ291" t="s">
        <v>74</v>
      </c>
      <c r="AR291" t="s">
        <v>1196</v>
      </c>
      <c r="AS291" t="s">
        <v>1211</v>
      </c>
      <c r="AT291" t="s">
        <v>5856</v>
      </c>
      <c r="AU291">
        <v>2016</v>
      </c>
      <c r="AV291">
        <v>11</v>
      </c>
      <c r="AW291">
        <v>4</v>
      </c>
      <c r="AX291" t="s">
        <v>74</v>
      </c>
      <c r="AY291" t="s">
        <v>74</v>
      </c>
      <c r="AZ291" t="s">
        <v>74</v>
      </c>
      <c r="BA291" t="s">
        <v>74</v>
      </c>
      <c r="BB291" t="s">
        <v>74</v>
      </c>
      <c r="BC291" t="s">
        <v>74</v>
      </c>
      <c r="BD291" t="s">
        <v>5857</v>
      </c>
      <c r="BE291" t="s">
        <v>5858</v>
      </c>
      <c r="BF291" t="str">
        <f>HYPERLINK("http://dx.doi.org/10.1371/journal.pone.0153116","http://dx.doi.org/10.1371/journal.pone.0153116")</f>
        <v>http://dx.doi.org/10.1371/journal.pone.0153116</v>
      </c>
      <c r="BG291" t="s">
        <v>74</v>
      </c>
      <c r="BH291" t="s">
        <v>74</v>
      </c>
      <c r="BI291">
        <v>18</v>
      </c>
      <c r="BJ291" t="s">
        <v>753</v>
      </c>
      <c r="BK291" t="s">
        <v>102</v>
      </c>
      <c r="BL291" t="s">
        <v>754</v>
      </c>
      <c r="BM291" t="s">
        <v>5859</v>
      </c>
      <c r="BN291">
        <v>27058734</v>
      </c>
      <c r="BO291" t="s">
        <v>5860</v>
      </c>
      <c r="BP291" t="s">
        <v>74</v>
      </c>
      <c r="BQ291" t="s">
        <v>74</v>
      </c>
      <c r="BR291" t="s">
        <v>106</v>
      </c>
      <c r="BS291" t="s">
        <v>5861</v>
      </c>
      <c r="BT291" t="str">
        <f>HYPERLINK("https%3A%2F%2Fwww.webofscience.com%2Fwos%2Fwoscc%2Ffull-record%2FWOS:000373604800016","View Full Record in Web of Science")</f>
        <v>View Full Record in Web of Science</v>
      </c>
    </row>
    <row r="292" spans="1:72" x14ac:dyDescent="0.15">
      <c r="A292" t="s">
        <v>72</v>
      </c>
      <c r="B292" t="s">
        <v>5862</v>
      </c>
      <c r="C292" t="s">
        <v>74</v>
      </c>
      <c r="D292" t="s">
        <v>74</v>
      </c>
      <c r="E292" t="s">
        <v>74</v>
      </c>
      <c r="F292" t="s">
        <v>5863</v>
      </c>
      <c r="G292" t="s">
        <v>74</v>
      </c>
      <c r="H292" t="s">
        <v>74</v>
      </c>
      <c r="I292" t="s">
        <v>5864</v>
      </c>
      <c r="J292" t="s">
        <v>1350</v>
      </c>
      <c r="K292" t="s">
        <v>74</v>
      </c>
      <c r="L292" t="s">
        <v>74</v>
      </c>
      <c r="M292" t="s">
        <v>78</v>
      </c>
      <c r="N292" t="s">
        <v>79</v>
      </c>
      <c r="O292" t="s">
        <v>74</v>
      </c>
      <c r="P292" t="s">
        <v>74</v>
      </c>
      <c r="Q292" t="s">
        <v>74</v>
      </c>
      <c r="R292" t="s">
        <v>74</v>
      </c>
      <c r="S292" t="s">
        <v>74</v>
      </c>
      <c r="T292" t="s">
        <v>74</v>
      </c>
      <c r="U292" t="s">
        <v>5865</v>
      </c>
      <c r="V292" t="s">
        <v>5866</v>
      </c>
      <c r="W292" t="s">
        <v>5867</v>
      </c>
      <c r="X292" t="s">
        <v>5868</v>
      </c>
      <c r="Y292" t="s">
        <v>5869</v>
      </c>
      <c r="Z292" t="s">
        <v>5870</v>
      </c>
      <c r="AA292" t="s">
        <v>5871</v>
      </c>
      <c r="AB292" t="s">
        <v>5872</v>
      </c>
      <c r="AC292" t="s">
        <v>5873</v>
      </c>
      <c r="AD292" t="s">
        <v>5874</v>
      </c>
      <c r="AE292" t="s">
        <v>5875</v>
      </c>
      <c r="AF292" t="s">
        <v>74</v>
      </c>
      <c r="AG292">
        <v>84</v>
      </c>
      <c r="AH292">
        <v>12</v>
      </c>
      <c r="AI292">
        <v>14</v>
      </c>
      <c r="AJ292">
        <v>0</v>
      </c>
      <c r="AK292">
        <v>27</v>
      </c>
      <c r="AL292" t="s">
        <v>746</v>
      </c>
      <c r="AM292" t="s">
        <v>747</v>
      </c>
      <c r="AN292" t="s">
        <v>748</v>
      </c>
      <c r="AO292" t="s">
        <v>1362</v>
      </c>
      <c r="AP292" t="s">
        <v>74</v>
      </c>
      <c r="AQ292" t="s">
        <v>74</v>
      </c>
      <c r="AR292" t="s">
        <v>1363</v>
      </c>
      <c r="AS292" t="s">
        <v>1364</v>
      </c>
      <c r="AT292" t="s">
        <v>5876</v>
      </c>
      <c r="AU292">
        <v>2016</v>
      </c>
      <c r="AV292">
        <v>6</v>
      </c>
      <c r="AW292" t="s">
        <v>74</v>
      </c>
      <c r="AX292" t="s">
        <v>74</v>
      </c>
      <c r="AY292" t="s">
        <v>74</v>
      </c>
      <c r="AZ292" t="s">
        <v>74</v>
      </c>
      <c r="BA292" t="s">
        <v>74</v>
      </c>
      <c r="BB292" t="s">
        <v>74</v>
      </c>
      <c r="BC292" t="s">
        <v>74</v>
      </c>
      <c r="BD292">
        <v>24278</v>
      </c>
      <c r="BE292" t="s">
        <v>5877</v>
      </c>
      <c r="BF292" t="str">
        <f>HYPERLINK("http://dx.doi.org/10.1038/srep24278","http://dx.doi.org/10.1038/srep24278")</f>
        <v>http://dx.doi.org/10.1038/srep24278</v>
      </c>
      <c r="BG292" t="s">
        <v>74</v>
      </c>
      <c r="BH292" t="s">
        <v>74</v>
      </c>
      <c r="BI292">
        <v>14</v>
      </c>
      <c r="BJ292" t="s">
        <v>753</v>
      </c>
      <c r="BK292" t="s">
        <v>102</v>
      </c>
      <c r="BL292" t="s">
        <v>754</v>
      </c>
      <c r="BM292" t="s">
        <v>5878</v>
      </c>
      <c r="BN292">
        <v>27052690</v>
      </c>
      <c r="BO292" t="s">
        <v>1684</v>
      </c>
      <c r="BP292" t="s">
        <v>74</v>
      </c>
      <c r="BQ292" t="s">
        <v>74</v>
      </c>
      <c r="BR292" t="s">
        <v>106</v>
      </c>
      <c r="BS292" t="s">
        <v>5879</v>
      </c>
      <c r="BT292" t="str">
        <f>HYPERLINK("https%3A%2F%2Fwww.webofscience.com%2Fwos%2Fwoscc%2Ffull-record%2FWOS:000373582700001","View Full Record in Web of Science")</f>
        <v>View Full Record in Web of Science</v>
      </c>
    </row>
    <row r="293" spans="1:72" x14ac:dyDescent="0.15">
      <c r="A293" t="s">
        <v>72</v>
      </c>
      <c r="B293" t="s">
        <v>5880</v>
      </c>
      <c r="C293" t="s">
        <v>74</v>
      </c>
      <c r="D293" t="s">
        <v>74</v>
      </c>
      <c r="E293" t="s">
        <v>74</v>
      </c>
      <c r="F293" t="s">
        <v>5881</v>
      </c>
      <c r="G293" t="s">
        <v>74</v>
      </c>
      <c r="H293" t="s">
        <v>74</v>
      </c>
      <c r="I293" t="s">
        <v>5882</v>
      </c>
      <c r="J293" t="s">
        <v>1387</v>
      </c>
      <c r="K293" t="s">
        <v>74</v>
      </c>
      <c r="L293" t="s">
        <v>74</v>
      </c>
      <c r="M293" t="s">
        <v>78</v>
      </c>
      <c r="N293" t="s">
        <v>79</v>
      </c>
      <c r="O293" t="s">
        <v>74</v>
      </c>
      <c r="P293" t="s">
        <v>74</v>
      </c>
      <c r="Q293" t="s">
        <v>74</v>
      </c>
      <c r="R293" t="s">
        <v>74</v>
      </c>
      <c r="S293" t="s">
        <v>74</v>
      </c>
      <c r="T293" t="s">
        <v>5883</v>
      </c>
      <c r="U293" t="s">
        <v>5884</v>
      </c>
      <c r="V293" t="s">
        <v>5885</v>
      </c>
      <c r="W293" t="s">
        <v>5886</v>
      </c>
      <c r="X293" t="s">
        <v>5887</v>
      </c>
      <c r="Y293" t="s">
        <v>3994</v>
      </c>
      <c r="Z293" t="s">
        <v>3995</v>
      </c>
      <c r="AA293" t="s">
        <v>5888</v>
      </c>
      <c r="AB293" t="s">
        <v>5889</v>
      </c>
      <c r="AC293" t="s">
        <v>5890</v>
      </c>
      <c r="AD293" t="s">
        <v>510</v>
      </c>
      <c r="AE293" t="s">
        <v>74</v>
      </c>
      <c r="AF293" t="s">
        <v>74</v>
      </c>
      <c r="AG293">
        <v>73</v>
      </c>
      <c r="AH293">
        <v>32</v>
      </c>
      <c r="AI293">
        <v>33</v>
      </c>
      <c r="AJ293">
        <v>2</v>
      </c>
      <c r="AK293">
        <v>25</v>
      </c>
      <c r="AL293" t="s">
        <v>1400</v>
      </c>
      <c r="AM293" t="s">
        <v>1401</v>
      </c>
      <c r="AN293" t="s">
        <v>1402</v>
      </c>
      <c r="AO293" t="s">
        <v>1403</v>
      </c>
      <c r="AP293" t="s">
        <v>1404</v>
      </c>
      <c r="AQ293" t="s">
        <v>74</v>
      </c>
      <c r="AR293" t="s">
        <v>1405</v>
      </c>
      <c r="AS293" t="s">
        <v>1406</v>
      </c>
      <c r="AT293" t="s">
        <v>5876</v>
      </c>
      <c r="AU293">
        <v>2016</v>
      </c>
      <c r="AV293">
        <v>547</v>
      </c>
      <c r="AW293" t="s">
        <v>74</v>
      </c>
      <c r="AX293" t="s">
        <v>74</v>
      </c>
      <c r="AY293" t="s">
        <v>74</v>
      </c>
      <c r="AZ293" t="s">
        <v>74</v>
      </c>
      <c r="BA293" t="s">
        <v>74</v>
      </c>
      <c r="BB293">
        <v>61</v>
      </c>
      <c r="BC293">
        <v>78</v>
      </c>
      <c r="BD293" t="s">
        <v>74</v>
      </c>
      <c r="BE293" t="s">
        <v>5891</v>
      </c>
      <c r="BF293" t="str">
        <f>HYPERLINK("http://dx.doi.org/10.3354/meps11634","http://dx.doi.org/10.3354/meps11634")</f>
        <v>http://dx.doi.org/10.3354/meps11634</v>
      </c>
      <c r="BG293" t="s">
        <v>74</v>
      </c>
      <c r="BH293" t="s">
        <v>74</v>
      </c>
      <c r="BI293">
        <v>18</v>
      </c>
      <c r="BJ293" t="s">
        <v>1409</v>
      </c>
      <c r="BK293" t="s">
        <v>102</v>
      </c>
      <c r="BL293" t="s">
        <v>1410</v>
      </c>
      <c r="BM293" t="s">
        <v>5892</v>
      </c>
      <c r="BN293" t="s">
        <v>74</v>
      </c>
      <c r="BO293" t="s">
        <v>363</v>
      </c>
      <c r="BP293" t="s">
        <v>74</v>
      </c>
      <c r="BQ293" t="s">
        <v>74</v>
      </c>
      <c r="BR293" t="s">
        <v>106</v>
      </c>
      <c r="BS293" t="s">
        <v>5893</v>
      </c>
      <c r="BT293" t="str">
        <f>HYPERLINK("https%3A%2F%2Fwww.webofscience.com%2Fwos%2Fwoscc%2Ffull-record%2FWOS:000374241200005","View Full Record in Web of Science")</f>
        <v>View Full Record in Web of Science</v>
      </c>
    </row>
    <row r="294" spans="1:72" x14ac:dyDescent="0.15">
      <c r="A294" t="s">
        <v>72</v>
      </c>
      <c r="B294" t="s">
        <v>5894</v>
      </c>
      <c r="C294" t="s">
        <v>74</v>
      </c>
      <c r="D294" t="s">
        <v>74</v>
      </c>
      <c r="E294" t="s">
        <v>74</v>
      </c>
      <c r="F294" t="s">
        <v>5895</v>
      </c>
      <c r="G294" t="s">
        <v>74</v>
      </c>
      <c r="H294" t="s">
        <v>74</v>
      </c>
      <c r="I294" t="s">
        <v>5896</v>
      </c>
      <c r="J294" t="s">
        <v>1577</v>
      </c>
      <c r="K294" t="s">
        <v>74</v>
      </c>
      <c r="L294" t="s">
        <v>74</v>
      </c>
      <c r="M294" t="s">
        <v>78</v>
      </c>
      <c r="N294" t="s">
        <v>79</v>
      </c>
      <c r="O294" t="s">
        <v>74</v>
      </c>
      <c r="P294" t="s">
        <v>74</v>
      </c>
      <c r="Q294" t="s">
        <v>74</v>
      </c>
      <c r="R294" t="s">
        <v>74</v>
      </c>
      <c r="S294" t="s">
        <v>74</v>
      </c>
      <c r="T294" t="s">
        <v>74</v>
      </c>
      <c r="U294" t="s">
        <v>5897</v>
      </c>
      <c r="V294" t="s">
        <v>5898</v>
      </c>
      <c r="W294" t="s">
        <v>5899</v>
      </c>
      <c r="X294" t="s">
        <v>5900</v>
      </c>
      <c r="Y294" t="s">
        <v>5901</v>
      </c>
      <c r="Z294" t="s">
        <v>5902</v>
      </c>
      <c r="AA294" t="s">
        <v>5903</v>
      </c>
      <c r="AB294" t="s">
        <v>5904</v>
      </c>
      <c r="AC294" t="s">
        <v>5905</v>
      </c>
      <c r="AD294" t="s">
        <v>5906</v>
      </c>
      <c r="AE294" t="s">
        <v>5907</v>
      </c>
      <c r="AF294" t="s">
        <v>74</v>
      </c>
      <c r="AG294">
        <v>31</v>
      </c>
      <c r="AH294">
        <v>150</v>
      </c>
      <c r="AI294">
        <v>155</v>
      </c>
      <c r="AJ294">
        <v>3</v>
      </c>
      <c r="AK294">
        <v>57</v>
      </c>
      <c r="AL294" t="s">
        <v>772</v>
      </c>
      <c r="AM294" t="s">
        <v>773</v>
      </c>
      <c r="AN294" t="s">
        <v>774</v>
      </c>
      <c r="AO294" t="s">
        <v>1589</v>
      </c>
      <c r="AP294" t="s">
        <v>1590</v>
      </c>
      <c r="AQ294" t="s">
        <v>74</v>
      </c>
      <c r="AR294" t="s">
        <v>1577</v>
      </c>
      <c r="AS294" t="s">
        <v>1591</v>
      </c>
      <c r="AT294" t="s">
        <v>5876</v>
      </c>
      <c r="AU294">
        <v>2016</v>
      </c>
      <c r="AV294">
        <v>532</v>
      </c>
      <c r="AW294">
        <v>7597</v>
      </c>
      <c r="AX294" t="s">
        <v>74</v>
      </c>
      <c r="AY294" t="s">
        <v>74</v>
      </c>
      <c r="AZ294" t="s">
        <v>74</v>
      </c>
      <c r="BA294" t="s">
        <v>74</v>
      </c>
      <c r="BB294">
        <v>69</v>
      </c>
      <c r="BC294">
        <v>72</v>
      </c>
      <c r="BD294" t="s">
        <v>74</v>
      </c>
      <c r="BE294" t="s">
        <v>5908</v>
      </c>
      <c r="BF294" t="str">
        <f>HYPERLINK("http://dx.doi.org/10.1038/nature17196","http://dx.doi.org/10.1038/nature17196")</f>
        <v>http://dx.doi.org/10.1038/nature17196</v>
      </c>
      <c r="BG294" t="s">
        <v>74</v>
      </c>
      <c r="BH294" t="s">
        <v>74</v>
      </c>
      <c r="BI294">
        <v>4</v>
      </c>
      <c r="BJ294" t="s">
        <v>753</v>
      </c>
      <c r="BK294" t="s">
        <v>102</v>
      </c>
      <c r="BL294" t="s">
        <v>754</v>
      </c>
      <c r="BM294" t="s">
        <v>5909</v>
      </c>
      <c r="BN294">
        <v>27078565</v>
      </c>
      <c r="BO294" t="s">
        <v>380</v>
      </c>
      <c r="BP294" t="s">
        <v>74</v>
      </c>
      <c r="BQ294" t="s">
        <v>74</v>
      </c>
      <c r="BR294" t="s">
        <v>106</v>
      </c>
      <c r="BS294" t="s">
        <v>5910</v>
      </c>
      <c r="BT294" t="str">
        <f>HYPERLINK("https%3A%2F%2Fwww.webofscience.com%2Fwos%2Fwoscc%2Ffull-record%2FWOS:000373555500034","View Full Record in Web of Science")</f>
        <v>View Full Record in Web of Science</v>
      </c>
    </row>
    <row r="295" spans="1:72" x14ac:dyDescent="0.15">
      <c r="A295" t="s">
        <v>72</v>
      </c>
      <c r="B295" t="s">
        <v>5911</v>
      </c>
      <c r="C295" t="s">
        <v>74</v>
      </c>
      <c r="D295" t="s">
        <v>74</v>
      </c>
      <c r="E295" t="s">
        <v>74</v>
      </c>
      <c r="F295" t="s">
        <v>5912</v>
      </c>
      <c r="G295" t="s">
        <v>74</v>
      </c>
      <c r="H295" t="s">
        <v>74</v>
      </c>
      <c r="I295" t="s">
        <v>5913</v>
      </c>
      <c r="J295" t="s">
        <v>1196</v>
      </c>
      <c r="K295" t="s">
        <v>74</v>
      </c>
      <c r="L295" t="s">
        <v>74</v>
      </c>
      <c r="M295" t="s">
        <v>78</v>
      </c>
      <c r="N295" t="s">
        <v>79</v>
      </c>
      <c r="O295" t="s">
        <v>74</v>
      </c>
      <c r="P295" t="s">
        <v>74</v>
      </c>
      <c r="Q295" t="s">
        <v>74</v>
      </c>
      <c r="R295" t="s">
        <v>74</v>
      </c>
      <c r="S295" t="s">
        <v>74</v>
      </c>
      <c r="T295" t="s">
        <v>74</v>
      </c>
      <c r="U295" t="s">
        <v>5914</v>
      </c>
      <c r="V295" t="s">
        <v>5915</v>
      </c>
      <c r="W295" t="s">
        <v>5916</v>
      </c>
      <c r="X295" t="s">
        <v>5917</v>
      </c>
      <c r="Y295" t="s">
        <v>5918</v>
      </c>
      <c r="Z295" t="s">
        <v>5919</v>
      </c>
      <c r="AA295" t="s">
        <v>5920</v>
      </c>
      <c r="AB295" t="s">
        <v>5921</v>
      </c>
      <c r="AC295" t="s">
        <v>5922</v>
      </c>
      <c r="AD295" t="s">
        <v>5923</v>
      </c>
      <c r="AE295" t="s">
        <v>5924</v>
      </c>
      <c r="AF295" t="s">
        <v>74</v>
      </c>
      <c r="AG295">
        <v>51</v>
      </c>
      <c r="AH295">
        <v>59</v>
      </c>
      <c r="AI295">
        <v>63</v>
      </c>
      <c r="AJ295">
        <v>3</v>
      </c>
      <c r="AK295">
        <v>59</v>
      </c>
      <c r="AL295" t="s">
        <v>1207</v>
      </c>
      <c r="AM295" t="s">
        <v>1208</v>
      </c>
      <c r="AN295" t="s">
        <v>1209</v>
      </c>
      <c r="AO295" t="s">
        <v>1210</v>
      </c>
      <c r="AP295" t="s">
        <v>74</v>
      </c>
      <c r="AQ295" t="s">
        <v>74</v>
      </c>
      <c r="AR295" t="s">
        <v>1196</v>
      </c>
      <c r="AS295" t="s">
        <v>1211</v>
      </c>
      <c r="AT295" t="s">
        <v>5876</v>
      </c>
      <c r="AU295">
        <v>2016</v>
      </c>
      <c r="AV295">
        <v>11</v>
      </c>
      <c r="AW295">
        <v>4</v>
      </c>
      <c r="AX295" t="s">
        <v>74</v>
      </c>
      <c r="AY295" t="s">
        <v>74</v>
      </c>
      <c r="AZ295" t="s">
        <v>74</v>
      </c>
      <c r="BA295" t="s">
        <v>74</v>
      </c>
      <c r="BB295" t="s">
        <v>74</v>
      </c>
      <c r="BC295" t="s">
        <v>74</v>
      </c>
      <c r="BD295" t="s">
        <v>5925</v>
      </c>
      <c r="BE295" t="s">
        <v>5926</v>
      </c>
      <c r="BF295" t="str">
        <f>HYPERLINK("http://dx.doi.org/10.1371/journal.pone.0153215","http://dx.doi.org/10.1371/journal.pone.0153215")</f>
        <v>http://dx.doi.org/10.1371/journal.pone.0153215</v>
      </c>
      <c r="BG295" t="s">
        <v>74</v>
      </c>
      <c r="BH295" t="s">
        <v>74</v>
      </c>
      <c r="BI295">
        <v>14</v>
      </c>
      <c r="BJ295" t="s">
        <v>753</v>
      </c>
      <c r="BK295" t="s">
        <v>102</v>
      </c>
      <c r="BL295" t="s">
        <v>754</v>
      </c>
      <c r="BM295" t="s">
        <v>5927</v>
      </c>
      <c r="BN295">
        <v>27055030</v>
      </c>
      <c r="BO295" t="s">
        <v>5928</v>
      </c>
      <c r="BP295" t="s">
        <v>74</v>
      </c>
      <c r="BQ295" t="s">
        <v>74</v>
      </c>
      <c r="BR295" t="s">
        <v>106</v>
      </c>
      <c r="BS295" t="s">
        <v>5929</v>
      </c>
      <c r="BT295" t="str">
        <f>HYPERLINK("https%3A%2F%2Fwww.webofscience.com%2Fwos%2Fwoscc%2Ffull-record%2FWOS:000373608000103","View Full Record in Web of Science")</f>
        <v>View Full Record in Web of Science</v>
      </c>
    </row>
    <row r="296" spans="1:72" x14ac:dyDescent="0.15">
      <c r="A296" t="s">
        <v>72</v>
      </c>
      <c r="B296" t="s">
        <v>5930</v>
      </c>
      <c r="C296" t="s">
        <v>74</v>
      </c>
      <c r="D296" t="s">
        <v>74</v>
      </c>
      <c r="E296" t="s">
        <v>74</v>
      </c>
      <c r="F296" t="s">
        <v>5931</v>
      </c>
      <c r="G296" t="s">
        <v>74</v>
      </c>
      <c r="H296" t="s">
        <v>74</v>
      </c>
      <c r="I296" t="s">
        <v>5932</v>
      </c>
      <c r="J296" t="s">
        <v>1196</v>
      </c>
      <c r="K296" t="s">
        <v>74</v>
      </c>
      <c r="L296" t="s">
        <v>74</v>
      </c>
      <c r="M296" t="s">
        <v>78</v>
      </c>
      <c r="N296" t="s">
        <v>79</v>
      </c>
      <c r="O296" t="s">
        <v>74</v>
      </c>
      <c r="P296" t="s">
        <v>74</v>
      </c>
      <c r="Q296" t="s">
        <v>74</v>
      </c>
      <c r="R296" t="s">
        <v>74</v>
      </c>
      <c r="S296" t="s">
        <v>74</v>
      </c>
      <c r="T296" t="s">
        <v>74</v>
      </c>
      <c r="U296" t="s">
        <v>5933</v>
      </c>
      <c r="V296" t="s">
        <v>5934</v>
      </c>
      <c r="W296" t="s">
        <v>5935</v>
      </c>
      <c r="X296" t="s">
        <v>5936</v>
      </c>
      <c r="Y296" t="s">
        <v>5937</v>
      </c>
      <c r="Z296" t="s">
        <v>5938</v>
      </c>
      <c r="AA296" t="s">
        <v>5939</v>
      </c>
      <c r="AB296" t="s">
        <v>5940</v>
      </c>
      <c r="AC296" t="s">
        <v>74</v>
      </c>
      <c r="AD296" t="s">
        <v>74</v>
      </c>
      <c r="AE296" t="s">
        <v>74</v>
      </c>
      <c r="AF296" t="s">
        <v>74</v>
      </c>
      <c r="AG296">
        <v>44</v>
      </c>
      <c r="AH296">
        <v>21</v>
      </c>
      <c r="AI296">
        <v>23</v>
      </c>
      <c r="AJ296">
        <v>0</v>
      </c>
      <c r="AK296">
        <v>34</v>
      </c>
      <c r="AL296" t="s">
        <v>1207</v>
      </c>
      <c r="AM296" t="s">
        <v>1208</v>
      </c>
      <c r="AN296" t="s">
        <v>1209</v>
      </c>
      <c r="AO296" t="s">
        <v>1210</v>
      </c>
      <c r="AP296" t="s">
        <v>74</v>
      </c>
      <c r="AQ296" t="s">
        <v>74</v>
      </c>
      <c r="AR296" t="s">
        <v>1196</v>
      </c>
      <c r="AS296" t="s">
        <v>1211</v>
      </c>
      <c r="AT296" t="s">
        <v>5876</v>
      </c>
      <c r="AU296">
        <v>2016</v>
      </c>
      <c r="AV296">
        <v>11</v>
      </c>
      <c r="AW296">
        <v>4</v>
      </c>
      <c r="AX296" t="s">
        <v>74</v>
      </c>
      <c r="AY296" t="s">
        <v>74</v>
      </c>
      <c r="AZ296" t="s">
        <v>74</v>
      </c>
      <c r="BA296" t="s">
        <v>74</v>
      </c>
      <c r="BB296" t="s">
        <v>74</v>
      </c>
      <c r="BC296" t="s">
        <v>74</v>
      </c>
      <c r="BD296" t="s">
        <v>5941</v>
      </c>
      <c r="BE296" t="s">
        <v>5942</v>
      </c>
      <c r="BF296" t="str">
        <f>HYPERLINK("http://dx.doi.org/10.1371/journal.pone.0152643","http://dx.doi.org/10.1371/journal.pone.0152643")</f>
        <v>http://dx.doi.org/10.1371/journal.pone.0152643</v>
      </c>
      <c r="BG296" t="s">
        <v>74</v>
      </c>
      <c r="BH296" t="s">
        <v>74</v>
      </c>
      <c r="BI296">
        <v>20</v>
      </c>
      <c r="BJ296" t="s">
        <v>753</v>
      </c>
      <c r="BK296" t="s">
        <v>102</v>
      </c>
      <c r="BL296" t="s">
        <v>754</v>
      </c>
      <c r="BM296" t="s">
        <v>5927</v>
      </c>
      <c r="BN296">
        <v>27055057</v>
      </c>
      <c r="BO296" t="s">
        <v>1684</v>
      </c>
      <c r="BP296" t="s">
        <v>74</v>
      </c>
      <c r="BQ296" t="s">
        <v>74</v>
      </c>
      <c r="BR296" t="s">
        <v>106</v>
      </c>
      <c r="BS296" t="s">
        <v>5943</v>
      </c>
      <c r="BT296" t="str">
        <f>HYPERLINK("https%3A%2F%2Fwww.webofscience.com%2Fwos%2Fwoscc%2Ffull-record%2FWOS:000373608000031","View Full Record in Web of Science")</f>
        <v>View Full Record in Web of Science</v>
      </c>
    </row>
    <row r="297" spans="1:72" x14ac:dyDescent="0.15">
      <c r="A297" t="s">
        <v>72</v>
      </c>
      <c r="B297" t="s">
        <v>5944</v>
      </c>
      <c r="C297" t="s">
        <v>74</v>
      </c>
      <c r="D297" t="s">
        <v>74</v>
      </c>
      <c r="E297" t="s">
        <v>74</v>
      </c>
      <c r="F297" t="s">
        <v>5945</v>
      </c>
      <c r="G297" t="s">
        <v>74</v>
      </c>
      <c r="H297" t="s">
        <v>74</v>
      </c>
      <c r="I297" t="s">
        <v>5946</v>
      </c>
      <c r="J297" t="s">
        <v>5947</v>
      </c>
      <c r="K297" t="s">
        <v>74</v>
      </c>
      <c r="L297" t="s">
        <v>74</v>
      </c>
      <c r="M297" t="s">
        <v>78</v>
      </c>
      <c r="N297" t="s">
        <v>79</v>
      </c>
      <c r="O297" t="s">
        <v>74</v>
      </c>
      <c r="P297" t="s">
        <v>74</v>
      </c>
      <c r="Q297" t="s">
        <v>74</v>
      </c>
      <c r="R297" t="s">
        <v>74</v>
      </c>
      <c r="S297" t="s">
        <v>74</v>
      </c>
      <c r="T297" t="s">
        <v>5948</v>
      </c>
      <c r="U297" t="s">
        <v>5949</v>
      </c>
      <c r="V297" t="s">
        <v>5950</v>
      </c>
      <c r="W297" t="s">
        <v>5951</v>
      </c>
      <c r="X297" t="s">
        <v>5952</v>
      </c>
      <c r="Y297" t="s">
        <v>5953</v>
      </c>
      <c r="Z297" t="s">
        <v>5954</v>
      </c>
      <c r="AA297" t="s">
        <v>5955</v>
      </c>
      <c r="AB297" t="s">
        <v>5956</v>
      </c>
      <c r="AC297" t="s">
        <v>5957</v>
      </c>
      <c r="AD297" t="s">
        <v>5958</v>
      </c>
      <c r="AE297" t="s">
        <v>5959</v>
      </c>
      <c r="AF297" t="s">
        <v>74</v>
      </c>
      <c r="AG297">
        <v>53</v>
      </c>
      <c r="AH297">
        <v>36</v>
      </c>
      <c r="AI297">
        <v>38</v>
      </c>
      <c r="AJ297">
        <v>0</v>
      </c>
      <c r="AK297">
        <v>68</v>
      </c>
      <c r="AL297" t="s">
        <v>5960</v>
      </c>
      <c r="AM297" t="s">
        <v>5961</v>
      </c>
      <c r="AN297" t="s">
        <v>5962</v>
      </c>
      <c r="AO297" t="s">
        <v>5963</v>
      </c>
      <c r="AP297" t="s">
        <v>5964</v>
      </c>
      <c r="AQ297" t="s">
        <v>74</v>
      </c>
      <c r="AR297" t="s">
        <v>5965</v>
      </c>
      <c r="AS297" t="s">
        <v>5966</v>
      </c>
      <c r="AT297" t="s">
        <v>5967</v>
      </c>
      <c r="AU297">
        <v>2016</v>
      </c>
      <c r="AV297">
        <v>89</v>
      </c>
      <c r="AW297" t="s">
        <v>74</v>
      </c>
      <c r="AX297" t="s">
        <v>74</v>
      </c>
      <c r="AY297" t="s">
        <v>74</v>
      </c>
      <c r="AZ297" t="s">
        <v>74</v>
      </c>
      <c r="BA297" t="s">
        <v>74</v>
      </c>
      <c r="BB297" t="s">
        <v>74</v>
      </c>
      <c r="BC297" t="s">
        <v>74</v>
      </c>
      <c r="BD297">
        <v>6</v>
      </c>
      <c r="BE297" t="s">
        <v>5968</v>
      </c>
      <c r="BF297" t="str">
        <f>HYPERLINK("http://dx.doi.org/10.1186/s40693-016-0056-8","http://dx.doi.org/10.1186/s40693-016-0056-8")</f>
        <v>http://dx.doi.org/10.1186/s40693-016-0056-8</v>
      </c>
      <c r="BG297" t="s">
        <v>74</v>
      </c>
      <c r="BH297" t="s">
        <v>74</v>
      </c>
      <c r="BI297">
        <v>17</v>
      </c>
      <c r="BJ297" t="s">
        <v>291</v>
      </c>
      <c r="BK297" t="s">
        <v>102</v>
      </c>
      <c r="BL297" t="s">
        <v>133</v>
      </c>
      <c r="BM297" t="s">
        <v>5969</v>
      </c>
      <c r="BN297" t="s">
        <v>74</v>
      </c>
      <c r="BO297" t="s">
        <v>2176</v>
      </c>
      <c r="BP297" t="s">
        <v>74</v>
      </c>
      <c r="BQ297" t="s">
        <v>74</v>
      </c>
      <c r="BR297" t="s">
        <v>106</v>
      </c>
      <c r="BS297" t="s">
        <v>5970</v>
      </c>
      <c r="BT297" t="str">
        <f>HYPERLINK("https%3A%2F%2Fwww.webofscience.com%2Fwos%2Fwoscc%2Ffull-record%2FWOS:000373328400001","View Full Record in Web of Science")</f>
        <v>View Full Record in Web of Science</v>
      </c>
    </row>
    <row r="298" spans="1:72" x14ac:dyDescent="0.15">
      <c r="A298" t="s">
        <v>72</v>
      </c>
      <c r="B298" t="s">
        <v>5971</v>
      </c>
      <c r="C298" t="s">
        <v>74</v>
      </c>
      <c r="D298" t="s">
        <v>74</v>
      </c>
      <c r="E298" t="s">
        <v>74</v>
      </c>
      <c r="F298" t="s">
        <v>5972</v>
      </c>
      <c r="G298" t="s">
        <v>74</v>
      </c>
      <c r="H298" t="s">
        <v>74</v>
      </c>
      <c r="I298" t="s">
        <v>5973</v>
      </c>
      <c r="J298" t="s">
        <v>5947</v>
      </c>
      <c r="K298" t="s">
        <v>74</v>
      </c>
      <c r="L298" t="s">
        <v>74</v>
      </c>
      <c r="M298" t="s">
        <v>78</v>
      </c>
      <c r="N298" t="s">
        <v>79</v>
      </c>
      <c r="O298" t="s">
        <v>74</v>
      </c>
      <c r="P298" t="s">
        <v>74</v>
      </c>
      <c r="Q298" t="s">
        <v>74</v>
      </c>
      <c r="R298" t="s">
        <v>74</v>
      </c>
      <c r="S298" t="s">
        <v>74</v>
      </c>
      <c r="T298" t="s">
        <v>5974</v>
      </c>
      <c r="U298" t="s">
        <v>5975</v>
      </c>
      <c r="V298" t="s">
        <v>5976</v>
      </c>
      <c r="W298" t="s">
        <v>5977</v>
      </c>
      <c r="X298" t="s">
        <v>5978</v>
      </c>
      <c r="Y298" t="s">
        <v>5979</v>
      </c>
      <c r="Z298" t="s">
        <v>5980</v>
      </c>
      <c r="AA298" t="s">
        <v>74</v>
      </c>
      <c r="AB298" t="s">
        <v>2187</v>
      </c>
      <c r="AC298" t="s">
        <v>5981</v>
      </c>
      <c r="AD298" t="s">
        <v>5982</v>
      </c>
      <c r="AE298" t="s">
        <v>5983</v>
      </c>
      <c r="AF298" t="s">
        <v>74</v>
      </c>
      <c r="AG298">
        <v>37</v>
      </c>
      <c r="AH298">
        <v>10</v>
      </c>
      <c r="AI298">
        <v>11</v>
      </c>
      <c r="AJ298">
        <v>0</v>
      </c>
      <c r="AK298">
        <v>24</v>
      </c>
      <c r="AL298" t="s">
        <v>5960</v>
      </c>
      <c r="AM298" t="s">
        <v>5961</v>
      </c>
      <c r="AN298" t="s">
        <v>5962</v>
      </c>
      <c r="AO298" t="s">
        <v>5963</v>
      </c>
      <c r="AP298" t="s">
        <v>5964</v>
      </c>
      <c r="AQ298" t="s">
        <v>74</v>
      </c>
      <c r="AR298" t="s">
        <v>5965</v>
      </c>
      <c r="AS298" t="s">
        <v>5966</v>
      </c>
      <c r="AT298" t="s">
        <v>5984</v>
      </c>
      <c r="AU298">
        <v>2016</v>
      </c>
      <c r="AV298">
        <v>89</v>
      </c>
      <c r="AW298" t="s">
        <v>74</v>
      </c>
      <c r="AX298" t="s">
        <v>74</v>
      </c>
      <c r="AY298" t="s">
        <v>74</v>
      </c>
      <c r="AZ298" t="s">
        <v>74</v>
      </c>
      <c r="BA298" t="s">
        <v>74</v>
      </c>
      <c r="BB298" t="s">
        <v>74</v>
      </c>
      <c r="BC298" t="s">
        <v>74</v>
      </c>
      <c r="BD298">
        <v>5</v>
      </c>
      <c r="BE298" t="s">
        <v>5985</v>
      </c>
      <c r="BF298" t="str">
        <f>HYPERLINK("http://dx.doi.org/10.1186/s40693-016-0051-0","http://dx.doi.org/10.1186/s40693-016-0051-0")</f>
        <v>http://dx.doi.org/10.1186/s40693-016-0051-0</v>
      </c>
      <c r="BG298" t="s">
        <v>74</v>
      </c>
      <c r="BH298" t="s">
        <v>74</v>
      </c>
      <c r="BI298">
        <v>9</v>
      </c>
      <c r="BJ298" t="s">
        <v>291</v>
      </c>
      <c r="BK298" t="s">
        <v>102</v>
      </c>
      <c r="BL298" t="s">
        <v>133</v>
      </c>
      <c r="BM298" t="s">
        <v>5986</v>
      </c>
      <c r="BN298" t="s">
        <v>74</v>
      </c>
      <c r="BO298" t="s">
        <v>1684</v>
      </c>
      <c r="BP298" t="s">
        <v>74</v>
      </c>
      <c r="BQ298" t="s">
        <v>74</v>
      </c>
      <c r="BR298" t="s">
        <v>106</v>
      </c>
      <c r="BS298" t="s">
        <v>5987</v>
      </c>
      <c r="BT298" t="str">
        <f>HYPERLINK("https%3A%2F%2Fwww.webofscience.com%2Fwos%2Fwoscc%2Ffull-record%2FWOS:000373327300001","View Full Record in Web of Science")</f>
        <v>View Full Record in Web of Science</v>
      </c>
    </row>
    <row r="299" spans="1:72" x14ac:dyDescent="0.15">
      <c r="A299" t="s">
        <v>72</v>
      </c>
      <c r="B299" t="s">
        <v>5988</v>
      </c>
      <c r="C299" t="s">
        <v>74</v>
      </c>
      <c r="D299" t="s">
        <v>74</v>
      </c>
      <c r="E299" t="s">
        <v>74</v>
      </c>
      <c r="F299" t="s">
        <v>5989</v>
      </c>
      <c r="G299" t="s">
        <v>74</v>
      </c>
      <c r="H299" t="s">
        <v>74</v>
      </c>
      <c r="I299" t="s">
        <v>5990</v>
      </c>
      <c r="J299" t="s">
        <v>344</v>
      </c>
      <c r="K299" t="s">
        <v>74</v>
      </c>
      <c r="L299" t="s">
        <v>74</v>
      </c>
      <c r="M299" t="s">
        <v>78</v>
      </c>
      <c r="N299" t="s">
        <v>79</v>
      </c>
      <c r="O299" t="s">
        <v>74</v>
      </c>
      <c r="P299" t="s">
        <v>74</v>
      </c>
      <c r="Q299" t="s">
        <v>74</v>
      </c>
      <c r="R299" t="s">
        <v>74</v>
      </c>
      <c r="S299" t="s">
        <v>74</v>
      </c>
      <c r="T299" t="s">
        <v>74</v>
      </c>
      <c r="U299" t="s">
        <v>5991</v>
      </c>
      <c r="V299" t="s">
        <v>5992</v>
      </c>
      <c r="W299" t="s">
        <v>5993</v>
      </c>
      <c r="X299" t="s">
        <v>5994</v>
      </c>
      <c r="Y299" t="s">
        <v>5995</v>
      </c>
      <c r="Z299" t="s">
        <v>5996</v>
      </c>
      <c r="AA299" t="s">
        <v>74</v>
      </c>
      <c r="AB299" t="s">
        <v>5997</v>
      </c>
      <c r="AC299" t="s">
        <v>5998</v>
      </c>
      <c r="AD299" t="s">
        <v>5998</v>
      </c>
      <c r="AE299" t="s">
        <v>5999</v>
      </c>
      <c r="AF299" t="s">
        <v>74</v>
      </c>
      <c r="AG299">
        <v>28</v>
      </c>
      <c r="AH299">
        <v>17</v>
      </c>
      <c r="AI299">
        <v>17</v>
      </c>
      <c r="AJ299">
        <v>0</v>
      </c>
      <c r="AK299">
        <v>5</v>
      </c>
      <c r="AL299" t="s">
        <v>92</v>
      </c>
      <c r="AM299" t="s">
        <v>93</v>
      </c>
      <c r="AN299" t="s">
        <v>94</v>
      </c>
      <c r="AO299" t="s">
        <v>356</v>
      </c>
      <c r="AP299" t="s">
        <v>357</v>
      </c>
      <c r="AQ299" t="s">
        <v>74</v>
      </c>
      <c r="AR299" t="s">
        <v>358</v>
      </c>
      <c r="AS299" t="s">
        <v>359</v>
      </c>
      <c r="AT299" t="s">
        <v>6000</v>
      </c>
      <c r="AU299">
        <v>2016</v>
      </c>
      <c r="AV299">
        <v>121</v>
      </c>
      <c r="AW299">
        <v>4</v>
      </c>
      <c r="AX299" t="s">
        <v>74</v>
      </c>
      <c r="AY299" t="s">
        <v>74</v>
      </c>
      <c r="AZ299" t="s">
        <v>74</v>
      </c>
      <c r="BA299" t="s">
        <v>74</v>
      </c>
      <c r="BB299">
        <v>2572</v>
      </c>
      <c r="BC299">
        <v>2595</v>
      </c>
      <c r="BD299" t="s">
        <v>74</v>
      </c>
      <c r="BE299" t="s">
        <v>6001</v>
      </c>
      <c r="BF299" t="str">
        <f>HYPERLINK("http://dx.doi.org/10.1002/2015JC011436","http://dx.doi.org/10.1002/2015JC011436")</f>
        <v>http://dx.doi.org/10.1002/2015JC011436</v>
      </c>
      <c r="BG299" t="s">
        <v>74</v>
      </c>
      <c r="BH299" t="s">
        <v>74</v>
      </c>
      <c r="BI299">
        <v>24</v>
      </c>
      <c r="BJ299" t="s">
        <v>361</v>
      </c>
      <c r="BK299" t="s">
        <v>102</v>
      </c>
      <c r="BL299" t="s">
        <v>361</v>
      </c>
      <c r="BM299" t="s">
        <v>6002</v>
      </c>
      <c r="BN299" t="s">
        <v>74</v>
      </c>
      <c r="BO299" t="s">
        <v>842</v>
      </c>
      <c r="BP299" t="s">
        <v>74</v>
      </c>
      <c r="BQ299" t="s">
        <v>74</v>
      </c>
      <c r="BR299" t="s">
        <v>106</v>
      </c>
      <c r="BS299" t="s">
        <v>6003</v>
      </c>
      <c r="BT299" t="str">
        <f>HYPERLINK("https%3A%2F%2Fwww.webofscience.com%2Fwos%2Fwoscc%2Ffull-record%2FWOS:000383462300026","View Full Record in Web of Science")</f>
        <v>View Full Record in Web of Science</v>
      </c>
    </row>
    <row r="300" spans="1:72" x14ac:dyDescent="0.15">
      <c r="A300" t="s">
        <v>72</v>
      </c>
      <c r="B300" t="s">
        <v>6004</v>
      </c>
      <c r="C300" t="s">
        <v>74</v>
      </c>
      <c r="D300" t="s">
        <v>74</v>
      </c>
      <c r="E300" t="s">
        <v>74</v>
      </c>
      <c r="F300" t="s">
        <v>6005</v>
      </c>
      <c r="G300" t="s">
        <v>74</v>
      </c>
      <c r="H300" t="s">
        <v>74</v>
      </c>
      <c r="I300" t="s">
        <v>6006</v>
      </c>
      <c r="J300" t="s">
        <v>6007</v>
      </c>
      <c r="K300" t="s">
        <v>74</v>
      </c>
      <c r="L300" t="s">
        <v>74</v>
      </c>
      <c r="M300" t="s">
        <v>2248</v>
      </c>
      <c r="N300" t="s">
        <v>79</v>
      </c>
      <c r="O300" t="s">
        <v>74</v>
      </c>
      <c r="P300" t="s">
        <v>74</v>
      </c>
      <c r="Q300" t="s">
        <v>74</v>
      </c>
      <c r="R300" t="s">
        <v>74</v>
      </c>
      <c r="S300" t="s">
        <v>74</v>
      </c>
      <c r="T300" t="s">
        <v>6008</v>
      </c>
      <c r="U300" t="s">
        <v>74</v>
      </c>
      <c r="V300" t="s">
        <v>6009</v>
      </c>
      <c r="W300" t="s">
        <v>6010</v>
      </c>
      <c r="X300" t="s">
        <v>6011</v>
      </c>
      <c r="Y300" t="s">
        <v>6012</v>
      </c>
      <c r="Z300" t="s">
        <v>6013</v>
      </c>
      <c r="AA300" t="s">
        <v>74</v>
      </c>
      <c r="AB300" t="s">
        <v>74</v>
      </c>
      <c r="AC300" t="s">
        <v>74</v>
      </c>
      <c r="AD300" t="s">
        <v>74</v>
      </c>
      <c r="AE300" t="s">
        <v>74</v>
      </c>
      <c r="AF300" t="s">
        <v>74</v>
      </c>
      <c r="AG300">
        <v>40</v>
      </c>
      <c r="AH300">
        <v>0</v>
      </c>
      <c r="AI300">
        <v>0</v>
      </c>
      <c r="AJ300">
        <v>0</v>
      </c>
      <c r="AK300">
        <v>3</v>
      </c>
      <c r="AL300" t="s">
        <v>6014</v>
      </c>
      <c r="AM300" t="s">
        <v>6015</v>
      </c>
      <c r="AN300" t="s">
        <v>6016</v>
      </c>
      <c r="AO300" t="s">
        <v>6017</v>
      </c>
      <c r="AP300" t="s">
        <v>74</v>
      </c>
      <c r="AQ300" t="s">
        <v>74</v>
      </c>
      <c r="AR300" t="s">
        <v>6018</v>
      </c>
      <c r="AS300" t="s">
        <v>6019</v>
      </c>
      <c r="AT300" t="s">
        <v>6020</v>
      </c>
      <c r="AU300">
        <v>2016</v>
      </c>
      <c r="AV300">
        <v>7</v>
      </c>
      <c r="AW300">
        <v>2</v>
      </c>
      <c r="AX300" t="s">
        <v>74</v>
      </c>
      <c r="AY300" t="s">
        <v>74</v>
      </c>
      <c r="AZ300" t="s">
        <v>74</v>
      </c>
      <c r="BA300" t="s">
        <v>74</v>
      </c>
      <c r="BB300">
        <v>1</v>
      </c>
      <c r="BC300">
        <v>19</v>
      </c>
      <c r="BD300" t="s">
        <v>74</v>
      </c>
      <c r="BE300" t="s">
        <v>74</v>
      </c>
      <c r="BF300" t="s">
        <v>74</v>
      </c>
      <c r="BG300" t="s">
        <v>74</v>
      </c>
      <c r="BH300" t="s">
        <v>74</v>
      </c>
      <c r="BI300">
        <v>19</v>
      </c>
      <c r="BJ300" t="s">
        <v>6021</v>
      </c>
      <c r="BK300" t="s">
        <v>967</v>
      </c>
      <c r="BL300" t="s">
        <v>6021</v>
      </c>
      <c r="BM300" t="s">
        <v>6022</v>
      </c>
      <c r="BN300" t="s">
        <v>74</v>
      </c>
      <c r="BO300" t="s">
        <v>74</v>
      </c>
      <c r="BP300" t="s">
        <v>74</v>
      </c>
      <c r="BQ300" t="s">
        <v>74</v>
      </c>
      <c r="BR300" t="s">
        <v>106</v>
      </c>
      <c r="BS300" t="s">
        <v>6023</v>
      </c>
      <c r="BT300" t="str">
        <f>HYPERLINK("https%3A%2F%2Fwww.webofscience.com%2Fwos%2Fwoscc%2Ffull-record%2FWOS:000382983700001","View Full Record in Web of Science")</f>
        <v>View Full Record in Web of Science</v>
      </c>
    </row>
    <row r="301" spans="1:72" x14ac:dyDescent="0.15">
      <c r="A301" t="s">
        <v>72</v>
      </c>
      <c r="B301" t="s">
        <v>6024</v>
      </c>
      <c r="C301" t="s">
        <v>74</v>
      </c>
      <c r="D301" t="s">
        <v>74</v>
      </c>
      <c r="E301" t="s">
        <v>74</v>
      </c>
      <c r="F301" t="s">
        <v>6025</v>
      </c>
      <c r="G301" t="s">
        <v>74</v>
      </c>
      <c r="H301" t="s">
        <v>74</v>
      </c>
      <c r="I301" t="s">
        <v>6026</v>
      </c>
      <c r="J301" t="s">
        <v>6007</v>
      </c>
      <c r="K301" t="s">
        <v>74</v>
      </c>
      <c r="L301" t="s">
        <v>74</v>
      </c>
      <c r="M301" t="s">
        <v>2248</v>
      </c>
      <c r="N301" t="s">
        <v>79</v>
      </c>
      <c r="O301" t="s">
        <v>74</v>
      </c>
      <c r="P301" t="s">
        <v>74</v>
      </c>
      <c r="Q301" t="s">
        <v>74</v>
      </c>
      <c r="R301" t="s">
        <v>74</v>
      </c>
      <c r="S301" t="s">
        <v>74</v>
      </c>
      <c r="T301" t="s">
        <v>6027</v>
      </c>
      <c r="U301" t="s">
        <v>74</v>
      </c>
      <c r="V301" t="s">
        <v>6028</v>
      </c>
      <c r="W301" t="s">
        <v>6029</v>
      </c>
      <c r="X301" t="s">
        <v>6030</v>
      </c>
      <c r="Y301" t="s">
        <v>6031</v>
      </c>
      <c r="Z301" t="s">
        <v>6032</v>
      </c>
      <c r="AA301" t="s">
        <v>6033</v>
      </c>
      <c r="AB301" t="s">
        <v>74</v>
      </c>
      <c r="AC301" t="s">
        <v>74</v>
      </c>
      <c r="AD301" t="s">
        <v>74</v>
      </c>
      <c r="AE301" t="s">
        <v>74</v>
      </c>
      <c r="AF301" t="s">
        <v>74</v>
      </c>
      <c r="AG301">
        <v>67</v>
      </c>
      <c r="AH301">
        <v>0</v>
      </c>
      <c r="AI301">
        <v>0</v>
      </c>
      <c r="AJ301">
        <v>0</v>
      </c>
      <c r="AK301">
        <v>0</v>
      </c>
      <c r="AL301" t="s">
        <v>6014</v>
      </c>
      <c r="AM301" t="s">
        <v>6015</v>
      </c>
      <c r="AN301" t="s">
        <v>6016</v>
      </c>
      <c r="AO301" t="s">
        <v>6017</v>
      </c>
      <c r="AP301" t="s">
        <v>74</v>
      </c>
      <c r="AQ301" t="s">
        <v>74</v>
      </c>
      <c r="AR301" t="s">
        <v>6018</v>
      </c>
      <c r="AS301" t="s">
        <v>6019</v>
      </c>
      <c r="AT301" t="s">
        <v>6020</v>
      </c>
      <c r="AU301">
        <v>2016</v>
      </c>
      <c r="AV301">
        <v>7</v>
      </c>
      <c r="AW301">
        <v>2</v>
      </c>
      <c r="AX301" t="s">
        <v>74</v>
      </c>
      <c r="AY301" t="s">
        <v>74</v>
      </c>
      <c r="AZ301" t="s">
        <v>74</v>
      </c>
      <c r="BA301" t="s">
        <v>74</v>
      </c>
      <c r="BB301">
        <v>59</v>
      </c>
      <c r="BC301">
        <v>76</v>
      </c>
      <c r="BD301" t="s">
        <v>74</v>
      </c>
      <c r="BE301" t="s">
        <v>74</v>
      </c>
      <c r="BF301" t="s">
        <v>74</v>
      </c>
      <c r="BG301" t="s">
        <v>74</v>
      </c>
      <c r="BH301" t="s">
        <v>74</v>
      </c>
      <c r="BI301">
        <v>18</v>
      </c>
      <c r="BJ301" t="s">
        <v>6021</v>
      </c>
      <c r="BK301" t="s">
        <v>967</v>
      </c>
      <c r="BL301" t="s">
        <v>6021</v>
      </c>
      <c r="BM301" t="s">
        <v>6022</v>
      </c>
      <c r="BN301" t="s">
        <v>74</v>
      </c>
      <c r="BO301" t="s">
        <v>74</v>
      </c>
      <c r="BP301" t="s">
        <v>74</v>
      </c>
      <c r="BQ301" t="s">
        <v>74</v>
      </c>
      <c r="BR301" t="s">
        <v>106</v>
      </c>
      <c r="BS301" t="s">
        <v>6034</v>
      </c>
      <c r="BT301" t="str">
        <f>HYPERLINK("https%3A%2F%2Fwww.webofscience.com%2Fwos%2Fwoscc%2Ffull-record%2FWOS:000382983700004","View Full Record in Web of Science")</f>
        <v>View Full Record in Web of Science</v>
      </c>
    </row>
    <row r="302" spans="1:72" x14ac:dyDescent="0.15">
      <c r="A302" t="s">
        <v>72</v>
      </c>
      <c r="B302" t="s">
        <v>6035</v>
      </c>
      <c r="C302" t="s">
        <v>74</v>
      </c>
      <c r="D302" t="s">
        <v>74</v>
      </c>
      <c r="E302" t="s">
        <v>74</v>
      </c>
      <c r="F302" t="s">
        <v>6036</v>
      </c>
      <c r="G302" t="s">
        <v>74</v>
      </c>
      <c r="H302" t="s">
        <v>74</v>
      </c>
      <c r="I302" t="s">
        <v>6037</v>
      </c>
      <c r="J302" t="s">
        <v>2433</v>
      </c>
      <c r="K302" t="s">
        <v>74</v>
      </c>
      <c r="L302" t="s">
        <v>74</v>
      </c>
      <c r="M302" t="s">
        <v>78</v>
      </c>
      <c r="N302" t="s">
        <v>79</v>
      </c>
      <c r="O302" t="s">
        <v>74</v>
      </c>
      <c r="P302" t="s">
        <v>74</v>
      </c>
      <c r="Q302" t="s">
        <v>74</v>
      </c>
      <c r="R302" t="s">
        <v>74</v>
      </c>
      <c r="S302" t="s">
        <v>74</v>
      </c>
      <c r="T302" t="s">
        <v>74</v>
      </c>
      <c r="U302" t="s">
        <v>6038</v>
      </c>
      <c r="V302" t="s">
        <v>6039</v>
      </c>
      <c r="W302" t="s">
        <v>6040</v>
      </c>
      <c r="X302" t="s">
        <v>6041</v>
      </c>
      <c r="Y302" t="s">
        <v>6042</v>
      </c>
      <c r="Z302" t="s">
        <v>6043</v>
      </c>
      <c r="AA302" t="s">
        <v>6044</v>
      </c>
      <c r="AB302" t="s">
        <v>6045</v>
      </c>
      <c r="AC302" t="s">
        <v>6046</v>
      </c>
      <c r="AD302" t="s">
        <v>6047</v>
      </c>
      <c r="AE302" t="s">
        <v>6048</v>
      </c>
      <c r="AF302" t="s">
        <v>74</v>
      </c>
      <c r="AG302">
        <v>97</v>
      </c>
      <c r="AH302">
        <v>14</v>
      </c>
      <c r="AI302">
        <v>14</v>
      </c>
      <c r="AJ302">
        <v>0</v>
      </c>
      <c r="AK302">
        <v>5</v>
      </c>
      <c r="AL302" t="s">
        <v>92</v>
      </c>
      <c r="AM302" t="s">
        <v>93</v>
      </c>
      <c r="AN302" t="s">
        <v>94</v>
      </c>
      <c r="AO302" t="s">
        <v>2444</v>
      </c>
      <c r="AP302" t="s">
        <v>2445</v>
      </c>
      <c r="AQ302" t="s">
        <v>74</v>
      </c>
      <c r="AR302" t="s">
        <v>2446</v>
      </c>
      <c r="AS302" t="s">
        <v>2447</v>
      </c>
      <c r="AT302" t="s">
        <v>6000</v>
      </c>
      <c r="AU302">
        <v>2016</v>
      </c>
      <c r="AV302">
        <v>121</v>
      </c>
      <c r="AW302">
        <v>4</v>
      </c>
      <c r="AX302" t="s">
        <v>74</v>
      </c>
      <c r="AY302" t="s">
        <v>74</v>
      </c>
      <c r="AZ302" t="s">
        <v>74</v>
      </c>
      <c r="BA302" t="s">
        <v>74</v>
      </c>
      <c r="BB302">
        <v>2216</v>
      </c>
      <c r="BC302">
        <v>2234</v>
      </c>
      <c r="BD302" t="s">
        <v>74</v>
      </c>
      <c r="BE302" t="s">
        <v>6049</v>
      </c>
      <c r="BF302" t="str">
        <f>HYPERLINK("http://dx.doi.org/10.1002/2015JB012622","http://dx.doi.org/10.1002/2015JB012622")</f>
        <v>http://dx.doi.org/10.1002/2015JB012622</v>
      </c>
      <c r="BG302" t="s">
        <v>74</v>
      </c>
      <c r="BH302" t="s">
        <v>74</v>
      </c>
      <c r="BI302">
        <v>19</v>
      </c>
      <c r="BJ302" t="s">
        <v>727</v>
      </c>
      <c r="BK302" t="s">
        <v>102</v>
      </c>
      <c r="BL302" t="s">
        <v>727</v>
      </c>
      <c r="BM302" t="s">
        <v>6050</v>
      </c>
      <c r="BN302" t="s">
        <v>74</v>
      </c>
      <c r="BO302" t="s">
        <v>842</v>
      </c>
      <c r="BP302" t="s">
        <v>74</v>
      </c>
      <c r="BQ302" t="s">
        <v>74</v>
      </c>
      <c r="BR302" t="s">
        <v>106</v>
      </c>
      <c r="BS302" t="s">
        <v>6051</v>
      </c>
      <c r="BT302" t="str">
        <f>HYPERLINK("https%3A%2F%2Fwww.webofscience.com%2Fwos%2Fwoscc%2Ffull-record%2FWOS:000381626700001","View Full Record in Web of Science")</f>
        <v>View Full Record in Web of Science</v>
      </c>
    </row>
    <row r="303" spans="1:72" x14ac:dyDescent="0.15">
      <c r="A303" t="s">
        <v>72</v>
      </c>
      <c r="B303" t="s">
        <v>6052</v>
      </c>
      <c r="C303" t="s">
        <v>74</v>
      </c>
      <c r="D303" t="s">
        <v>74</v>
      </c>
      <c r="E303" t="s">
        <v>74</v>
      </c>
      <c r="F303" t="s">
        <v>6053</v>
      </c>
      <c r="G303" t="s">
        <v>74</v>
      </c>
      <c r="H303" t="s">
        <v>74</v>
      </c>
      <c r="I303" t="s">
        <v>6054</v>
      </c>
      <c r="J303" t="s">
        <v>2433</v>
      </c>
      <c r="K303" t="s">
        <v>74</v>
      </c>
      <c r="L303" t="s">
        <v>74</v>
      </c>
      <c r="M303" t="s">
        <v>78</v>
      </c>
      <c r="N303" t="s">
        <v>79</v>
      </c>
      <c r="O303" t="s">
        <v>74</v>
      </c>
      <c r="P303" t="s">
        <v>74</v>
      </c>
      <c r="Q303" t="s">
        <v>74</v>
      </c>
      <c r="R303" t="s">
        <v>74</v>
      </c>
      <c r="S303" t="s">
        <v>74</v>
      </c>
      <c r="T303" t="s">
        <v>74</v>
      </c>
      <c r="U303" t="s">
        <v>6055</v>
      </c>
      <c r="V303" t="s">
        <v>6056</v>
      </c>
      <c r="W303" t="s">
        <v>6057</v>
      </c>
      <c r="X303" t="s">
        <v>6058</v>
      </c>
      <c r="Y303" t="s">
        <v>6059</v>
      </c>
      <c r="Z303" t="s">
        <v>6060</v>
      </c>
      <c r="AA303" t="s">
        <v>74</v>
      </c>
      <c r="AB303" t="s">
        <v>6061</v>
      </c>
      <c r="AC303" t="s">
        <v>6062</v>
      </c>
      <c r="AD303" t="s">
        <v>6063</v>
      </c>
      <c r="AE303" t="s">
        <v>6064</v>
      </c>
      <c r="AF303" t="s">
        <v>74</v>
      </c>
      <c r="AG303">
        <v>76</v>
      </c>
      <c r="AH303">
        <v>11</v>
      </c>
      <c r="AI303">
        <v>13</v>
      </c>
      <c r="AJ303">
        <v>1</v>
      </c>
      <c r="AK303">
        <v>13</v>
      </c>
      <c r="AL303" t="s">
        <v>92</v>
      </c>
      <c r="AM303" t="s">
        <v>93</v>
      </c>
      <c r="AN303" t="s">
        <v>94</v>
      </c>
      <c r="AO303" t="s">
        <v>2444</v>
      </c>
      <c r="AP303" t="s">
        <v>2445</v>
      </c>
      <c r="AQ303" t="s">
        <v>74</v>
      </c>
      <c r="AR303" t="s">
        <v>2446</v>
      </c>
      <c r="AS303" t="s">
        <v>2447</v>
      </c>
      <c r="AT303" t="s">
        <v>6000</v>
      </c>
      <c r="AU303">
        <v>2016</v>
      </c>
      <c r="AV303">
        <v>121</v>
      </c>
      <c r="AW303">
        <v>4</v>
      </c>
      <c r="AX303" t="s">
        <v>74</v>
      </c>
      <c r="AY303" t="s">
        <v>74</v>
      </c>
      <c r="AZ303" t="s">
        <v>74</v>
      </c>
      <c r="BA303" t="s">
        <v>74</v>
      </c>
      <c r="BB303">
        <v>2258</v>
      </c>
      <c r="BC303">
        <v>2273</v>
      </c>
      <c r="BD303" t="s">
        <v>74</v>
      </c>
      <c r="BE303" t="s">
        <v>6065</v>
      </c>
      <c r="BF303" t="str">
        <f>HYPERLINK("http://dx.doi.org/10.1002/2015JB012677","http://dx.doi.org/10.1002/2015JB012677")</f>
        <v>http://dx.doi.org/10.1002/2015JB012677</v>
      </c>
      <c r="BG303" t="s">
        <v>74</v>
      </c>
      <c r="BH303" t="s">
        <v>74</v>
      </c>
      <c r="BI303">
        <v>16</v>
      </c>
      <c r="BJ303" t="s">
        <v>727</v>
      </c>
      <c r="BK303" t="s">
        <v>102</v>
      </c>
      <c r="BL303" t="s">
        <v>727</v>
      </c>
      <c r="BM303" t="s">
        <v>6050</v>
      </c>
      <c r="BN303" t="s">
        <v>74</v>
      </c>
      <c r="BO303" t="s">
        <v>420</v>
      </c>
      <c r="BP303" t="s">
        <v>74</v>
      </c>
      <c r="BQ303" t="s">
        <v>74</v>
      </c>
      <c r="BR303" t="s">
        <v>106</v>
      </c>
      <c r="BS303" t="s">
        <v>6066</v>
      </c>
      <c r="BT303" t="str">
        <f>HYPERLINK("https%3A%2F%2Fwww.webofscience.com%2Fwos%2Fwoscc%2Ffull-record%2FWOS:000381626700003","View Full Record in Web of Science")</f>
        <v>View Full Record in Web of Science</v>
      </c>
    </row>
    <row r="304" spans="1:72" x14ac:dyDescent="0.15">
      <c r="A304" t="s">
        <v>72</v>
      </c>
      <c r="B304" t="s">
        <v>6067</v>
      </c>
      <c r="C304" t="s">
        <v>74</v>
      </c>
      <c r="D304" t="s">
        <v>74</v>
      </c>
      <c r="E304" t="s">
        <v>74</v>
      </c>
      <c r="F304" t="s">
        <v>6068</v>
      </c>
      <c r="G304" t="s">
        <v>74</v>
      </c>
      <c r="H304" t="s">
        <v>74</v>
      </c>
      <c r="I304" t="s">
        <v>6069</v>
      </c>
      <c r="J304" t="s">
        <v>385</v>
      </c>
      <c r="K304" t="s">
        <v>74</v>
      </c>
      <c r="L304" t="s">
        <v>74</v>
      </c>
      <c r="M304" t="s">
        <v>78</v>
      </c>
      <c r="N304" t="s">
        <v>79</v>
      </c>
      <c r="O304" t="s">
        <v>74</v>
      </c>
      <c r="P304" t="s">
        <v>74</v>
      </c>
      <c r="Q304" t="s">
        <v>74</v>
      </c>
      <c r="R304" t="s">
        <v>74</v>
      </c>
      <c r="S304" t="s">
        <v>74</v>
      </c>
      <c r="T304" t="s">
        <v>74</v>
      </c>
      <c r="U304" t="s">
        <v>6070</v>
      </c>
      <c r="V304" t="s">
        <v>6071</v>
      </c>
      <c r="W304" t="s">
        <v>6072</v>
      </c>
      <c r="X304" t="s">
        <v>6073</v>
      </c>
      <c r="Y304" t="s">
        <v>6074</v>
      </c>
      <c r="Z304" t="s">
        <v>6075</v>
      </c>
      <c r="AA304" t="s">
        <v>6076</v>
      </c>
      <c r="AB304" t="s">
        <v>6077</v>
      </c>
      <c r="AC304" t="s">
        <v>6078</v>
      </c>
      <c r="AD304" t="s">
        <v>6079</v>
      </c>
      <c r="AE304" t="s">
        <v>6080</v>
      </c>
      <c r="AF304" t="s">
        <v>74</v>
      </c>
      <c r="AG304">
        <v>52</v>
      </c>
      <c r="AH304">
        <v>9</v>
      </c>
      <c r="AI304">
        <v>9</v>
      </c>
      <c r="AJ304">
        <v>0</v>
      </c>
      <c r="AK304">
        <v>0</v>
      </c>
      <c r="AL304" t="s">
        <v>92</v>
      </c>
      <c r="AM304" t="s">
        <v>93</v>
      </c>
      <c r="AN304" t="s">
        <v>94</v>
      </c>
      <c r="AO304" t="s">
        <v>397</v>
      </c>
      <c r="AP304" t="s">
        <v>398</v>
      </c>
      <c r="AQ304" t="s">
        <v>74</v>
      </c>
      <c r="AR304" t="s">
        <v>399</v>
      </c>
      <c r="AS304" t="s">
        <v>400</v>
      </c>
      <c r="AT304" t="s">
        <v>6000</v>
      </c>
      <c r="AU304">
        <v>2016</v>
      </c>
      <c r="AV304">
        <v>121</v>
      </c>
      <c r="AW304">
        <v>4</v>
      </c>
      <c r="AX304" t="s">
        <v>74</v>
      </c>
      <c r="AY304" t="s">
        <v>74</v>
      </c>
      <c r="AZ304" t="s">
        <v>74</v>
      </c>
      <c r="BA304" t="s">
        <v>74</v>
      </c>
      <c r="BB304">
        <v>3198</v>
      </c>
      <c r="BC304">
        <v>3211</v>
      </c>
      <c r="BD304" t="s">
        <v>74</v>
      </c>
      <c r="BE304" t="s">
        <v>6081</v>
      </c>
      <c r="BF304" t="str">
        <f>HYPERLINK("http://dx.doi.org/10.1002/2016JA022418","http://dx.doi.org/10.1002/2016JA022418")</f>
        <v>http://dx.doi.org/10.1002/2016JA022418</v>
      </c>
      <c r="BG304" t="s">
        <v>74</v>
      </c>
      <c r="BH304" t="s">
        <v>74</v>
      </c>
      <c r="BI304">
        <v>14</v>
      </c>
      <c r="BJ304" t="s">
        <v>248</v>
      </c>
      <c r="BK304" t="s">
        <v>102</v>
      </c>
      <c r="BL304" t="s">
        <v>248</v>
      </c>
      <c r="BM304" t="s">
        <v>6082</v>
      </c>
      <c r="BN304" t="s">
        <v>74</v>
      </c>
      <c r="BO304" t="s">
        <v>420</v>
      </c>
      <c r="BP304" t="s">
        <v>74</v>
      </c>
      <c r="BQ304" t="s">
        <v>74</v>
      </c>
      <c r="BR304" t="s">
        <v>106</v>
      </c>
      <c r="BS304" t="s">
        <v>6083</v>
      </c>
      <c r="BT304" t="str">
        <f>HYPERLINK("https%3A%2F%2Fwww.webofscience.com%2Fwos%2Fwoscc%2Ffull-record%2FWOS:000379960300026","View Full Record in Web of Science")</f>
        <v>View Full Record in Web of Science</v>
      </c>
    </row>
    <row r="305" spans="1:72" x14ac:dyDescent="0.15">
      <c r="A305" t="s">
        <v>72</v>
      </c>
      <c r="B305" t="s">
        <v>6084</v>
      </c>
      <c r="C305" t="s">
        <v>74</v>
      </c>
      <c r="D305" t="s">
        <v>74</v>
      </c>
      <c r="E305" t="s">
        <v>74</v>
      </c>
      <c r="F305" t="s">
        <v>6085</v>
      </c>
      <c r="G305" t="s">
        <v>74</v>
      </c>
      <c r="H305" t="s">
        <v>74</v>
      </c>
      <c r="I305" t="s">
        <v>6086</v>
      </c>
      <c r="J305" t="s">
        <v>385</v>
      </c>
      <c r="K305" t="s">
        <v>74</v>
      </c>
      <c r="L305" t="s">
        <v>74</v>
      </c>
      <c r="M305" t="s">
        <v>78</v>
      </c>
      <c r="N305" t="s">
        <v>79</v>
      </c>
      <c r="O305" t="s">
        <v>74</v>
      </c>
      <c r="P305" t="s">
        <v>74</v>
      </c>
      <c r="Q305" t="s">
        <v>74</v>
      </c>
      <c r="R305" t="s">
        <v>74</v>
      </c>
      <c r="S305" t="s">
        <v>74</v>
      </c>
      <c r="T305" t="s">
        <v>74</v>
      </c>
      <c r="U305" t="s">
        <v>6087</v>
      </c>
      <c r="V305" t="s">
        <v>6088</v>
      </c>
      <c r="W305" t="s">
        <v>6089</v>
      </c>
      <c r="X305" t="s">
        <v>6090</v>
      </c>
      <c r="Y305" t="s">
        <v>6091</v>
      </c>
      <c r="Z305" t="s">
        <v>6092</v>
      </c>
      <c r="AA305" t="s">
        <v>6093</v>
      </c>
      <c r="AB305" t="s">
        <v>6094</v>
      </c>
      <c r="AC305" t="s">
        <v>6095</v>
      </c>
      <c r="AD305" t="s">
        <v>6096</v>
      </c>
      <c r="AE305" t="s">
        <v>6097</v>
      </c>
      <c r="AF305" t="s">
        <v>74</v>
      </c>
      <c r="AG305">
        <v>37</v>
      </c>
      <c r="AH305">
        <v>6</v>
      </c>
      <c r="AI305">
        <v>6</v>
      </c>
      <c r="AJ305">
        <v>1</v>
      </c>
      <c r="AK305">
        <v>2</v>
      </c>
      <c r="AL305" t="s">
        <v>92</v>
      </c>
      <c r="AM305" t="s">
        <v>93</v>
      </c>
      <c r="AN305" t="s">
        <v>94</v>
      </c>
      <c r="AO305" t="s">
        <v>397</v>
      </c>
      <c r="AP305" t="s">
        <v>398</v>
      </c>
      <c r="AQ305" t="s">
        <v>74</v>
      </c>
      <c r="AR305" t="s">
        <v>399</v>
      </c>
      <c r="AS305" t="s">
        <v>400</v>
      </c>
      <c r="AT305" t="s">
        <v>6000</v>
      </c>
      <c r="AU305">
        <v>2016</v>
      </c>
      <c r="AV305">
        <v>121</v>
      </c>
      <c r="AW305">
        <v>4</v>
      </c>
      <c r="AX305" t="s">
        <v>74</v>
      </c>
      <c r="AY305" t="s">
        <v>74</v>
      </c>
      <c r="AZ305" t="s">
        <v>74</v>
      </c>
      <c r="BA305" t="s">
        <v>74</v>
      </c>
      <c r="BB305">
        <v>3395</v>
      </c>
      <c r="BC305">
        <v>3409</v>
      </c>
      <c r="BD305" t="s">
        <v>74</v>
      </c>
      <c r="BE305" t="s">
        <v>6098</v>
      </c>
      <c r="BF305" t="str">
        <f>HYPERLINK("http://dx.doi.org/10.1002/2015JA022302","http://dx.doi.org/10.1002/2015JA022302")</f>
        <v>http://dx.doi.org/10.1002/2015JA022302</v>
      </c>
      <c r="BG305" t="s">
        <v>74</v>
      </c>
      <c r="BH305" t="s">
        <v>74</v>
      </c>
      <c r="BI305">
        <v>15</v>
      </c>
      <c r="BJ305" t="s">
        <v>248</v>
      </c>
      <c r="BK305" t="s">
        <v>102</v>
      </c>
      <c r="BL305" t="s">
        <v>248</v>
      </c>
      <c r="BM305" t="s">
        <v>6082</v>
      </c>
      <c r="BN305" t="s">
        <v>74</v>
      </c>
      <c r="BO305" t="s">
        <v>420</v>
      </c>
      <c r="BP305" t="s">
        <v>74</v>
      </c>
      <c r="BQ305" t="s">
        <v>74</v>
      </c>
      <c r="BR305" t="s">
        <v>106</v>
      </c>
      <c r="BS305" t="s">
        <v>6099</v>
      </c>
      <c r="BT305" t="str">
        <f>HYPERLINK("https%3A%2F%2Fwww.webofscience.com%2Fwos%2Fwoscc%2Ffull-record%2FWOS:000379960300040","View Full Record in Web of Science")</f>
        <v>View Full Record in Web of Science</v>
      </c>
    </row>
    <row r="306" spans="1:72" x14ac:dyDescent="0.15">
      <c r="A306" t="s">
        <v>72</v>
      </c>
      <c r="B306" t="s">
        <v>6100</v>
      </c>
      <c r="C306" t="s">
        <v>74</v>
      </c>
      <c r="D306" t="s">
        <v>74</v>
      </c>
      <c r="E306" t="s">
        <v>74</v>
      </c>
      <c r="F306" t="s">
        <v>6101</v>
      </c>
      <c r="G306" t="s">
        <v>74</v>
      </c>
      <c r="H306" t="s">
        <v>74</v>
      </c>
      <c r="I306" t="s">
        <v>6102</v>
      </c>
      <c r="J306" t="s">
        <v>6103</v>
      </c>
      <c r="K306" t="s">
        <v>74</v>
      </c>
      <c r="L306" t="s">
        <v>74</v>
      </c>
      <c r="M306" t="s">
        <v>78</v>
      </c>
      <c r="N306" t="s">
        <v>79</v>
      </c>
      <c r="O306" t="s">
        <v>74</v>
      </c>
      <c r="P306" t="s">
        <v>74</v>
      </c>
      <c r="Q306" t="s">
        <v>74</v>
      </c>
      <c r="R306" t="s">
        <v>74</v>
      </c>
      <c r="S306" t="s">
        <v>74</v>
      </c>
      <c r="T306" t="s">
        <v>74</v>
      </c>
      <c r="U306" t="s">
        <v>6104</v>
      </c>
      <c r="V306" t="s">
        <v>6105</v>
      </c>
      <c r="W306" t="s">
        <v>6106</v>
      </c>
      <c r="X306" t="s">
        <v>6107</v>
      </c>
      <c r="Y306" t="s">
        <v>6108</v>
      </c>
      <c r="Z306" t="s">
        <v>6109</v>
      </c>
      <c r="AA306" t="s">
        <v>6110</v>
      </c>
      <c r="AB306" t="s">
        <v>6111</v>
      </c>
      <c r="AC306" t="s">
        <v>6112</v>
      </c>
      <c r="AD306" t="s">
        <v>6113</v>
      </c>
      <c r="AE306" t="s">
        <v>6114</v>
      </c>
      <c r="AF306" t="s">
        <v>74</v>
      </c>
      <c r="AG306">
        <v>63</v>
      </c>
      <c r="AH306">
        <v>11</v>
      </c>
      <c r="AI306">
        <v>11</v>
      </c>
      <c r="AJ306">
        <v>1</v>
      </c>
      <c r="AK306">
        <v>36</v>
      </c>
      <c r="AL306" t="s">
        <v>92</v>
      </c>
      <c r="AM306" t="s">
        <v>93</v>
      </c>
      <c r="AN306" t="s">
        <v>94</v>
      </c>
      <c r="AO306" t="s">
        <v>74</v>
      </c>
      <c r="AP306" t="s">
        <v>6115</v>
      </c>
      <c r="AQ306" t="s">
        <v>74</v>
      </c>
      <c r="AR306" t="s">
        <v>6116</v>
      </c>
      <c r="AS306" t="s">
        <v>6117</v>
      </c>
      <c r="AT306" t="s">
        <v>6000</v>
      </c>
      <c r="AU306">
        <v>2016</v>
      </c>
      <c r="AV306">
        <v>17</v>
      </c>
      <c r="AW306">
        <v>4</v>
      </c>
      <c r="AX306" t="s">
        <v>74</v>
      </c>
      <c r="AY306" t="s">
        <v>74</v>
      </c>
      <c r="AZ306" t="s">
        <v>74</v>
      </c>
      <c r="BA306" t="s">
        <v>74</v>
      </c>
      <c r="BB306">
        <v>1296</v>
      </c>
      <c r="BC306">
        <v>1311</v>
      </c>
      <c r="BD306" t="s">
        <v>74</v>
      </c>
      <c r="BE306" t="s">
        <v>6118</v>
      </c>
      <c r="BF306" t="str">
        <f>HYPERLINK("http://dx.doi.org/10.1002/2015GC006062","http://dx.doi.org/10.1002/2015GC006062")</f>
        <v>http://dx.doi.org/10.1002/2015GC006062</v>
      </c>
      <c r="BG306" t="s">
        <v>74</v>
      </c>
      <c r="BH306" t="s">
        <v>74</v>
      </c>
      <c r="BI306">
        <v>16</v>
      </c>
      <c r="BJ306" t="s">
        <v>727</v>
      </c>
      <c r="BK306" t="s">
        <v>102</v>
      </c>
      <c r="BL306" t="s">
        <v>727</v>
      </c>
      <c r="BM306" t="s">
        <v>6119</v>
      </c>
      <c r="BN306" t="s">
        <v>74</v>
      </c>
      <c r="BO306" t="s">
        <v>3386</v>
      </c>
      <c r="BP306" t="s">
        <v>74</v>
      </c>
      <c r="BQ306" t="s">
        <v>74</v>
      </c>
      <c r="BR306" t="s">
        <v>106</v>
      </c>
      <c r="BS306" t="s">
        <v>6120</v>
      </c>
      <c r="BT306" t="str">
        <f>HYPERLINK("https%3A%2F%2Fwww.webofscience.com%2Fwos%2Fwoscc%2Ffull-record%2FWOS:000379523900004","View Full Record in Web of Science")</f>
        <v>View Full Record in Web of Science</v>
      </c>
    </row>
    <row r="307" spans="1:72" x14ac:dyDescent="0.15">
      <c r="A307" t="s">
        <v>72</v>
      </c>
      <c r="B307" t="s">
        <v>6121</v>
      </c>
      <c r="C307" t="s">
        <v>74</v>
      </c>
      <c r="D307" t="s">
        <v>74</v>
      </c>
      <c r="E307" t="s">
        <v>74</v>
      </c>
      <c r="F307" t="s">
        <v>6122</v>
      </c>
      <c r="G307" t="s">
        <v>74</v>
      </c>
      <c r="H307" t="s">
        <v>74</v>
      </c>
      <c r="I307" t="s">
        <v>6123</v>
      </c>
      <c r="J307" t="s">
        <v>6103</v>
      </c>
      <c r="K307" t="s">
        <v>74</v>
      </c>
      <c r="L307" t="s">
        <v>74</v>
      </c>
      <c r="M307" t="s">
        <v>78</v>
      </c>
      <c r="N307" t="s">
        <v>79</v>
      </c>
      <c r="O307" t="s">
        <v>74</v>
      </c>
      <c r="P307" t="s">
        <v>74</v>
      </c>
      <c r="Q307" t="s">
        <v>74</v>
      </c>
      <c r="R307" t="s">
        <v>74</v>
      </c>
      <c r="S307" t="s">
        <v>74</v>
      </c>
      <c r="T307" t="s">
        <v>74</v>
      </c>
      <c r="U307" t="s">
        <v>6124</v>
      </c>
      <c r="V307" t="s">
        <v>6125</v>
      </c>
      <c r="W307" t="s">
        <v>6126</v>
      </c>
      <c r="X307" t="s">
        <v>6127</v>
      </c>
      <c r="Y307" t="s">
        <v>6128</v>
      </c>
      <c r="Z307" t="s">
        <v>6129</v>
      </c>
      <c r="AA307" t="s">
        <v>6130</v>
      </c>
      <c r="AB307" t="s">
        <v>6131</v>
      </c>
      <c r="AC307" t="s">
        <v>6132</v>
      </c>
      <c r="AD307" t="s">
        <v>6133</v>
      </c>
      <c r="AE307" t="s">
        <v>6134</v>
      </c>
      <c r="AF307" t="s">
        <v>74</v>
      </c>
      <c r="AG307">
        <v>95</v>
      </c>
      <c r="AH307">
        <v>24</v>
      </c>
      <c r="AI307">
        <v>27</v>
      </c>
      <c r="AJ307">
        <v>4</v>
      </c>
      <c r="AK307">
        <v>34</v>
      </c>
      <c r="AL307" t="s">
        <v>92</v>
      </c>
      <c r="AM307" t="s">
        <v>93</v>
      </c>
      <c r="AN307" t="s">
        <v>94</v>
      </c>
      <c r="AO307" t="s">
        <v>74</v>
      </c>
      <c r="AP307" t="s">
        <v>6115</v>
      </c>
      <c r="AQ307" t="s">
        <v>74</v>
      </c>
      <c r="AR307" t="s">
        <v>6116</v>
      </c>
      <c r="AS307" t="s">
        <v>6117</v>
      </c>
      <c r="AT307" t="s">
        <v>6000</v>
      </c>
      <c r="AU307">
        <v>2016</v>
      </c>
      <c r="AV307">
        <v>17</v>
      </c>
      <c r="AW307">
        <v>4</v>
      </c>
      <c r="AX307" t="s">
        <v>74</v>
      </c>
      <c r="AY307" t="s">
        <v>74</v>
      </c>
      <c r="AZ307" t="s">
        <v>74</v>
      </c>
      <c r="BA307" t="s">
        <v>74</v>
      </c>
      <c r="BB307">
        <v>1401</v>
      </c>
      <c r="BC307">
        <v>1418</v>
      </c>
      <c r="BD307" t="s">
        <v>74</v>
      </c>
      <c r="BE307" t="s">
        <v>6135</v>
      </c>
      <c r="BF307" t="str">
        <f>HYPERLINK("http://dx.doi.org/10.1002/2016GC006276","http://dx.doi.org/10.1002/2016GC006276")</f>
        <v>http://dx.doi.org/10.1002/2016GC006276</v>
      </c>
      <c r="BG307" t="s">
        <v>74</v>
      </c>
      <c r="BH307" t="s">
        <v>74</v>
      </c>
      <c r="BI307">
        <v>18</v>
      </c>
      <c r="BJ307" t="s">
        <v>727</v>
      </c>
      <c r="BK307" t="s">
        <v>102</v>
      </c>
      <c r="BL307" t="s">
        <v>727</v>
      </c>
      <c r="BM307" t="s">
        <v>6119</v>
      </c>
      <c r="BN307" t="s">
        <v>74</v>
      </c>
      <c r="BO307" t="s">
        <v>420</v>
      </c>
      <c r="BP307" t="s">
        <v>74</v>
      </c>
      <c r="BQ307" t="s">
        <v>74</v>
      </c>
      <c r="BR307" t="s">
        <v>106</v>
      </c>
      <c r="BS307" t="s">
        <v>6136</v>
      </c>
      <c r="BT307" t="str">
        <f>HYPERLINK("https%3A%2F%2Fwww.webofscience.com%2Fwos%2Fwoscc%2Ffull-record%2FWOS:000379523900010","View Full Record in Web of Science")</f>
        <v>View Full Record in Web of Science</v>
      </c>
    </row>
    <row r="308" spans="1:72" x14ac:dyDescent="0.15">
      <c r="A308" t="s">
        <v>72</v>
      </c>
      <c r="B308" t="s">
        <v>6137</v>
      </c>
      <c r="C308" t="s">
        <v>74</v>
      </c>
      <c r="D308" t="s">
        <v>74</v>
      </c>
      <c r="E308" t="s">
        <v>74</v>
      </c>
      <c r="F308" t="s">
        <v>6138</v>
      </c>
      <c r="G308" t="s">
        <v>74</v>
      </c>
      <c r="H308" t="s">
        <v>74</v>
      </c>
      <c r="I308" t="s">
        <v>6139</v>
      </c>
      <c r="J308" t="s">
        <v>6140</v>
      </c>
      <c r="K308" t="s">
        <v>74</v>
      </c>
      <c r="L308" t="s">
        <v>74</v>
      </c>
      <c r="M308" t="s">
        <v>78</v>
      </c>
      <c r="N308" t="s">
        <v>1869</v>
      </c>
      <c r="O308" t="s">
        <v>74</v>
      </c>
      <c r="P308" t="s">
        <v>74</v>
      </c>
      <c r="Q308" t="s">
        <v>74</v>
      </c>
      <c r="R308" t="s">
        <v>74</v>
      </c>
      <c r="S308" t="s">
        <v>74</v>
      </c>
      <c r="T308" t="s">
        <v>74</v>
      </c>
      <c r="U308" t="s">
        <v>74</v>
      </c>
      <c r="V308" t="s">
        <v>74</v>
      </c>
      <c r="W308" t="s">
        <v>74</v>
      </c>
      <c r="X308" t="s">
        <v>74</v>
      </c>
      <c r="Y308" t="s">
        <v>74</v>
      </c>
      <c r="Z308" t="s">
        <v>74</v>
      </c>
      <c r="AA308" t="s">
        <v>74</v>
      </c>
      <c r="AB308" t="s">
        <v>74</v>
      </c>
      <c r="AC308" t="s">
        <v>74</v>
      </c>
      <c r="AD308" t="s">
        <v>74</v>
      </c>
      <c r="AE308" t="s">
        <v>74</v>
      </c>
      <c r="AF308" t="s">
        <v>74</v>
      </c>
      <c r="AG308">
        <v>1</v>
      </c>
      <c r="AH308">
        <v>0</v>
      </c>
      <c r="AI308">
        <v>0</v>
      </c>
      <c r="AJ308">
        <v>0</v>
      </c>
      <c r="AK308">
        <v>10</v>
      </c>
      <c r="AL308" t="s">
        <v>6141</v>
      </c>
      <c r="AM308" t="s">
        <v>6142</v>
      </c>
      <c r="AN308" t="s">
        <v>6143</v>
      </c>
      <c r="AO308" t="s">
        <v>6144</v>
      </c>
      <c r="AP308" t="s">
        <v>6145</v>
      </c>
      <c r="AQ308" t="s">
        <v>74</v>
      </c>
      <c r="AR308" t="s">
        <v>6146</v>
      </c>
      <c r="AS308" t="s">
        <v>6147</v>
      </c>
      <c r="AT308" t="s">
        <v>6000</v>
      </c>
      <c r="AU308">
        <v>2016</v>
      </c>
      <c r="AV308">
        <v>86</v>
      </c>
      <c r="AW308">
        <v>4</v>
      </c>
      <c r="AX308" t="s">
        <v>74</v>
      </c>
      <c r="AY308" t="s">
        <v>74</v>
      </c>
      <c r="AZ308" t="s">
        <v>74</v>
      </c>
      <c r="BA308" t="s">
        <v>74</v>
      </c>
      <c r="BB308">
        <v>311</v>
      </c>
      <c r="BC308">
        <v>311</v>
      </c>
      <c r="BD308" t="s">
        <v>74</v>
      </c>
      <c r="BE308" t="s">
        <v>6148</v>
      </c>
      <c r="BF308" t="str">
        <f>HYPERLINK("http://dx.doi.org/10.2110/jsr.2016.22","http://dx.doi.org/10.2110/jsr.2016.22")</f>
        <v>http://dx.doi.org/10.2110/jsr.2016.22</v>
      </c>
      <c r="BG308" t="s">
        <v>74</v>
      </c>
      <c r="BH308" t="s">
        <v>74</v>
      </c>
      <c r="BI308">
        <v>1</v>
      </c>
      <c r="BJ308" t="s">
        <v>270</v>
      </c>
      <c r="BK308" t="s">
        <v>102</v>
      </c>
      <c r="BL308" t="s">
        <v>270</v>
      </c>
      <c r="BM308" t="s">
        <v>6149</v>
      </c>
      <c r="BN308" t="s">
        <v>74</v>
      </c>
      <c r="BO308" t="s">
        <v>74</v>
      </c>
      <c r="BP308" t="s">
        <v>74</v>
      </c>
      <c r="BQ308" t="s">
        <v>74</v>
      </c>
      <c r="BR308" t="s">
        <v>106</v>
      </c>
      <c r="BS308" t="s">
        <v>6150</v>
      </c>
      <c r="BT308" t="str">
        <f>HYPERLINK("https%3A%2F%2Fwww.webofscience.com%2Fwos%2Fwoscc%2Ffull-record%2FWOS:000379519200003","View Full Record in Web of Science")</f>
        <v>View Full Record in Web of Science</v>
      </c>
    </row>
    <row r="309" spans="1:72" x14ac:dyDescent="0.15">
      <c r="A309" t="s">
        <v>72</v>
      </c>
      <c r="B309" t="s">
        <v>6151</v>
      </c>
      <c r="C309" t="s">
        <v>74</v>
      </c>
      <c r="D309" t="s">
        <v>74</v>
      </c>
      <c r="E309" t="s">
        <v>74</v>
      </c>
      <c r="F309" t="s">
        <v>6152</v>
      </c>
      <c r="G309" t="s">
        <v>74</v>
      </c>
      <c r="H309" t="s">
        <v>74</v>
      </c>
      <c r="I309" t="s">
        <v>6153</v>
      </c>
      <c r="J309" t="s">
        <v>6154</v>
      </c>
      <c r="K309" t="s">
        <v>74</v>
      </c>
      <c r="L309" t="s">
        <v>74</v>
      </c>
      <c r="M309" t="s">
        <v>78</v>
      </c>
      <c r="N309" t="s">
        <v>79</v>
      </c>
      <c r="O309" t="s">
        <v>74</v>
      </c>
      <c r="P309" t="s">
        <v>74</v>
      </c>
      <c r="Q309" t="s">
        <v>74</v>
      </c>
      <c r="R309" t="s">
        <v>74</v>
      </c>
      <c r="S309" t="s">
        <v>74</v>
      </c>
      <c r="T309" t="s">
        <v>6155</v>
      </c>
      <c r="U309" t="s">
        <v>6156</v>
      </c>
      <c r="V309" t="s">
        <v>6157</v>
      </c>
      <c r="W309" t="s">
        <v>6158</v>
      </c>
      <c r="X309" t="s">
        <v>6159</v>
      </c>
      <c r="Y309" t="s">
        <v>6160</v>
      </c>
      <c r="Z309" t="s">
        <v>6161</v>
      </c>
      <c r="AA309" t="s">
        <v>6162</v>
      </c>
      <c r="AB309" t="s">
        <v>6163</v>
      </c>
      <c r="AC309" t="s">
        <v>6164</v>
      </c>
      <c r="AD309" t="s">
        <v>6165</v>
      </c>
      <c r="AE309" t="s">
        <v>6166</v>
      </c>
      <c r="AF309" t="s">
        <v>74</v>
      </c>
      <c r="AG309">
        <v>91</v>
      </c>
      <c r="AH309">
        <v>28</v>
      </c>
      <c r="AI309">
        <v>35</v>
      </c>
      <c r="AJ309">
        <v>6</v>
      </c>
      <c r="AK309">
        <v>89</v>
      </c>
      <c r="AL309" t="s">
        <v>124</v>
      </c>
      <c r="AM309" t="s">
        <v>125</v>
      </c>
      <c r="AN309" t="s">
        <v>126</v>
      </c>
      <c r="AO309" t="s">
        <v>6167</v>
      </c>
      <c r="AP309" t="s">
        <v>6168</v>
      </c>
      <c r="AQ309" t="s">
        <v>74</v>
      </c>
      <c r="AR309" t="s">
        <v>6169</v>
      </c>
      <c r="AS309" t="s">
        <v>6170</v>
      </c>
      <c r="AT309" t="s">
        <v>6000</v>
      </c>
      <c r="AU309">
        <v>2016</v>
      </c>
      <c r="AV309">
        <v>31</v>
      </c>
      <c r="AW309">
        <v>3</v>
      </c>
      <c r="AX309" t="s">
        <v>74</v>
      </c>
      <c r="AY309" t="s">
        <v>74</v>
      </c>
      <c r="AZ309" t="s">
        <v>74</v>
      </c>
      <c r="BA309" t="s">
        <v>74</v>
      </c>
      <c r="BB309">
        <v>191</v>
      </c>
      <c r="BC309">
        <v>202</v>
      </c>
      <c r="BD309" t="s">
        <v>74</v>
      </c>
      <c r="BE309" t="s">
        <v>6171</v>
      </c>
      <c r="BF309" t="str">
        <f>HYPERLINK("http://dx.doi.org/10.1002/jqs.2856","http://dx.doi.org/10.1002/jqs.2856")</f>
        <v>http://dx.doi.org/10.1002/jqs.2856</v>
      </c>
      <c r="BG309" t="s">
        <v>74</v>
      </c>
      <c r="BH309" t="s">
        <v>74</v>
      </c>
      <c r="BI309">
        <v>12</v>
      </c>
      <c r="BJ309" t="s">
        <v>1904</v>
      </c>
      <c r="BK309" t="s">
        <v>102</v>
      </c>
      <c r="BL309" t="s">
        <v>1905</v>
      </c>
      <c r="BM309" t="s">
        <v>6172</v>
      </c>
      <c r="BN309" t="s">
        <v>74</v>
      </c>
      <c r="BO309" t="s">
        <v>420</v>
      </c>
      <c r="BP309" t="s">
        <v>74</v>
      </c>
      <c r="BQ309" t="s">
        <v>74</v>
      </c>
      <c r="BR309" t="s">
        <v>106</v>
      </c>
      <c r="BS309" t="s">
        <v>6173</v>
      </c>
      <c r="BT309" t="str">
        <f>HYPERLINK("https%3A%2F%2Fwww.webofscience.com%2Fwos%2Fwoscc%2Ffull-record%2FWOS:000378134000003","View Full Record in Web of Science")</f>
        <v>View Full Record in Web of Science</v>
      </c>
    </row>
    <row r="310" spans="1:72" x14ac:dyDescent="0.15">
      <c r="A310" t="s">
        <v>72</v>
      </c>
      <c r="B310" t="s">
        <v>6174</v>
      </c>
      <c r="C310" t="s">
        <v>74</v>
      </c>
      <c r="D310" t="s">
        <v>74</v>
      </c>
      <c r="E310" t="s">
        <v>74</v>
      </c>
      <c r="F310" t="s">
        <v>6175</v>
      </c>
      <c r="G310" t="s">
        <v>74</v>
      </c>
      <c r="H310" t="s">
        <v>74</v>
      </c>
      <c r="I310" t="s">
        <v>6176</v>
      </c>
      <c r="J310" t="s">
        <v>6177</v>
      </c>
      <c r="K310" t="s">
        <v>74</v>
      </c>
      <c r="L310" t="s">
        <v>74</v>
      </c>
      <c r="M310" t="s">
        <v>78</v>
      </c>
      <c r="N310" t="s">
        <v>79</v>
      </c>
      <c r="O310" t="s">
        <v>74</v>
      </c>
      <c r="P310" t="s">
        <v>74</v>
      </c>
      <c r="Q310" t="s">
        <v>74</v>
      </c>
      <c r="R310" t="s">
        <v>74</v>
      </c>
      <c r="S310" t="s">
        <v>74</v>
      </c>
      <c r="T310" t="s">
        <v>6178</v>
      </c>
      <c r="U310" t="s">
        <v>6179</v>
      </c>
      <c r="V310" t="s">
        <v>6180</v>
      </c>
      <c r="W310" t="s">
        <v>6181</v>
      </c>
      <c r="X310" t="s">
        <v>6182</v>
      </c>
      <c r="Y310" t="s">
        <v>6183</v>
      </c>
      <c r="Z310" t="s">
        <v>6184</v>
      </c>
      <c r="AA310" t="s">
        <v>6185</v>
      </c>
      <c r="AB310" t="s">
        <v>6186</v>
      </c>
      <c r="AC310" t="s">
        <v>6187</v>
      </c>
      <c r="AD310" t="s">
        <v>6188</v>
      </c>
      <c r="AE310" t="s">
        <v>6189</v>
      </c>
      <c r="AF310" t="s">
        <v>74</v>
      </c>
      <c r="AG310">
        <v>45</v>
      </c>
      <c r="AH310">
        <v>7</v>
      </c>
      <c r="AI310">
        <v>9</v>
      </c>
      <c r="AJ310">
        <v>0</v>
      </c>
      <c r="AK310">
        <v>17</v>
      </c>
      <c r="AL310" t="s">
        <v>1657</v>
      </c>
      <c r="AM310" t="s">
        <v>679</v>
      </c>
      <c r="AN310" t="s">
        <v>1658</v>
      </c>
      <c r="AO310" t="s">
        <v>6190</v>
      </c>
      <c r="AP310" t="s">
        <v>6191</v>
      </c>
      <c r="AQ310" t="s">
        <v>74</v>
      </c>
      <c r="AR310" t="s">
        <v>6192</v>
      </c>
      <c r="AS310" t="s">
        <v>6193</v>
      </c>
      <c r="AT310" t="s">
        <v>6000</v>
      </c>
      <c r="AU310">
        <v>2016</v>
      </c>
      <c r="AV310">
        <v>363</v>
      </c>
      <c r="AW310">
        <v>7</v>
      </c>
      <c r="AX310" t="s">
        <v>74</v>
      </c>
      <c r="AY310" t="s">
        <v>74</v>
      </c>
      <c r="AZ310" t="s">
        <v>74</v>
      </c>
      <c r="BA310" t="s">
        <v>74</v>
      </c>
      <c r="BB310" t="s">
        <v>74</v>
      </c>
      <c r="BC310" t="s">
        <v>74</v>
      </c>
      <c r="BD310" t="s">
        <v>6194</v>
      </c>
      <c r="BE310" t="s">
        <v>6195</v>
      </c>
      <c r="BF310" t="str">
        <f>HYPERLINK("http://dx.doi.org/10.1093/femsle/fnw043","http://dx.doi.org/10.1093/femsle/fnw043")</f>
        <v>http://dx.doi.org/10.1093/femsle/fnw043</v>
      </c>
      <c r="BG310" t="s">
        <v>74</v>
      </c>
      <c r="BH310" t="s">
        <v>74</v>
      </c>
      <c r="BI310">
        <v>6</v>
      </c>
      <c r="BJ310" t="s">
        <v>2538</v>
      </c>
      <c r="BK310" t="s">
        <v>102</v>
      </c>
      <c r="BL310" t="s">
        <v>2538</v>
      </c>
      <c r="BM310" t="s">
        <v>6196</v>
      </c>
      <c r="BN310">
        <v>26903011</v>
      </c>
      <c r="BO310" t="s">
        <v>420</v>
      </c>
      <c r="BP310" t="s">
        <v>74</v>
      </c>
      <c r="BQ310" t="s">
        <v>74</v>
      </c>
      <c r="BR310" t="s">
        <v>106</v>
      </c>
      <c r="BS310" t="s">
        <v>6197</v>
      </c>
      <c r="BT310" t="str">
        <f>HYPERLINK("https%3A%2F%2Fwww.webofscience.com%2Fwos%2Fwoscc%2Ffull-record%2FWOS:000377967800012","View Full Record in Web of Science")</f>
        <v>View Full Record in Web of Science</v>
      </c>
    </row>
    <row r="311" spans="1:72" x14ac:dyDescent="0.15">
      <c r="A311" t="s">
        <v>72</v>
      </c>
      <c r="B311" t="s">
        <v>6198</v>
      </c>
      <c r="C311" t="s">
        <v>74</v>
      </c>
      <c r="D311" t="s">
        <v>74</v>
      </c>
      <c r="E311" t="s">
        <v>74</v>
      </c>
      <c r="F311" t="s">
        <v>6199</v>
      </c>
      <c r="G311" t="s">
        <v>74</v>
      </c>
      <c r="H311" t="s">
        <v>74</v>
      </c>
      <c r="I311" t="s">
        <v>6200</v>
      </c>
      <c r="J311" t="s">
        <v>6201</v>
      </c>
      <c r="K311" t="s">
        <v>74</v>
      </c>
      <c r="L311" t="s">
        <v>74</v>
      </c>
      <c r="M311" t="s">
        <v>78</v>
      </c>
      <c r="N311" t="s">
        <v>79</v>
      </c>
      <c r="O311" t="s">
        <v>74</v>
      </c>
      <c r="P311" t="s">
        <v>74</v>
      </c>
      <c r="Q311" t="s">
        <v>74</v>
      </c>
      <c r="R311" t="s">
        <v>74</v>
      </c>
      <c r="S311" t="s">
        <v>74</v>
      </c>
      <c r="T311" t="s">
        <v>6202</v>
      </c>
      <c r="U311" t="s">
        <v>6203</v>
      </c>
      <c r="V311" t="s">
        <v>6204</v>
      </c>
      <c r="W311" t="s">
        <v>6205</v>
      </c>
      <c r="X311" t="s">
        <v>6206</v>
      </c>
      <c r="Y311" t="s">
        <v>6207</v>
      </c>
      <c r="Z311" t="s">
        <v>6208</v>
      </c>
      <c r="AA311" t="s">
        <v>74</v>
      </c>
      <c r="AB311" t="s">
        <v>6209</v>
      </c>
      <c r="AC311" t="s">
        <v>6210</v>
      </c>
      <c r="AD311" t="s">
        <v>6211</v>
      </c>
      <c r="AE311" t="s">
        <v>6212</v>
      </c>
      <c r="AF311" t="s">
        <v>74</v>
      </c>
      <c r="AG311">
        <v>43</v>
      </c>
      <c r="AH311">
        <v>5</v>
      </c>
      <c r="AI311">
        <v>5</v>
      </c>
      <c r="AJ311">
        <v>1</v>
      </c>
      <c r="AK311">
        <v>13</v>
      </c>
      <c r="AL311" t="s">
        <v>6213</v>
      </c>
      <c r="AM311" t="s">
        <v>6214</v>
      </c>
      <c r="AN311" t="s">
        <v>6215</v>
      </c>
      <c r="AO311" t="s">
        <v>6216</v>
      </c>
      <c r="AP311" t="s">
        <v>6217</v>
      </c>
      <c r="AQ311" t="s">
        <v>74</v>
      </c>
      <c r="AR311" t="s">
        <v>6218</v>
      </c>
      <c r="AS311" t="s">
        <v>6219</v>
      </c>
      <c r="AT311" t="s">
        <v>6000</v>
      </c>
      <c r="AU311">
        <v>2016</v>
      </c>
      <c r="AV311">
        <v>27</v>
      </c>
      <c r="AW311">
        <v>2</v>
      </c>
      <c r="AX311" t="s">
        <v>74</v>
      </c>
      <c r="AY311" t="s">
        <v>74</v>
      </c>
      <c r="AZ311" t="s">
        <v>74</v>
      </c>
      <c r="BA311" t="s">
        <v>74</v>
      </c>
      <c r="BB311">
        <v>293</v>
      </c>
      <c r="BC311">
        <v>301</v>
      </c>
      <c r="BD311" t="s">
        <v>74</v>
      </c>
      <c r="BE311" t="s">
        <v>6220</v>
      </c>
      <c r="BF311" t="str">
        <f>HYPERLINK("http://dx.doi.org/10.3319/TAO.2015.11.30.01(Oc)","http://dx.doi.org/10.3319/TAO.2015.11.30.01(Oc)")</f>
        <v>http://dx.doi.org/10.3319/TAO.2015.11.30.01(Oc)</v>
      </c>
      <c r="BG311" t="s">
        <v>74</v>
      </c>
      <c r="BH311" t="s">
        <v>74</v>
      </c>
      <c r="BI311">
        <v>9</v>
      </c>
      <c r="BJ311" t="s">
        <v>6221</v>
      </c>
      <c r="BK311" t="s">
        <v>102</v>
      </c>
      <c r="BL311" t="s">
        <v>6222</v>
      </c>
      <c r="BM311" t="s">
        <v>6223</v>
      </c>
      <c r="BN311" t="s">
        <v>74</v>
      </c>
      <c r="BO311" t="s">
        <v>495</v>
      </c>
      <c r="BP311" t="s">
        <v>74</v>
      </c>
      <c r="BQ311" t="s">
        <v>74</v>
      </c>
      <c r="BR311" t="s">
        <v>106</v>
      </c>
      <c r="BS311" t="s">
        <v>6224</v>
      </c>
      <c r="BT311" t="str">
        <f>HYPERLINK("https%3A%2F%2Fwww.webofscience.com%2Fwos%2Fwoscc%2Ffull-record%2FWOS:000377641000011","View Full Record in Web of Science")</f>
        <v>View Full Record in Web of Science</v>
      </c>
    </row>
    <row r="312" spans="1:72" x14ac:dyDescent="0.15">
      <c r="A312" t="s">
        <v>72</v>
      </c>
      <c r="B312" t="s">
        <v>6225</v>
      </c>
      <c r="C312" t="s">
        <v>74</v>
      </c>
      <c r="D312" t="s">
        <v>74</v>
      </c>
      <c r="E312" t="s">
        <v>74</v>
      </c>
      <c r="F312" t="s">
        <v>6226</v>
      </c>
      <c r="G312" t="s">
        <v>74</v>
      </c>
      <c r="H312" t="s">
        <v>74</v>
      </c>
      <c r="I312" t="s">
        <v>6227</v>
      </c>
      <c r="J312" t="s">
        <v>6228</v>
      </c>
      <c r="K312" t="s">
        <v>74</v>
      </c>
      <c r="L312" t="s">
        <v>74</v>
      </c>
      <c r="M312" t="s">
        <v>78</v>
      </c>
      <c r="N312" t="s">
        <v>79</v>
      </c>
      <c r="O312" t="s">
        <v>74</v>
      </c>
      <c r="P312" t="s">
        <v>74</v>
      </c>
      <c r="Q312" t="s">
        <v>74</v>
      </c>
      <c r="R312" t="s">
        <v>74</v>
      </c>
      <c r="S312" t="s">
        <v>74</v>
      </c>
      <c r="T312" t="s">
        <v>74</v>
      </c>
      <c r="U312" t="s">
        <v>6229</v>
      </c>
      <c r="V312" t="s">
        <v>6230</v>
      </c>
      <c r="W312" t="s">
        <v>6231</v>
      </c>
      <c r="X312" t="s">
        <v>6232</v>
      </c>
      <c r="Y312" t="s">
        <v>6233</v>
      </c>
      <c r="Z312" t="s">
        <v>6234</v>
      </c>
      <c r="AA312" t="s">
        <v>74</v>
      </c>
      <c r="AB312" t="s">
        <v>6235</v>
      </c>
      <c r="AC312" t="s">
        <v>6236</v>
      </c>
      <c r="AD312" t="s">
        <v>2533</v>
      </c>
      <c r="AE312" t="s">
        <v>6237</v>
      </c>
      <c r="AF312" t="s">
        <v>74</v>
      </c>
      <c r="AG312">
        <v>10</v>
      </c>
      <c r="AH312">
        <v>6</v>
      </c>
      <c r="AI312">
        <v>6</v>
      </c>
      <c r="AJ312">
        <v>3</v>
      </c>
      <c r="AK312">
        <v>19</v>
      </c>
      <c r="AL312" t="s">
        <v>2361</v>
      </c>
      <c r="AM312" t="s">
        <v>262</v>
      </c>
      <c r="AN312" t="s">
        <v>2362</v>
      </c>
      <c r="AO312" t="s">
        <v>6238</v>
      </c>
      <c r="AP312" t="s">
        <v>6239</v>
      </c>
      <c r="AQ312" t="s">
        <v>74</v>
      </c>
      <c r="AR312" t="s">
        <v>6240</v>
      </c>
      <c r="AS312" t="s">
        <v>6241</v>
      </c>
      <c r="AT312" t="s">
        <v>6000</v>
      </c>
      <c r="AU312">
        <v>2016</v>
      </c>
      <c r="AV312">
        <v>467</v>
      </c>
      <c r="AW312">
        <v>2</v>
      </c>
      <c r="AX312" t="s">
        <v>74</v>
      </c>
      <c r="AY312" t="s">
        <v>74</v>
      </c>
      <c r="AZ312" t="s">
        <v>74</v>
      </c>
      <c r="BA312" t="s">
        <v>74</v>
      </c>
      <c r="BB312">
        <v>423</v>
      </c>
      <c r="BC312">
        <v>426</v>
      </c>
      <c r="BD312" t="s">
        <v>74</v>
      </c>
      <c r="BE312" t="s">
        <v>6242</v>
      </c>
      <c r="BF312" t="str">
        <f>HYPERLINK("http://dx.doi.org/10.1134/S1028334X16040243","http://dx.doi.org/10.1134/S1028334X16040243")</f>
        <v>http://dx.doi.org/10.1134/S1028334X16040243</v>
      </c>
      <c r="BG312" t="s">
        <v>74</v>
      </c>
      <c r="BH312" t="s">
        <v>74</v>
      </c>
      <c r="BI312">
        <v>4</v>
      </c>
      <c r="BJ312" t="s">
        <v>269</v>
      </c>
      <c r="BK312" t="s">
        <v>102</v>
      </c>
      <c r="BL312" t="s">
        <v>270</v>
      </c>
      <c r="BM312" t="s">
        <v>6243</v>
      </c>
      <c r="BN312" t="s">
        <v>74</v>
      </c>
      <c r="BO312" t="s">
        <v>74</v>
      </c>
      <c r="BP312" t="s">
        <v>74</v>
      </c>
      <c r="BQ312" t="s">
        <v>74</v>
      </c>
      <c r="BR312" t="s">
        <v>106</v>
      </c>
      <c r="BS312" t="s">
        <v>6244</v>
      </c>
      <c r="BT312" t="str">
        <f>HYPERLINK("https%3A%2F%2Fwww.webofscience.com%2Fwos%2Fwoscc%2Ffull-record%2FWOS:000376611700023","View Full Record in Web of Science")</f>
        <v>View Full Record in Web of Science</v>
      </c>
    </row>
    <row r="313" spans="1:72" x14ac:dyDescent="0.15">
      <c r="A313" t="s">
        <v>72</v>
      </c>
      <c r="B313" t="s">
        <v>6245</v>
      </c>
      <c r="C313" t="s">
        <v>74</v>
      </c>
      <c r="D313" t="s">
        <v>74</v>
      </c>
      <c r="E313" t="s">
        <v>74</v>
      </c>
      <c r="F313" t="s">
        <v>6246</v>
      </c>
      <c r="G313" t="s">
        <v>74</v>
      </c>
      <c r="H313" t="s">
        <v>74</v>
      </c>
      <c r="I313" t="s">
        <v>6247</v>
      </c>
      <c r="J313" t="s">
        <v>6248</v>
      </c>
      <c r="K313" t="s">
        <v>74</v>
      </c>
      <c r="L313" t="s">
        <v>74</v>
      </c>
      <c r="M313" t="s">
        <v>78</v>
      </c>
      <c r="N313" t="s">
        <v>79</v>
      </c>
      <c r="O313" t="s">
        <v>74</v>
      </c>
      <c r="P313" t="s">
        <v>74</v>
      </c>
      <c r="Q313" t="s">
        <v>74</v>
      </c>
      <c r="R313" t="s">
        <v>74</v>
      </c>
      <c r="S313" t="s">
        <v>74</v>
      </c>
      <c r="T313" t="s">
        <v>6249</v>
      </c>
      <c r="U313" t="s">
        <v>6250</v>
      </c>
      <c r="V313" t="s">
        <v>6251</v>
      </c>
      <c r="W313" t="s">
        <v>6252</v>
      </c>
      <c r="X313" t="s">
        <v>6253</v>
      </c>
      <c r="Y313" t="s">
        <v>6254</v>
      </c>
      <c r="Z313" t="s">
        <v>6255</v>
      </c>
      <c r="AA313" t="s">
        <v>6256</v>
      </c>
      <c r="AB313" t="s">
        <v>3037</v>
      </c>
      <c r="AC313" t="s">
        <v>6257</v>
      </c>
      <c r="AD313" t="s">
        <v>6258</v>
      </c>
      <c r="AE313" t="s">
        <v>6259</v>
      </c>
      <c r="AF313" t="s">
        <v>74</v>
      </c>
      <c r="AG313">
        <v>46</v>
      </c>
      <c r="AH313">
        <v>0</v>
      </c>
      <c r="AI313">
        <v>1</v>
      </c>
      <c r="AJ313">
        <v>0</v>
      </c>
      <c r="AK313">
        <v>17</v>
      </c>
      <c r="AL313" t="s">
        <v>6260</v>
      </c>
      <c r="AM313" t="s">
        <v>6015</v>
      </c>
      <c r="AN313" t="s">
        <v>6261</v>
      </c>
      <c r="AO313" t="s">
        <v>6262</v>
      </c>
      <c r="AP313" t="s">
        <v>6263</v>
      </c>
      <c r="AQ313" t="s">
        <v>74</v>
      </c>
      <c r="AR313" t="s">
        <v>6264</v>
      </c>
      <c r="AS313" t="s">
        <v>6265</v>
      </c>
      <c r="AT313" t="s">
        <v>6000</v>
      </c>
      <c r="AU313">
        <v>2016</v>
      </c>
      <c r="AV313">
        <v>51</v>
      </c>
      <c r="AW313">
        <v>1</v>
      </c>
      <c r="AX313" t="s">
        <v>74</v>
      </c>
      <c r="AY313" t="s">
        <v>74</v>
      </c>
      <c r="AZ313" t="s">
        <v>74</v>
      </c>
      <c r="BA313" t="s">
        <v>74</v>
      </c>
      <c r="BB313">
        <v>137</v>
      </c>
      <c r="BC313">
        <v>145</v>
      </c>
      <c r="BD313" t="s">
        <v>74</v>
      </c>
      <c r="BE313" t="s">
        <v>6266</v>
      </c>
      <c r="BF313" t="str">
        <f>HYPERLINK("http://dx.doi.org/10.4067/S0718-19572016000100013","http://dx.doi.org/10.4067/S0718-19572016000100013")</f>
        <v>http://dx.doi.org/10.4067/S0718-19572016000100013</v>
      </c>
      <c r="BG313" t="s">
        <v>74</v>
      </c>
      <c r="BH313" t="s">
        <v>74</v>
      </c>
      <c r="BI313">
        <v>9</v>
      </c>
      <c r="BJ313" t="s">
        <v>2738</v>
      </c>
      <c r="BK313" t="s">
        <v>102</v>
      </c>
      <c r="BL313" t="s">
        <v>2738</v>
      </c>
      <c r="BM313" t="s">
        <v>6267</v>
      </c>
      <c r="BN313" t="s">
        <v>74</v>
      </c>
      <c r="BO313" t="s">
        <v>6268</v>
      </c>
      <c r="BP313" t="s">
        <v>74</v>
      </c>
      <c r="BQ313" t="s">
        <v>74</v>
      </c>
      <c r="BR313" t="s">
        <v>106</v>
      </c>
      <c r="BS313" t="s">
        <v>6269</v>
      </c>
      <c r="BT313" t="str">
        <f>HYPERLINK("https%3A%2F%2Fwww.webofscience.com%2Fwos%2Fwoscc%2Ffull-record%2FWOS:000376679700013","View Full Record in Web of Science")</f>
        <v>View Full Record in Web of Science</v>
      </c>
    </row>
    <row r="314" spans="1:72" x14ac:dyDescent="0.15">
      <c r="A314" t="s">
        <v>72</v>
      </c>
      <c r="B314" t="s">
        <v>6270</v>
      </c>
      <c r="C314" t="s">
        <v>74</v>
      </c>
      <c r="D314" t="s">
        <v>74</v>
      </c>
      <c r="E314" t="s">
        <v>74</v>
      </c>
      <c r="F314" t="s">
        <v>6271</v>
      </c>
      <c r="G314" t="s">
        <v>74</v>
      </c>
      <c r="H314" t="s">
        <v>74</v>
      </c>
      <c r="I314" t="s">
        <v>6272</v>
      </c>
      <c r="J314" t="s">
        <v>6273</v>
      </c>
      <c r="K314" t="s">
        <v>74</v>
      </c>
      <c r="L314" t="s">
        <v>74</v>
      </c>
      <c r="M314" t="s">
        <v>78</v>
      </c>
      <c r="N314" t="s">
        <v>79</v>
      </c>
      <c r="O314" t="s">
        <v>74</v>
      </c>
      <c r="P314" t="s">
        <v>74</v>
      </c>
      <c r="Q314" t="s">
        <v>74</v>
      </c>
      <c r="R314" t="s">
        <v>74</v>
      </c>
      <c r="S314" t="s">
        <v>74</v>
      </c>
      <c r="T314" t="s">
        <v>6274</v>
      </c>
      <c r="U314" t="s">
        <v>74</v>
      </c>
      <c r="V314" t="s">
        <v>6275</v>
      </c>
      <c r="W314" t="s">
        <v>6276</v>
      </c>
      <c r="X314" t="s">
        <v>6277</v>
      </c>
      <c r="Y314" t="s">
        <v>6278</v>
      </c>
      <c r="Z314" t="s">
        <v>6279</v>
      </c>
      <c r="AA314" t="s">
        <v>74</v>
      </c>
      <c r="AB314" t="s">
        <v>74</v>
      </c>
      <c r="AC314" t="s">
        <v>74</v>
      </c>
      <c r="AD314" t="s">
        <v>74</v>
      </c>
      <c r="AE314" t="s">
        <v>74</v>
      </c>
      <c r="AF314" t="s">
        <v>74</v>
      </c>
      <c r="AG314">
        <v>38</v>
      </c>
      <c r="AH314">
        <v>0</v>
      </c>
      <c r="AI314">
        <v>0</v>
      </c>
      <c r="AJ314">
        <v>0</v>
      </c>
      <c r="AK314">
        <v>11</v>
      </c>
      <c r="AL314" t="s">
        <v>6280</v>
      </c>
      <c r="AM314" t="s">
        <v>6281</v>
      </c>
      <c r="AN314" t="s">
        <v>6282</v>
      </c>
      <c r="AO314" t="s">
        <v>6283</v>
      </c>
      <c r="AP314" t="s">
        <v>6284</v>
      </c>
      <c r="AQ314" t="s">
        <v>74</v>
      </c>
      <c r="AR314" t="s">
        <v>6285</v>
      </c>
      <c r="AS314" t="s">
        <v>6286</v>
      </c>
      <c r="AT314" t="s">
        <v>6000</v>
      </c>
      <c r="AU314">
        <v>2016</v>
      </c>
      <c r="AV314">
        <v>41</v>
      </c>
      <c r="AW314">
        <v>4</v>
      </c>
      <c r="AX314" t="s">
        <v>74</v>
      </c>
      <c r="AY314" t="s">
        <v>74</v>
      </c>
      <c r="AZ314" t="s">
        <v>74</v>
      </c>
      <c r="BA314" t="s">
        <v>74</v>
      </c>
      <c r="BB314">
        <v>276</v>
      </c>
      <c r="BC314">
        <v>284</v>
      </c>
      <c r="BD314" t="s">
        <v>74</v>
      </c>
      <c r="BE314" t="s">
        <v>6287</v>
      </c>
      <c r="BF314" t="str">
        <f>HYPERLINK("http://dx.doi.org/10.3103/S1068373916040075","http://dx.doi.org/10.3103/S1068373916040075")</f>
        <v>http://dx.doi.org/10.3103/S1068373916040075</v>
      </c>
      <c r="BG314" t="s">
        <v>74</v>
      </c>
      <c r="BH314" t="s">
        <v>74</v>
      </c>
      <c r="BI314">
        <v>9</v>
      </c>
      <c r="BJ314" t="s">
        <v>1726</v>
      </c>
      <c r="BK314" t="s">
        <v>102</v>
      </c>
      <c r="BL314" t="s">
        <v>1726</v>
      </c>
      <c r="BM314" t="s">
        <v>6288</v>
      </c>
      <c r="BN314" t="s">
        <v>74</v>
      </c>
      <c r="BO314" t="s">
        <v>74</v>
      </c>
      <c r="BP314" t="s">
        <v>74</v>
      </c>
      <c r="BQ314" t="s">
        <v>74</v>
      </c>
      <c r="BR314" t="s">
        <v>106</v>
      </c>
      <c r="BS314" t="s">
        <v>6289</v>
      </c>
      <c r="BT314" t="str">
        <f>HYPERLINK("https%3A%2F%2Fwww.webofscience.com%2Fwos%2Fwoscc%2Ffull-record%2FWOS:000376425700007","View Full Record in Web of Science")</f>
        <v>View Full Record in Web of Science</v>
      </c>
    </row>
    <row r="315" spans="1:72" x14ac:dyDescent="0.15">
      <c r="A315" t="s">
        <v>72</v>
      </c>
      <c r="B315" t="s">
        <v>6290</v>
      </c>
      <c r="C315" t="s">
        <v>74</v>
      </c>
      <c r="D315" t="s">
        <v>74</v>
      </c>
      <c r="E315" t="s">
        <v>74</v>
      </c>
      <c r="F315" t="s">
        <v>6291</v>
      </c>
      <c r="G315" t="s">
        <v>74</v>
      </c>
      <c r="H315" t="s">
        <v>74</v>
      </c>
      <c r="I315" t="s">
        <v>6292</v>
      </c>
      <c r="J315" t="s">
        <v>6273</v>
      </c>
      <c r="K315" t="s">
        <v>74</v>
      </c>
      <c r="L315" t="s">
        <v>74</v>
      </c>
      <c r="M315" t="s">
        <v>78</v>
      </c>
      <c r="N315" t="s">
        <v>79</v>
      </c>
      <c r="O315" t="s">
        <v>74</v>
      </c>
      <c r="P315" t="s">
        <v>74</v>
      </c>
      <c r="Q315" t="s">
        <v>74</v>
      </c>
      <c r="R315" t="s">
        <v>74</v>
      </c>
      <c r="S315" t="s">
        <v>74</v>
      </c>
      <c r="T315" t="s">
        <v>6293</v>
      </c>
      <c r="U315" t="s">
        <v>74</v>
      </c>
      <c r="V315" t="s">
        <v>6294</v>
      </c>
      <c r="W315" t="s">
        <v>6295</v>
      </c>
      <c r="X315" t="s">
        <v>6296</v>
      </c>
      <c r="Y315" t="s">
        <v>6297</v>
      </c>
      <c r="Z315" t="s">
        <v>6298</v>
      </c>
      <c r="AA315" t="s">
        <v>6299</v>
      </c>
      <c r="AB315" t="s">
        <v>6300</v>
      </c>
      <c r="AC315" t="s">
        <v>74</v>
      </c>
      <c r="AD315" t="s">
        <v>74</v>
      </c>
      <c r="AE315" t="s">
        <v>74</v>
      </c>
      <c r="AF315" t="s">
        <v>74</v>
      </c>
      <c r="AG315">
        <v>10</v>
      </c>
      <c r="AH315">
        <v>1</v>
      </c>
      <c r="AI315">
        <v>2</v>
      </c>
      <c r="AJ315">
        <v>0</v>
      </c>
      <c r="AK315">
        <v>5</v>
      </c>
      <c r="AL315" t="s">
        <v>6301</v>
      </c>
      <c r="AM315" t="s">
        <v>262</v>
      </c>
      <c r="AN315" t="s">
        <v>6302</v>
      </c>
      <c r="AO315" t="s">
        <v>6283</v>
      </c>
      <c r="AP315" t="s">
        <v>6284</v>
      </c>
      <c r="AQ315" t="s">
        <v>74</v>
      </c>
      <c r="AR315" t="s">
        <v>6285</v>
      </c>
      <c r="AS315" t="s">
        <v>6286</v>
      </c>
      <c r="AT315" t="s">
        <v>6000</v>
      </c>
      <c r="AU315">
        <v>2016</v>
      </c>
      <c r="AV315">
        <v>41</v>
      </c>
      <c r="AW315">
        <v>4</v>
      </c>
      <c r="AX315" t="s">
        <v>74</v>
      </c>
      <c r="AY315" t="s">
        <v>74</v>
      </c>
      <c r="AZ315" t="s">
        <v>74</v>
      </c>
      <c r="BA315" t="s">
        <v>74</v>
      </c>
      <c r="BB315">
        <v>285</v>
      </c>
      <c r="BC315">
        <v>292</v>
      </c>
      <c r="BD315" t="s">
        <v>74</v>
      </c>
      <c r="BE315" t="s">
        <v>6303</v>
      </c>
      <c r="BF315" t="str">
        <f>HYPERLINK("http://dx.doi.org/10.3103/S1068373916040087","http://dx.doi.org/10.3103/S1068373916040087")</f>
        <v>http://dx.doi.org/10.3103/S1068373916040087</v>
      </c>
      <c r="BG315" t="s">
        <v>74</v>
      </c>
      <c r="BH315" t="s">
        <v>74</v>
      </c>
      <c r="BI315">
        <v>8</v>
      </c>
      <c r="BJ315" t="s">
        <v>1726</v>
      </c>
      <c r="BK315" t="s">
        <v>102</v>
      </c>
      <c r="BL315" t="s">
        <v>1726</v>
      </c>
      <c r="BM315" t="s">
        <v>6288</v>
      </c>
      <c r="BN315" t="s">
        <v>74</v>
      </c>
      <c r="BO315" t="s">
        <v>74</v>
      </c>
      <c r="BP315" t="s">
        <v>74</v>
      </c>
      <c r="BQ315" t="s">
        <v>74</v>
      </c>
      <c r="BR315" t="s">
        <v>106</v>
      </c>
      <c r="BS315" t="s">
        <v>6304</v>
      </c>
      <c r="BT315" t="str">
        <f>HYPERLINK("https%3A%2F%2Fwww.webofscience.com%2Fwos%2Fwoscc%2Ffull-record%2FWOS:000376425700008","View Full Record in Web of Science")</f>
        <v>View Full Record in Web of Science</v>
      </c>
    </row>
    <row r="316" spans="1:72" x14ac:dyDescent="0.15">
      <c r="A316" t="s">
        <v>72</v>
      </c>
      <c r="B316" t="s">
        <v>6305</v>
      </c>
      <c r="C316" t="s">
        <v>74</v>
      </c>
      <c r="D316" t="s">
        <v>74</v>
      </c>
      <c r="E316" t="s">
        <v>74</v>
      </c>
      <c r="F316" t="s">
        <v>6306</v>
      </c>
      <c r="G316" t="s">
        <v>74</v>
      </c>
      <c r="H316" t="s">
        <v>74</v>
      </c>
      <c r="I316" t="s">
        <v>6307</v>
      </c>
      <c r="J316" t="s">
        <v>6308</v>
      </c>
      <c r="K316" t="s">
        <v>74</v>
      </c>
      <c r="L316" t="s">
        <v>74</v>
      </c>
      <c r="M316" t="s">
        <v>78</v>
      </c>
      <c r="N316" t="s">
        <v>79</v>
      </c>
      <c r="O316" t="s">
        <v>74</v>
      </c>
      <c r="P316" t="s">
        <v>74</v>
      </c>
      <c r="Q316" t="s">
        <v>74</v>
      </c>
      <c r="R316" t="s">
        <v>74</v>
      </c>
      <c r="S316" t="s">
        <v>74</v>
      </c>
      <c r="T316" t="s">
        <v>6309</v>
      </c>
      <c r="U316" t="s">
        <v>6310</v>
      </c>
      <c r="V316" t="s">
        <v>6311</v>
      </c>
      <c r="W316" t="s">
        <v>6312</v>
      </c>
      <c r="X316" t="s">
        <v>6313</v>
      </c>
      <c r="Y316" t="s">
        <v>6314</v>
      </c>
      <c r="Z316" t="s">
        <v>6315</v>
      </c>
      <c r="AA316" t="s">
        <v>6316</v>
      </c>
      <c r="AB316" t="s">
        <v>6317</v>
      </c>
      <c r="AC316" t="s">
        <v>6318</v>
      </c>
      <c r="AD316" t="s">
        <v>6318</v>
      </c>
      <c r="AE316" t="s">
        <v>6319</v>
      </c>
      <c r="AF316" t="s">
        <v>74</v>
      </c>
      <c r="AG316">
        <v>69</v>
      </c>
      <c r="AH316">
        <v>31</v>
      </c>
      <c r="AI316">
        <v>32</v>
      </c>
      <c r="AJ316">
        <v>0</v>
      </c>
      <c r="AK316">
        <v>13</v>
      </c>
      <c r="AL316" t="s">
        <v>6320</v>
      </c>
      <c r="AM316" t="s">
        <v>6321</v>
      </c>
      <c r="AN316" t="s">
        <v>6322</v>
      </c>
      <c r="AO316" t="s">
        <v>6323</v>
      </c>
      <c r="AP316" t="s">
        <v>6324</v>
      </c>
      <c r="AQ316" t="s">
        <v>74</v>
      </c>
      <c r="AR316" t="s">
        <v>6325</v>
      </c>
      <c r="AS316" t="s">
        <v>6326</v>
      </c>
      <c r="AT316" t="s">
        <v>6000</v>
      </c>
      <c r="AU316">
        <v>2016</v>
      </c>
      <c r="AV316">
        <v>125</v>
      </c>
      <c r="AW316">
        <v>3</v>
      </c>
      <c r="AX316" t="s">
        <v>74</v>
      </c>
      <c r="AY316" t="s">
        <v>74</v>
      </c>
      <c r="AZ316" t="s">
        <v>74</v>
      </c>
      <c r="BA316" t="s">
        <v>74</v>
      </c>
      <c r="BB316">
        <v>459</v>
      </c>
      <c r="BC316">
        <v>473</v>
      </c>
      <c r="BD316" t="s">
        <v>74</v>
      </c>
      <c r="BE316" t="s">
        <v>74</v>
      </c>
      <c r="BF316" t="s">
        <v>74</v>
      </c>
      <c r="BG316" t="s">
        <v>74</v>
      </c>
      <c r="BH316" t="s">
        <v>74</v>
      </c>
      <c r="BI316">
        <v>15</v>
      </c>
      <c r="BJ316" t="s">
        <v>6327</v>
      </c>
      <c r="BK316" t="s">
        <v>102</v>
      </c>
      <c r="BL316" t="s">
        <v>6328</v>
      </c>
      <c r="BM316" t="s">
        <v>6329</v>
      </c>
      <c r="BN316" t="s">
        <v>74</v>
      </c>
      <c r="BO316" t="s">
        <v>74</v>
      </c>
      <c r="BP316" t="s">
        <v>74</v>
      </c>
      <c r="BQ316" t="s">
        <v>74</v>
      </c>
      <c r="BR316" t="s">
        <v>106</v>
      </c>
      <c r="BS316" t="s">
        <v>6330</v>
      </c>
      <c r="BT316" t="str">
        <f>HYPERLINK("https%3A%2F%2Fwww.webofscience.com%2Fwos%2Fwoscc%2Ffull-record%2FWOS:000375930100002","View Full Record in Web of Science")</f>
        <v>View Full Record in Web of Science</v>
      </c>
    </row>
    <row r="317" spans="1:72" x14ac:dyDescent="0.15">
      <c r="A317" t="s">
        <v>72</v>
      </c>
      <c r="B317" t="s">
        <v>6331</v>
      </c>
      <c r="C317" t="s">
        <v>74</v>
      </c>
      <c r="D317" t="s">
        <v>74</v>
      </c>
      <c r="E317" t="s">
        <v>74</v>
      </c>
      <c r="F317" t="s">
        <v>6332</v>
      </c>
      <c r="G317" t="s">
        <v>74</v>
      </c>
      <c r="H317" t="s">
        <v>74</v>
      </c>
      <c r="I317" t="s">
        <v>6333</v>
      </c>
      <c r="J317" t="s">
        <v>6334</v>
      </c>
      <c r="K317" t="s">
        <v>74</v>
      </c>
      <c r="L317" t="s">
        <v>74</v>
      </c>
      <c r="M317" t="s">
        <v>78</v>
      </c>
      <c r="N317" t="s">
        <v>79</v>
      </c>
      <c r="O317" t="s">
        <v>74</v>
      </c>
      <c r="P317" t="s">
        <v>74</v>
      </c>
      <c r="Q317" t="s">
        <v>74</v>
      </c>
      <c r="R317" t="s">
        <v>74</v>
      </c>
      <c r="S317" t="s">
        <v>74</v>
      </c>
      <c r="T317" t="s">
        <v>6335</v>
      </c>
      <c r="U317" t="s">
        <v>6336</v>
      </c>
      <c r="V317" t="s">
        <v>6337</v>
      </c>
      <c r="W317" t="s">
        <v>6338</v>
      </c>
      <c r="X317" t="s">
        <v>6339</v>
      </c>
      <c r="Y317" t="s">
        <v>6340</v>
      </c>
      <c r="Z317" t="s">
        <v>6341</v>
      </c>
      <c r="AA317" t="s">
        <v>6342</v>
      </c>
      <c r="AB317" t="s">
        <v>6343</v>
      </c>
      <c r="AC317" t="s">
        <v>6344</v>
      </c>
      <c r="AD317" t="s">
        <v>6345</v>
      </c>
      <c r="AE317" t="s">
        <v>6346</v>
      </c>
      <c r="AF317" t="s">
        <v>74</v>
      </c>
      <c r="AG317">
        <v>51</v>
      </c>
      <c r="AH317">
        <v>1</v>
      </c>
      <c r="AI317">
        <v>1</v>
      </c>
      <c r="AJ317">
        <v>0</v>
      </c>
      <c r="AK317">
        <v>22</v>
      </c>
      <c r="AL317" t="s">
        <v>6347</v>
      </c>
      <c r="AM317" t="s">
        <v>6348</v>
      </c>
      <c r="AN317" t="s">
        <v>6349</v>
      </c>
      <c r="AO317" t="s">
        <v>6350</v>
      </c>
      <c r="AP317" t="s">
        <v>6351</v>
      </c>
      <c r="AQ317" t="s">
        <v>74</v>
      </c>
      <c r="AR317" t="s">
        <v>6352</v>
      </c>
      <c r="AS317" t="s">
        <v>6353</v>
      </c>
      <c r="AT317" t="s">
        <v>6000</v>
      </c>
      <c r="AU317">
        <v>2016</v>
      </c>
      <c r="AV317">
        <v>178</v>
      </c>
      <c r="AW317">
        <v>8</v>
      </c>
      <c r="AX317" t="s">
        <v>74</v>
      </c>
      <c r="AY317" t="s">
        <v>74</v>
      </c>
      <c r="AZ317" t="s">
        <v>74</v>
      </c>
      <c r="BA317" t="s">
        <v>74</v>
      </c>
      <c r="BB317">
        <v>1534</v>
      </c>
      <c r="BC317">
        <v>1545</v>
      </c>
      <c r="BD317" t="s">
        <v>74</v>
      </c>
      <c r="BE317" t="s">
        <v>6354</v>
      </c>
      <c r="BF317" t="str">
        <f>HYPERLINK("http://dx.doi.org/10.1007/s12010-015-1966-7","http://dx.doi.org/10.1007/s12010-015-1966-7")</f>
        <v>http://dx.doi.org/10.1007/s12010-015-1966-7</v>
      </c>
      <c r="BG317" t="s">
        <v>74</v>
      </c>
      <c r="BH317" t="s">
        <v>74</v>
      </c>
      <c r="BI317">
        <v>12</v>
      </c>
      <c r="BJ317" t="s">
        <v>6355</v>
      </c>
      <c r="BK317" t="s">
        <v>102</v>
      </c>
      <c r="BL317" t="s">
        <v>6355</v>
      </c>
      <c r="BM317" t="s">
        <v>6356</v>
      </c>
      <c r="BN317">
        <v>26758589</v>
      </c>
      <c r="BO317" t="s">
        <v>74</v>
      </c>
      <c r="BP317" t="s">
        <v>74</v>
      </c>
      <c r="BQ317" t="s">
        <v>74</v>
      </c>
      <c r="BR317" t="s">
        <v>106</v>
      </c>
      <c r="BS317" t="s">
        <v>6357</v>
      </c>
      <c r="BT317" t="str">
        <f>HYPERLINK("https%3A%2F%2Fwww.webofscience.com%2Fwos%2Fwoscc%2Ffull-record%2FWOS:000375615400007","View Full Record in Web of Science")</f>
        <v>View Full Record in Web of Science</v>
      </c>
    </row>
    <row r="318" spans="1:72" x14ac:dyDescent="0.15">
      <c r="A318" t="s">
        <v>72</v>
      </c>
      <c r="B318" t="s">
        <v>6358</v>
      </c>
      <c r="C318" t="s">
        <v>74</v>
      </c>
      <c r="D318" t="s">
        <v>74</v>
      </c>
      <c r="E318" t="s">
        <v>74</v>
      </c>
      <c r="F318" t="s">
        <v>6359</v>
      </c>
      <c r="G318" t="s">
        <v>74</v>
      </c>
      <c r="H318" t="s">
        <v>74</v>
      </c>
      <c r="I318" t="s">
        <v>6360</v>
      </c>
      <c r="J318" t="s">
        <v>6361</v>
      </c>
      <c r="K318" t="s">
        <v>74</v>
      </c>
      <c r="L318" t="s">
        <v>74</v>
      </c>
      <c r="M318" t="s">
        <v>78</v>
      </c>
      <c r="N318" t="s">
        <v>79</v>
      </c>
      <c r="O318" t="s">
        <v>74</v>
      </c>
      <c r="P318" t="s">
        <v>74</v>
      </c>
      <c r="Q318" t="s">
        <v>74</v>
      </c>
      <c r="R318" t="s">
        <v>74</v>
      </c>
      <c r="S318" t="s">
        <v>74</v>
      </c>
      <c r="T318" t="s">
        <v>6362</v>
      </c>
      <c r="U318" t="s">
        <v>6363</v>
      </c>
      <c r="V318" t="s">
        <v>6364</v>
      </c>
      <c r="W318" t="s">
        <v>6365</v>
      </c>
      <c r="X318" t="s">
        <v>6366</v>
      </c>
      <c r="Y318" t="s">
        <v>6367</v>
      </c>
      <c r="Z318" t="s">
        <v>6368</v>
      </c>
      <c r="AA318" t="s">
        <v>6369</v>
      </c>
      <c r="AB318" t="s">
        <v>6370</v>
      </c>
      <c r="AC318" t="s">
        <v>6371</v>
      </c>
      <c r="AD318" t="s">
        <v>6372</v>
      </c>
      <c r="AE318" t="s">
        <v>6373</v>
      </c>
      <c r="AF318" t="s">
        <v>74</v>
      </c>
      <c r="AG318">
        <v>61</v>
      </c>
      <c r="AH318">
        <v>4</v>
      </c>
      <c r="AI318">
        <v>4</v>
      </c>
      <c r="AJ318">
        <v>1</v>
      </c>
      <c r="AK318">
        <v>5</v>
      </c>
      <c r="AL318" t="s">
        <v>6374</v>
      </c>
      <c r="AM318" t="s">
        <v>773</v>
      </c>
      <c r="AN318" t="s">
        <v>6375</v>
      </c>
      <c r="AO318" t="s">
        <v>6376</v>
      </c>
      <c r="AP318" t="s">
        <v>6377</v>
      </c>
      <c r="AQ318" t="s">
        <v>74</v>
      </c>
      <c r="AR318" t="s">
        <v>6378</v>
      </c>
      <c r="AS318" t="s">
        <v>6379</v>
      </c>
      <c r="AT318" t="s">
        <v>6380</v>
      </c>
      <c r="AU318">
        <v>2016</v>
      </c>
      <c r="AV318">
        <v>36</v>
      </c>
      <c r="AW318" t="s">
        <v>74</v>
      </c>
      <c r="AX318">
        <v>2</v>
      </c>
      <c r="AY318" t="s">
        <v>74</v>
      </c>
      <c r="AZ318" t="s">
        <v>74</v>
      </c>
      <c r="BA318" t="s">
        <v>74</v>
      </c>
      <c r="BB318" t="s">
        <v>74</v>
      </c>
      <c r="BC318" t="s">
        <v>74</v>
      </c>
      <c r="BD318" t="s">
        <v>6381</v>
      </c>
      <c r="BE318" t="s">
        <v>6382</v>
      </c>
      <c r="BF318" t="str">
        <f>HYPERLINK("http://dx.doi.org/10.1042/BSR20160022","http://dx.doi.org/10.1042/BSR20160022")</f>
        <v>http://dx.doi.org/10.1042/BSR20160022</v>
      </c>
      <c r="BG318" t="s">
        <v>74</v>
      </c>
      <c r="BH318" t="s">
        <v>74</v>
      </c>
      <c r="BI318">
        <v>16</v>
      </c>
      <c r="BJ318" t="s">
        <v>6383</v>
      </c>
      <c r="BK318" t="s">
        <v>102</v>
      </c>
      <c r="BL318" t="s">
        <v>6383</v>
      </c>
      <c r="BM318" t="s">
        <v>6384</v>
      </c>
      <c r="BN318">
        <v>26933238</v>
      </c>
      <c r="BO318" t="s">
        <v>1684</v>
      </c>
      <c r="BP318" t="s">
        <v>74</v>
      </c>
      <c r="BQ318" t="s">
        <v>74</v>
      </c>
      <c r="BR318" t="s">
        <v>106</v>
      </c>
      <c r="BS318" t="s">
        <v>6385</v>
      </c>
      <c r="BT318" t="str">
        <f>HYPERLINK("https%3A%2F%2Fwww.webofscience.com%2Fwos%2Fwoscc%2Ffull-record%2FWOS:000374763700017","View Full Record in Web of Science")</f>
        <v>View Full Record in Web of Science</v>
      </c>
    </row>
    <row r="319" spans="1:72" x14ac:dyDescent="0.15">
      <c r="A319" t="s">
        <v>72</v>
      </c>
      <c r="B319" t="s">
        <v>6386</v>
      </c>
      <c r="C319" t="s">
        <v>74</v>
      </c>
      <c r="D319" t="s">
        <v>74</v>
      </c>
      <c r="E319" t="s">
        <v>74</v>
      </c>
      <c r="F319" t="s">
        <v>6387</v>
      </c>
      <c r="G319" t="s">
        <v>74</v>
      </c>
      <c r="H319" t="s">
        <v>74</v>
      </c>
      <c r="I319" t="s">
        <v>6388</v>
      </c>
      <c r="J319" t="s">
        <v>6389</v>
      </c>
      <c r="K319" t="s">
        <v>74</v>
      </c>
      <c r="L319" t="s">
        <v>74</v>
      </c>
      <c r="M319" t="s">
        <v>78</v>
      </c>
      <c r="N319" t="s">
        <v>3736</v>
      </c>
      <c r="O319" t="s">
        <v>6390</v>
      </c>
      <c r="P319" t="s">
        <v>6391</v>
      </c>
      <c r="Q319" t="s">
        <v>6392</v>
      </c>
      <c r="R319" t="s">
        <v>74</v>
      </c>
      <c r="S319" t="s">
        <v>74</v>
      </c>
      <c r="T319" t="s">
        <v>74</v>
      </c>
      <c r="U319" t="s">
        <v>6393</v>
      </c>
      <c r="V319" t="s">
        <v>6394</v>
      </c>
      <c r="W319" t="s">
        <v>6395</v>
      </c>
      <c r="X319" t="s">
        <v>6396</v>
      </c>
      <c r="Y319" t="s">
        <v>6397</v>
      </c>
      <c r="Z319" t="s">
        <v>6398</v>
      </c>
      <c r="AA319" t="s">
        <v>6399</v>
      </c>
      <c r="AB319" t="s">
        <v>6400</v>
      </c>
      <c r="AC319" t="s">
        <v>6401</v>
      </c>
      <c r="AD319" t="s">
        <v>6402</v>
      </c>
      <c r="AE319" t="s">
        <v>6403</v>
      </c>
      <c r="AF319" t="s">
        <v>74</v>
      </c>
      <c r="AG319">
        <v>25</v>
      </c>
      <c r="AH319">
        <v>15</v>
      </c>
      <c r="AI319">
        <v>16</v>
      </c>
      <c r="AJ319">
        <v>1</v>
      </c>
      <c r="AK319">
        <v>26</v>
      </c>
      <c r="AL319" t="s">
        <v>6404</v>
      </c>
      <c r="AM319" t="s">
        <v>6405</v>
      </c>
      <c r="AN319" t="s">
        <v>6406</v>
      </c>
      <c r="AO319" t="s">
        <v>6407</v>
      </c>
      <c r="AP319" t="s">
        <v>6408</v>
      </c>
      <c r="AQ319" t="s">
        <v>74</v>
      </c>
      <c r="AR319" t="s">
        <v>6409</v>
      </c>
      <c r="AS319" t="s">
        <v>6410</v>
      </c>
      <c r="AT319" t="s">
        <v>6000</v>
      </c>
      <c r="AU319">
        <v>2016</v>
      </c>
      <c r="AV319">
        <v>73</v>
      </c>
      <c r="AW319">
        <v>4</v>
      </c>
      <c r="AX319" t="s">
        <v>74</v>
      </c>
      <c r="AY319" t="s">
        <v>74</v>
      </c>
      <c r="AZ319" t="s">
        <v>74</v>
      </c>
      <c r="BA319" t="s">
        <v>74</v>
      </c>
      <c r="BB319">
        <v>611</v>
      </c>
      <c r="BC319">
        <v>621</v>
      </c>
      <c r="BD319" t="s">
        <v>74</v>
      </c>
      <c r="BE319" t="s">
        <v>6411</v>
      </c>
      <c r="BF319" t="str">
        <f>HYPERLINK("http://dx.doi.org/10.1139/cjfas-2015-0181","http://dx.doi.org/10.1139/cjfas-2015-0181")</f>
        <v>http://dx.doi.org/10.1139/cjfas-2015-0181</v>
      </c>
      <c r="BG319" t="s">
        <v>74</v>
      </c>
      <c r="BH319" t="s">
        <v>74</v>
      </c>
      <c r="BI319">
        <v>11</v>
      </c>
      <c r="BJ319" t="s">
        <v>3049</v>
      </c>
      <c r="BK319" t="s">
        <v>6412</v>
      </c>
      <c r="BL319" t="s">
        <v>3049</v>
      </c>
      <c r="BM319" t="s">
        <v>6413</v>
      </c>
      <c r="BN319" t="s">
        <v>74</v>
      </c>
      <c r="BO319" t="s">
        <v>74</v>
      </c>
      <c r="BP319" t="s">
        <v>74</v>
      </c>
      <c r="BQ319" t="s">
        <v>74</v>
      </c>
      <c r="BR319" t="s">
        <v>106</v>
      </c>
      <c r="BS319" t="s">
        <v>6414</v>
      </c>
      <c r="BT319" t="str">
        <f>HYPERLINK("https%3A%2F%2Fwww.webofscience.com%2Fwos%2Fwoscc%2Ffull-record%2FWOS:000375424700014","View Full Record in Web of Science")</f>
        <v>View Full Record in Web of Science</v>
      </c>
    </row>
    <row r="320" spans="1:72" x14ac:dyDescent="0.15">
      <c r="A320" t="s">
        <v>72</v>
      </c>
      <c r="B320" t="s">
        <v>6415</v>
      </c>
      <c r="C320" t="s">
        <v>74</v>
      </c>
      <c r="D320" t="s">
        <v>74</v>
      </c>
      <c r="E320" t="s">
        <v>74</v>
      </c>
      <c r="F320" t="s">
        <v>6416</v>
      </c>
      <c r="G320" t="s">
        <v>74</v>
      </c>
      <c r="H320" t="s">
        <v>74</v>
      </c>
      <c r="I320" t="s">
        <v>6417</v>
      </c>
      <c r="J320" t="s">
        <v>6418</v>
      </c>
      <c r="K320" t="s">
        <v>74</v>
      </c>
      <c r="L320" t="s">
        <v>74</v>
      </c>
      <c r="M320" t="s">
        <v>78</v>
      </c>
      <c r="N320" t="s">
        <v>79</v>
      </c>
      <c r="O320" t="s">
        <v>74</v>
      </c>
      <c r="P320" t="s">
        <v>74</v>
      </c>
      <c r="Q320" t="s">
        <v>74</v>
      </c>
      <c r="R320" t="s">
        <v>74</v>
      </c>
      <c r="S320" t="s">
        <v>74</v>
      </c>
      <c r="T320" t="s">
        <v>6419</v>
      </c>
      <c r="U320" t="s">
        <v>6420</v>
      </c>
      <c r="V320" t="s">
        <v>6421</v>
      </c>
      <c r="W320" t="s">
        <v>6422</v>
      </c>
      <c r="X320" t="s">
        <v>6423</v>
      </c>
      <c r="Y320" t="s">
        <v>6424</v>
      </c>
      <c r="Z320" t="s">
        <v>6425</v>
      </c>
      <c r="AA320" t="s">
        <v>6426</v>
      </c>
      <c r="AB320" t="s">
        <v>6427</v>
      </c>
      <c r="AC320" t="s">
        <v>6428</v>
      </c>
      <c r="AD320" t="s">
        <v>6429</v>
      </c>
      <c r="AE320" t="s">
        <v>6430</v>
      </c>
      <c r="AF320" t="s">
        <v>74</v>
      </c>
      <c r="AG320">
        <v>79</v>
      </c>
      <c r="AH320">
        <v>4</v>
      </c>
      <c r="AI320">
        <v>6</v>
      </c>
      <c r="AJ320">
        <v>1</v>
      </c>
      <c r="AK320">
        <v>3</v>
      </c>
      <c r="AL320" t="s">
        <v>6431</v>
      </c>
      <c r="AM320" t="s">
        <v>6432</v>
      </c>
      <c r="AN320" t="s">
        <v>6433</v>
      </c>
      <c r="AO320" t="s">
        <v>6434</v>
      </c>
      <c r="AP320" t="s">
        <v>6435</v>
      </c>
      <c r="AQ320" t="s">
        <v>74</v>
      </c>
      <c r="AR320" t="s">
        <v>6436</v>
      </c>
      <c r="AS320" t="s">
        <v>6437</v>
      </c>
      <c r="AT320" t="s">
        <v>6000</v>
      </c>
      <c r="AU320">
        <v>2016</v>
      </c>
      <c r="AV320">
        <v>37</v>
      </c>
      <c r="AW320">
        <v>2</v>
      </c>
      <c r="AX320" t="s">
        <v>74</v>
      </c>
      <c r="AY320" t="s">
        <v>74</v>
      </c>
      <c r="AZ320" t="s">
        <v>74</v>
      </c>
      <c r="BA320" t="s">
        <v>74</v>
      </c>
      <c r="BB320">
        <v>125</v>
      </c>
      <c r="BC320">
        <v>147</v>
      </c>
      <c r="BD320" t="s">
        <v>74</v>
      </c>
      <c r="BE320" t="s">
        <v>6438</v>
      </c>
      <c r="BF320" t="str">
        <f>HYPERLINK("http://dx.doi.org/10.7872/cryb/v37.iss2.2016.125","http://dx.doi.org/10.7872/cryb/v37.iss2.2016.125")</f>
        <v>http://dx.doi.org/10.7872/cryb/v37.iss2.2016.125</v>
      </c>
      <c r="BG320" t="s">
        <v>74</v>
      </c>
      <c r="BH320" t="s">
        <v>74</v>
      </c>
      <c r="BI320">
        <v>23</v>
      </c>
      <c r="BJ320" t="s">
        <v>1638</v>
      </c>
      <c r="BK320" t="s">
        <v>102</v>
      </c>
      <c r="BL320" t="s">
        <v>1638</v>
      </c>
      <c r="BM320" t="s">
        <v>6439</v>
      </c>
      <c r="BN320" t="s">
        <v>74</v>
      </c>
      <c r="BO320" t="s">
        <v>74</v>
      </c>
      <c r="BP320" t="s">
        <v>74</v>
      </c>
      <c r="BQ320" t="s">
        <v>74</v>
      </c>
      <c r="BR320" t="s">
        <v>106</v>
      </c>
      <c r="BS320" t="s">
        <v>6440</v>
      </c>
      <c r="BT320" t="str">
        <f>HYPERLINK("https%3A%2F%2Fwww.webofscience.com%2Fwos%2Fwoscc%2Ffull-record%2FWOS:000375734300003","View Full Record in Web of Science")</f>
        <v>View Full Record in Web of Science</v>
      </c>
    </row>
    <row r="321" spans="1:72" x14ac:dyDescent="0.15">
      <c r="A321" t="s">
        <v>72</v>
      </c>
      <c r="B321" t="s">
        <v>6441</v>
      </c>
      <c r="C321" t="s">
        <v>74</v>
      </c>
      <c r="D321" t="s">
        <v>74</v>
      </c>
      <c r="E321" t="s">
        <v>74</v>
      </c>
      <c r="F321" t="s">
        <v>6442</v>
      </c>
      <c r="G321" t="s">
        <v>74</v>
      </c>
      <c r="H321" t="s">
        <v>74</v>
      </c>
      <c r="I321" t="s">
        <v>6443</v>
      </c>
      <c r="J321" t="s">
        <v>6444</v>
      </c>
      <c r="K321" t="s">
        <v>74</v>
      </c>
      <c r="L321" t="s">
        <v>74</v>
      </c>
      <c r="M321" t="s">
        <v>78</v>
      </c>
      <c r="N321" t="s">
        <v>79</v>
      </c>
      <c r="O321" t="s">
        <v>74</v>
      </c>
      <c r="P321" t="s">
        <v>74</v>
      </c>
      <c r="Q321" t="s">
        <v>74</v>
      </c>
      <c r="R321" t="s">
        <v>74</v>
      </c>
      <c r="S321" t="s">
        <v>74</v>
      </c>
      <c r="T321" t="s">
        <v>6445</v>
      </c>
      <c r="U321" t="s">
        <v>6446</v>
      </c>
      <c r="V321" t="s">
        <v>6447</v>
      </c>
      <c r="W321" t="s">
        <v>6448</v>
      </c>
      <c r="X321" t="s">
        <v>6449</v>
      </c>
      <c r="Y321" t="s">
        <v>6450</v>
      </c>
      <c r="Z321" t="s">
        <v>6451</v>
      </c>
      <c r="AA321" t="s">
        <v>6452</v>
      </c>
      <c r="AB321" t="s">
        <v>6453</v>
      </c>
      <c r="AC321" t="s">
        <v>6454</v>
      </c>
      <c r="AD321" t="s">
        <v>6455</v>
      </c>
      <c r="AE321" t="s">
        <v>6456</v>
      </c>
      <c r="AF321" t="s">
        <v>74</v>
      </c>
      <c r="AG321">
        <v>57</v>
      </c>
      <c r="AH321">
        <v>10</v>
      </c>
      <c r="AI321">
        <v>11</v>
      </c>
      <c r="AJ321">
        <v>1</v>
      </c>
      <c r="AK321">
        <v>14</v>
      </c>
      <c r="AL321" t="s">
        <v>1657</v>
      </c>
      <c r="AM321" t="s">
        <v>679</v>
      </c>
      <c r="AN321" t="s">
        <v>1658</v>
      </c>
      <c r="AO321" t="s">
        <v>6457</v>
      </c>
      <c r="AP321" t="s">
        <v>6458</v>
      </c>
      <c r="AQ321" t="s">
        <v>74</v>
      </c>
      <c r="AR321" t="s">
        <v>6459</v>
      </c>
      <c r="AS321" t="s">
        <v>6460</v>
      </c>
      <c r="AT321" t="s">
        <v>6000</v>
      </c>
      <c r="AU321">
        <v>2016</v>
      </c>
      <c r="AV321">
        <v>92</v>
      </c>
      <c r="AW321">
        <v>4</v>
      </c>
      <c r="AX321" t="s">
        <v>74</v>
      </c>
      <c r="AY321" t="s">
        <v>74</v>
      </c>
      <c r="AZ321" t="s">
        <v>74</v>
      </c>
      <c r="BA321" t="s">
        <v>74</v>
      </c>
      <c r="BB321" t="s">
        <v>74</v>
      </c>
      <c r="BC321" t="s">
        <v>74</v>
      </c>
      <c r="BD321" t="s">
        <v>6461</v>
      </c>
      <c r="BE321" t="s">
        <v>6462</v>
      </c>
      <c r="BF321" t="str">
        <f>HYPERLINK("http://dx.doi.org/10.1093/femsec/fiw043","http://dx.doi.org/10.1093/femsec/fiw043")</f>
        <v>http://dx.doi.org/10.1093/femsec/fiw043</v>
      </c>
      <c r="BG321" t="s">
        <v>74</v>
      </c>
      <c r="BH321" t="s">
        <v>74</v>
      </c>
      <c r="BI321">
        <v>9</v>
      </c>
      <c r="BJ321" t="s">
        <v>2538</v>
      </c>
      <c r="BK321" t="s">
        <v>102</v>
      </c>
      <c r="BL321" t="s">
        <v>2538</v>
      </c>
      <c r="BM321" t="s">
        <v>6463</v>
      </c>
      <c r="BN321">
        <v>26917781</v>
      </c>
      <c r="BO321" t="s">
        <v>3386</v>
      </c>
      <c r="BP321" t="s">
        <v>74</v>
      </c>
      <c r="BQ321" t="s">
        <v>74</v>
      </c>
      <c r="BR321" t="s">
        <v>106</v>
      </c>
      <c r="BS321" t="s">
        <v>6464</v>
      </c>
      <c r="BT321" t="str">
        <f>HYPERLINK("https%3A%2F%2Fwww.webofscience.com%2Fwos%2Fwoscc%2Ffull-record%2FWOS:000374479400011","View Full Record in Web of Science")</f>
        <v>View Full Record in Web of Science</v>
      </c>
    </row>
    <row r="322" spans="1:72" x14ac:dyDescent="0.15">
      <c r="A322" t="s">
        <v>72</v>
      </c>
      <c r="B322" t="s">
        <v>6465</v>
      </c>
      <c r="C322" t="s">
        <v>74</v>
      </c>
      <c r="D322" t="s">
        <v>74</v>
      </c>
      <c r="E322" t="s">
        <v>74</v>
      </c>
      <c r="F322" t="s">
        <v>6466</v>
      </c>
      <c r="G322" t="s">
        <v>74</v>
      </c>
      <c r="H322" t="s">
        <v>74</v>
      </c>
      <c r="I322" t="s">
        <v>6467</v>
      </c>
      <c r="J322" t="s">
        <v>6468</v>
      </c>
      <c r="K322" t="s">
        <v>74</v>
      </c>
      <c r="L322" t="s">
        <v>74</v>
      </c>
      <c r="M322" t="s">
        <v>78</v>
      </c>
      <c r="N322" t="s">
        <v>79</v>
      </c>
      <c r="O322" t="s">
        <v>74</v>
      </c>
      <c r="P322" t="s">
        <v>74</v>
      </c>
      <c r="Q322" t="s">
        <v>74</v>
      </c>
      <c r="R322" t="s">
        <v>74</v>
      </c>
      <c r="S322" t="s">
        <v>74</v>
      </c>
      <c r="T322" t="s">
        <v>74</v>
      </c>
      <c r="U322" t="s">
        <v>6469</v>
      </c>
      <c r="V322" t="s">
        <v>6470</v>
      </c>
      <c r="W322" t="s">
        <v>6471</v>
      </c>
      <c r="X322" t="s">
        <v>6472</v>
      </c>
      <c r="Y322" t="s">
        <v>6473</v>
      </c>
      <c r="Z322" t="s">
        <v>6474</v>
      </c>
      <c r="AA322" t="s">
        <v>74</v>
      </c>
      <c r="AB322" t="s">
        <v>74</v>
      </c>
      <c r="AC322" t="s">
        <v>6475</v>
      </c>
      <c r="AD322" t="s">
        <v>6476</v>
      </c>
      <c r="AE322" t="s">
        <v>6477</v>
      </c>
      <c r="AF322" t="s">
        <v>74</v>
      </c>
      <c r="AG322">
        <v>27</v>
      </c>
      <c r="AH322">
        <v>14</v>
      </c>
      <c r="AI322">
        <v>16</v>
      </c>
      <c r="AJ322">
        <v>0</v>
      </c>
      <c r="AK322">
        <v>7</v>
      </c>
      <c r="AL322" t="s">
        <v>6478</v>
      </c>
      <c r="AM322" t="s">
        <v>773</v>
      </c>
      <c r="AN322" t="s">
        <v>6479</v>
      </c>
      <c r="AO322" t="s">
        <v>6480</v>
      </c>
      <c r="AP322" t="s">
        <v>6481</v>
      </c>
      <c r="AQ322" t="s">
        <v>74</v>
      </c>
      <c r="AR322" t="s">
        <v>6482</v>
      </c>
      <c r="AS322" t="s">
        <v>6483</v>
      </c>
      <c r="AT322" t="s">
        <v>6000</v>
      </c>
      <c r="AU322">
        <v>2016</v>
      </c>
      <c r="AV322">
        <v>66</v>
      </c>
      <c r="AW322" t="s">
        <v>74</v>
      </c>
      <c r="AX322">
        <v>4</v>
      </c>
      <c r="AY322" t="s">
        <v>74</v>
      </c>
      <c r="AZ322" t="s">
        <v>74</v>
      </c>
      <c r="BA322" t="s">
        <v>74</v>
      </c>
      <c r="BB322">
        <v>1792</v>
      </c>
      <c r="BC322">
        <v>1798</v>
      </c>
      <c r="BD322" t="s">
        <v>74</v>
      </c>
      <c r="BE322" t="s">
        <v>6484</v>
      </c>
      <c r="BF322" t="str">
        <f>HYPERLINK("http://dx.doi.org/10.1099/ijsem.0.000939","http://dx.doi.org/10.1099/ijsem.0.000939")</f>
        <v>http://dx.doi.org/10.1099/ijsem.0.000939</v>
      </c>
      <c r="BG322" t="s">
        <v>74</v>
      </c>
      <c r="BH322" t="s">
        <v>74</v>
      </c>
      <c r="BI322">
        <v>7</v>
      </c>
      <c r="BJ322" t="s">
        <v>2538</v>
      </c>
      <c r="BK322" t="s">
        <v>102</v>
      </c>
      <c r="BL322" t="s">
        <v>2538</v>
      </c>
      <c r="BM322" t="s">
        <v>6485</v>
      </c>
      <c r="BN322">
        <v>26827927</v>
      </c>
      <c r="BO322" t="s">
        <v>420</v>
      </c>
      <c r="BP322" t="s">
        <v>74</v>
      </c>
      <c r="BQ322" t="s">
        <v>74</v>
      </c>
      <c r="BR322" t="s">
        <v>106</v>
      </c>
      <c r="BS322" t="s">
        <v>6486</v>
      </c>
      <c r="BT322" t="str">
        <f>HYPERLINK("https%3A%2F%2Fwww.webofscience.com%2Fwos%2Fwoscc%2Ffull-record%2FWOS:000374503600025","View Full Record in Web of Science")</f>
        <v>View Full Record in Web of Science</v>
      </c>
    </row>
    <row r="323" spans="1:72" x14ac:dyDescent="0.15">
      <c r="A323" t="s">
        <v>72</v>
      </c>
      <c r="B323" t="s">
        <v>6487</v>
      </c>
      <c r="C323" t="s">
        <v>74</v>
      </c>
      <c r="D323" t="s">
        <v>74</v>
      </c>
      <c r="E323" t="s">
        <v>74</v>
      </c>
      <c r="F323" t="s">
        <v>6488</v>
      </c>
      <c r="G323" t="s">
        <v>74</v>
      </c>
      <c r="H323" t="s">
        <v>74</v>
      </c>
      <c r="I323" t="s">
        <v>6489</v>
      </c>
      <c r="J323" t="s">
        <v>6490</v>
      </c>
      <c r="K323" t="s">
        <v>74</v>
      </c>
      <c r="L323" t="s">
        <v>74</v>
      </c>
      <c r="M323" t="s">
        <v>78</v>
      </c>
      <c r="N323" t="s">
        <v>79</v>
      </c>
      <c r="O323" t="s">
        <v>74</v>
      </c>
      <c r="P323" t="s">
        <v>74</v>
      </c>
      <c r="Q323" t="s">
        <v>74</v>
      </c>
      <c r="R323" t="s">
        <v>74</v>
      </c>
      <c r="S323" t="s">
        <v>74</v>
      </c>
      <c r="T323" t="s">
        <v>74</v>
      </c>
      <c r="U323" t="s">
        <v>6491</v>
      </c>
      <c r="V323" t="s">
        <v>6492</v>
      </c>
      <c r="W323" t="s">
        <v>6493</v>
      </c>
      <c r="X323" t="s">
        <v>6494</v>
      </c>
      <c r="Y323" t="s">
        <v>6495</v>
      </c>
      <c r="Z323" t="s">
        <v>6496</v>
      </c>
      <c r="AA323" t="s">
        <v>6497</v>
      </c>
      <c r="AB323" t="s">
        <v>6498</v>
      </c>
      <c r="AC323" t="s">
        <v>6499</v>
      </c>
      <c r="AD323" t="s">
        <v>6500</v>
      </c>
      <c r="AE323" t="s">
        <v>6501</v>
      </c>
      <c r="AF323" t="s">
        <v>74</v>
      </c>
      <c r="AG323">
        <v>49</v>
      </c>
      <c r="AH323">
        <v>15</v>
      </c>
      <c r="AI323">
        <v>17</v>
      </c>
      <c r="AJ323">
        <v>0</v>
      </c>
      <c r="AK323">
        <v>19</v>
      </c>
      <c r="AL323" t="s">
        <v>511</v>
      </c>
      <c r="AM323" t="s">
        <v>512</v>
      </c>
      <c r="AN323" t="s">
        <v>513</v>
      </c>
      <c r="AO323" t="s">
        <v>6502</v>
      </c>
      <c r="AP323" t="s">
        <v>6503</v>
      </c>
      <c r="AQ323" t="s">
        <v>74</v>
      </c>
      <c r="AR323" t="s">
        <v>6504</v>
      </c>
      <c r="AS323" t="s">
        <v>6505</v>
      </c>
      <c r="AT323" t="s">
        <v>6000</v>
      </c>
      <c r="AU323">
        <v>2016</v>
      </c>
      <c r="AV323">
        <v>33</v>
      </c>
      <c r="AW323">
        <v>4</v>
      </c>
      <c r="AX323" t="s">
        <v>74</v>
      </c>
      <c r="AY323" t="s">
        <v>74</v>
      </c>
      <c r="AZ323" t="s">
        <v>74</v>
      </c>
      <c r="BA323" t="s">
        <v>74</v>
      </c>
      <c r="BB323">
        <v>635</v>
      </c>
      <c r="BC323">
        <v>652</v>
      </c>
      <c r="BD323" t="s">
        <v>74</v>
      </c>
      <c r="BE323" t="s">
        <v>6506</v>
      </c>
      <c r="BF323" t="str">
        <f>HYPERLINK("http://dx.doi.org/10.1175/JTECH-D-15-0156.1","http://dx.doi.org/10.1175/JTECH-D-15-0156.1")</f>
        <v>http://dx.doi.org/10.1175/JTECH-D-15-0156.1</v>
      </c>
      <c r="BG323" t="s">
        <v>74</v>
      </c>
      <c r="BH323" t="s">
        <v>74</v>
      </c>
      <c r="BI323">
        <v>18</v>
      </c>
      <c r="BJ323" t="s">
        <v>6507</v>
      </c>
      <c r="BK323" t="s">
        <v>102</v>
      </c>
      <c r="BL323" t="s">
        <v>6508</v>
      </c>
      <c r="BM323" t="s">
        <v>6509</v>
      </c>
      <c r="BN323" t="s">
        <v>74</v>
      </c>
      <c r="BO323" t="s">
        <v>222</v>
      </c>
      <c r="BP323" t="s">
        <v>74</v>
      </c>
      <c r="BQ323" t="s">
        <v>74</v>
      </c>
      <c r="BR323" t="s">
        <v>106</v>
      </c>
      <c r="BS323" t="s">
        <v>6510</v>
      </c>
      <c r="BT323" t="str">
        <f>HYPERLINK("https%3A%2F%2Fwww.webofscience.com%2Fwos%2Fwoscc%2Ffull-record%2FWOS:000375736000002","View Full Record in Web of Science")</f>
        <v>View Full Record in Web of Science</v>
      </c>
    </row>
    <row r="324" spans="1:72" x14ac:dyDescent="0.15">
      <c r="A324" t="s">
        <v>72</v>
      </c>
      <c r="B324" t="s">
        <v>6511</v>
      </c>
      <c r="C324" t="s">
        <v>74</v>
      </c>
      <c r="D324" t="s">
        <v>74</v>
      </c>
      <c r="E324" t="s">
        <v>74</v>
      </c>
      <c r="F324" t="s">
        <v>6512</v>
      </c>
      <c r="G324" t="s">
        <v>74</v>
      </c>
      <c r="H324" t="s">
        <v>74</v>
      </c>
      <c r="I324" t="s">
        <v>6513</v>
      </c>
      <c r="J324" t="s">
        <v>6490</v>
      </c>
      <c r="K324" t="s">
        <v>74</v>
      </c>
      <c r="L324" t="s">
        <v>74</v>
      </c>
      <c r="M324" t="s">
        <v>78</v>
      </c>
      <c r="N324" t="s">
        <v>79</v>
      </c>
      <c r="O324" t="s">
        <v>74</v>
      </c>
      <c r="P324" t="s">
        <v>74</v>
      </c>
      <c r="Q324" t="s">
        <v>74</v>
      </c>
      <c r="R324" t="s">
        <v>74</v>
      </c>
      <c r="S324" t="s">
        <v>74</v>
      </c>
      <c r="T324" t="s">
        <v>74</v>
      </c>
      <c r="U324" t="s">
        <v>6514</v>
      </c>
      <c r="V324" t="s">
        <v>6515</v>
      </c>
      <c r="W324" t="s">
        <v>6516</v>
      </c>
      <c r="X324" t="s">
        <v>6517</v>
      </c>
      <c r="Y324" t="s">
        <v>6518</v>
      </c>
      <c r="Z324" t="s">
        <v>6519</v>
      </c>
      <c r="AA324" t="s">
        <v>74</v>
      </c>
      <c r="AB324" t="s">
        <v>6520</v>
      </c>
      <c r="AC324" t="s">
        <v>6521</v>
      </c>
      <c r="AD324" t="s">
        <v>6522</v>
      </c>
      <c r="AE324" t="s">
        <v>6523</v>
      </c>
      <c r="AF324" t="s">
        <v>74</v>
      </c>
      <c r="AG324">
        <v>32</v>
      </c>
      <c r="AH324">
        <v>9</v>
      </c>
      <c r="AI324">
        <v>10</v>
      </c>
      <c r="AJ324">
        <v>1</v>
      </c>
      <c r="AK324">
        <v>4</v>
      </c>
      <c r="AL324" t="s">
        <v>511</v>
      </c>
      <c r="AM324" t="s">
        <v>512</v>
      </c>
      <c r="AN324" t="s">
        <v>513</v>
      </c>
      <c r="AO324" t="s">
        <v>6502</v>
      </c>
      <c r="AP324" t="s">
        <v>6503</v>
      </c>
      <c r="AQ324" t="s">
        <v>74</v>
      </c>
      <c r="AR324" t="s">
        <v>6504</v>
      </c>
      <c r="AS324" t="s">
        <v>6505</v>
      </c>
      <c r="AT324" t="s">
        <v>6000</v>
      </c>
      <c r="AU324">
        <v>2016</v>
      </c>
      <c r="AV324">
        <v>33</v>
      </c>
      <c r="AW324">
        <v>4</v>
      </c>
      <c r="AX324" t="s">
        <v>74</v>
      </c>
      <c r="AY324" t="s">
        <v>74</v>
      </c>
      <c r="AZ324" t="s">
        <v>74</v>
      </c>
      <c r="BA324" t="s">
        <v>74</v>
      </c>
      <c r="BB324">
        <v>669</v>
      </c>
      <c r="BC324">
        <v>683</v>
      </c>
      <c r="BD324" t="s">
        <v>74</v>
      </c>
      <c r="BE324" t="s">
        <v>6524</v>
      </c>
      <c r="BF324" t="str">
        <f>HYPERLINK("http://dx.doi.org/10.1175/JTECH-D-15-0249.1","http://dx.doi.org/10.1175/JTECH-D-15-0249.1")</f>
        <v>http://dx.doi.org/10.1175/JTECH-D-15-0249.1</v>
      </c>
      <c r="BG324" t="s">
        <v>74</v>
      </c>
      <c r="BH324" t="s">
        <v>74</v>
      </c>
      <c r="BI324">
        <v>15</v>
      </c>
      <c r="BJ324" t="s">
        <v>6507</v>
      </c>
      <c r="BK324" t="s">
        <v>102</v>
      </c>
      <c r="BL324" t="s">
        <v>6508</v>
      </c>
      <c r="BM324" t="s">
        <v>6509</v>
      </c>
      <c r="BN324" t="s">
        <v>74</v>
      </c>
      <c r="BO324" t="s">
        <v>222</v>
      </c>
      <c r="BP324" t="s">
        <v>74</v>
      </c>
      <c r="BQ324" t="s">
        <v>74</v>
      </c>
      <c r="BR324" t="s">
        <v>106</v>
      </c>
      <c r="BS324" t="s">
        <v>6525</v>
      </c>
      <c r="BT324" t="str">
        <f>HYPERLINK("https%3A%2F%2Fwww.webofscience.com%2Fwos%2Fwoscc%2Ffull-record%2FWOS:000375736000004","View Full Record in Web of Science")</f>
        <v>View Full Record in Web of Science</v>
      </c>
    </row>
    <row r="325" spans="1:72" x14ac:dyDescent="0.15">
      <c r="A325" t="s">
        <v>72</v>
      </c>
      <c r="B325" t="s">
        <v>6526</v>
      </c>
      <c r="C325" t="s">
        <v>74</v>
      </c>
      <c r="D325" t="s">
        <v>74</v>
      </c>
      <c r="E325" t="s">
        <v>74</v>
      </c>
      <c r="F325" t="s">
        <v>6527</v>
      </c>
      <c r="G325" t="s">
        <v>74</v>
      </c>
      <c r="H325" t="s">
        <v>74</v>
      </c>
      <c r="I325" t="s">
        <v>6528</v>
      </c>
      <c r="J325" t="s">
        <v>6529</v>
      </c>
      <c r="K325" t="s">
        <v>74</v>
      </c>
      <c r="L325" t="s">
        <v>74</v>
      </c>
      <c r="M325" t="s">
        <v>78</v>
      </c>
      <c r="N325" t="s">
        <v>79</v>
      </c>
      <c r="O325" t="s">
        <v>74</v>
      </c>
      <c r="P325" t="s">
        <v>74</v>
      </c>
      <c r="Q325" t="s">
        <v>74</v>
      </c>
      <c r="R325" t="s">
        <v>74</v>
      </c>
      <c r="S325" t="s">
        <v>74</v>
      </c>
      <c r="T325" t="s">
        <v>6530</v>
      </c>
      <c r="U325" t="s">
        <v>6531</v>
      </c>
      <c r="V325" t="s">
        <v>6532</v>
      </c>
      <c r="W325" t="s">
        <v>6533</v>
      </c>
      <c r="X325" t="s">
        <v>74</v>
      </c>
      <c r="Y325" t="s">
        <v>6534</v>
      </c>
      <c r="Z325" t="s">
        <v>6535</v>
      </c>
      <c r="AA325" t="s">
        <v>74</v>
      </c>
      <c r="AB325" t="s">
        <v>74</v>
      </c>
      <c r="AC325" t="s">
        <v>74</v>
      </c>
      <c r="AD325" t="s">
        <v>74</v>
      </c>
      <c r="AE325" t="s">
        <v>74</v>
      </c>
      <c r="AF325" t="s">
        <v>74</v>
      </c>
      <c r="AG325">
        <v>3</v>
      </c>
      <c r="AH325">
        <v>1</v>
      </c>
      <c r="AI325">
        <v>1</v>
      </c>
      <c r="AJ325">
        <v>0</v>
      </c>
      <c r="AK325">
        <v>10</v>
      </c>
      <c r="AL325" t="s">
        <v>6536</v>
      </c>
      <c r="AM325" t="s">
        <v>93</v>
      </c>
      <c r="AN325" t="s">
        <v>6537</v>
      </c>
      <c r="AO325" t="s">
        <v>6538</v>
      </c>
      <c r="AP325" t="s">
        <v>6539</v>
      </c>
      <c r="AQ325" t="s">
        <v>74</v>
      </c>
      <c r="AR325" t="s">
        <v>6540</v>
      </c>
      <c r="AS325" t="s">
        <v>6541</v>
      </c>
      <c r="AT325" t="s">
        <v>6000</v>
      </c>
      <c r="AU325">
        <v>2016</v>
      </c>
      <c r="AV325">
        <v>93</v>
      </c>
      <c r="AW325">
        <v>4</v>
      </c>
      <c r="AX325" t="s">
        <v>74</v>
      </c>
      <c r="AY325" t="s">
        <v>74</v>
      </c>
      <c r="AZ325" t="s">
        <v>74</v>
      </c>
      <c r="BA325" t="s">
        <v>74</v>
      </c>
      <c r="BB325">
        <v>785</v>
      </c>
      <c r="BC325">
        <v>786</v>
      </c>
      <c r="BD325" t="s">
        <v>74</v>
      </c>
      <c r="BE325" t="s">
        <v>6542</v>
      </c>
      <c r="BF325" t="str">
        <f>HYPERLINK("http://dx.doi.org/10.1021/acs.jchemed.5b00947","http://dx.doi.org/10.1021/acs.jchemed.5b00947")</f>
        <v>http://dx.doi.org/10.1021/acs.jchemed.5b00947</v>
      </c>
      <c r="BG325" t="s">
        <v>74</v>
      </c>
      <c r="BH325" t="s">
        <v>74</v>
      </c>
      <c r="BI325">
        <v>2</v>
      </c>
      <c r="BJ325" t="s">
        <v>6543</v>
      </c>
      <c r="BK325" t="s">
        <v>102</v>
      </c>
      <c r="BL325" t="s">
        <v>6544</v>
      </c>
      <c r="BM325" t="s">
        <v>6545</v>
      </c>
      <c r="BN325" t="s">
        <v>74</v>
      </c>
      <c r="BO325" t="s">
        <v>74</v>
      </c>
      <c r="BP325" t="s">
        <v>74</v>
      </c>
      <c r="BQ325" t="s">
        <v>74</v>
      </c>
      <c r="BR325" t="s">
        <v>106</v>
      </c>
      <c r="BS325" t="s">
        <v>6546</v>
      </c>
      <c r="BT325" t="str">
        <f>HYPERLINK("https%3A%2F%2Fwww.webofscience.com%2Fwos%2Fwoscc%2Ffull-record%2FWOS:000374720700038","View Full Record in Web of Science")</f>
        <v>View Full Record in Web of Science</v>
      </c>
    </row>
    <row r="326" spans="1:72" x14ac:dyDescent="0.15">
      <c r="A326" t="s">
        <v>72</v>
      </c>
      <c r="B326" t="s">
        <v>6547</v>
      </c>
      <c r="C326" t="s">
        <v>74</v>
      </c>
      <c r="D326" t="s">
        <v>74</v>
      </c>
      <c r="E326" t="s">
        <v>74</v>
      </c>
      <c r="F326" t="s">
        <v>6548</v>
      </c>
      <c r="G326" t="s">
        <v>74</v>
      </c>
      <c r="H326" t="s">
        <v>74</v>
      </c>
      <c r="I326" t="s">
        <v>6549</v>
      </c>
      <c r="J326" t="s">
        <v>472</v>
      </c>
      <c r="K326" t="s">
        <v>74</v>
      </c>
      <c r="L326" t="s">
        <v>74</v>
      </c>
      <c r="M326" t="s">
        <v>78</v>
      </c>
      <c r="N326" t="s">
        <v>79</v>
      </c>
      <c r="O326" t="s">
        <v>74</v>
      </c>
      <c r="P326" t="s">
        <v>74</v>
      </c>
      <c r="Q326" t="s">
        <v>74</v>
      </c>
      <c r="R326" t="s">
        <v>74</v>
      </c>
      <c r="S326" t="s">
        <v>74</v>
      </c>
      <c r="T326" t="s">
        <v>6550</v>
      </c>
      <c r="U326" t="s">
        <v>6551</v>
      </c>
      <c r="V326" t="s">
        <v>6552</v>
      </c>
      <c r="W326" t="s">
        <v>6553</v>
      </c>
      <c r="X326" t="s">
        <v>6554</v>
      </c>
      <c r="Y326" t="s">
        <v>6555</v>
      </c>
      <c r="Z326" t="s">
        <v>6556</v>
      </c>
      <c r="AA326" t="s">
        <v>74</v>
      </c>
      <c r="AB326" t="s">
        <v>6557</v>
      </c>
      <c r="AC326" t="s">
        <v>6558</v>
      </c>
      <c r="AD326" t="s">
        <v>6559</v>
      </c>
      <c r="AE326" t="s">
        <v>6560</v>
      </c>
      <c r="AF326" t="s">
        <v>74</v>
      </c>
      <c r="AG326">
        <v>29</v>
      </c>
      <c r="AH326">
        <v>19</v>
      </c>
      <c r="AI326">
        <v>19</v>
      </c>
      <c r="AJ326">
        <v>1</v>
      </c>
      <c r="AK326">
        <v>7</v>
      </c>
      <c r="AL326" t="s">
        <v>485</v>
      </c>
      <c r="AM326" t="s">
        <v>486</v>
      </c>
      <c r="AN326" t="s">
        <v>487</v>
      </c>
      <c r="AO326" t="s">
        <v>488</v>
      </c>
      <c r="AP326" t="s">
        <v>489</v>
      </c>
      <c r="AQ326" t="s">
        <v>74</v>
      </c>
      <c r="AR326" t="s">
        <v>490</v>
      </c>
      <c r="AS326" t="s">
        <v>491</v>
      </c>
      <c r="AT326" t="s">
        <v>6000</v>
      </c>
      <c r="AU326">
        <v>2016</v>
      </c>
      <c r="AV326">
        <v>111</v>
      </c>
      <c r="AW326">
        <v>2</v>
      </c>
      <c r="AX326" t="s">
        <v>74</v>
      </c>
      <c r="AY326" t="s">
        <v>74</v>
      </c>
      <c r="AZ326" t="s">
        <v>74</v>
      </c>
      <c r="BA326" t="s">
        <v>74</v>
      </c>
      <c r="BB326">
        <v>118</v>
      </c>
      <c r="BC326">
        <v>128</v>
      </c>
      <c r="BD326" t="s">
        <v>74</v>
      </c>
      <c r="BE326" t="s">
        <v>6561</v>
      </c>
      <c r="BF326" t="str">
        <f>HYPERLINK("http://dx.doi.org/10.2465/jmps.151001","http://dx.doi.org/10.2465/jmps.151001")</f>
        <v>http://dx.doi.org/10.2465/jmps.151001</v>
      </c>
      <c r="BG326" t="s">
        <v>74</v>
      </c>
      <c r="BH326" t="s">
        <v>74</v>
      </c>
      <c r="BI326">
        <v>11</v>
      </c>
      <c r="BJ326" t="s">
        <v>493</v>
      </c>
      <c r="BK326" t="s">
        <v>102</v>
      </c>
      <c r="BL326" t="s">
        <v>493</v>
      </c>
      <c r="BM326" t="s">
        <v>6562</v>
      </c>
      <c r="BN326" t="s">
        <v>74</v>
      </c>
      <c r="BO326" t="s">
        <v>495</v>
      </c>
      <c r="BP326" t="s">
        <v>74</v>
      </c>
      <c r="BQ326" t="s">
        <v>74</v>
      </c>
      <c r="BR326" t="s">
        <v>106</v>
      </c>
      <c r="BS326" t="s">
        <v>6563</v>
      </c>
      <c r="BT326" t="str">
        <f>HYPERLINK("https%3A%2F%2Fwww.webofscience.com%2Fwos%2Fwoscc%2Ffull-record%2FWOS:000375803000006","View Full Record in Web of Science")</f>
        <v>View Full Record in Web of Science</v>
      </c>
    </row>
    <row r="327" spans="1:72" x14ac:dyDescent="0.15">
      <c r="A327" t="s">
        <v>72</v>
      </c>
      <c r="B327" t="s">
        <v>6564</v>
      </c>
      <c r="C327" t="s">
        <v>74</v>
      </c>
      <c r="D327" t="s">
        <v>74</v>
      </c>
      <c r="E327" t="s">
        <v>74</v>
      </c>
      <c r="F327" t="s">
        <v>6565</v>
      </c>
      <c r="G327" t="s">
        <v>74</v>
      </c>
      <c r="H327" t="s">
        <v>74</v>
      </c>
      <c r="I327" t="s">
        <v>6566</v>
      </c>
      <c r="J327" t="s">
        <v>6567</v>
      </c>
      <c r="K327" t="s">
        <v>74</v>
      </c>
      <c r="L327" t="s">
        <v>74</v>
      </c>
      <c r="M327" t="s">
        <v>78</v>
      </c>
      <c r="N327" t="s">
        <v>79</v>
      </c>
      <c r="O327" t="s">
        <v>74</v>
      </c>
      <c r="P327" t="s">
        <v>74</v>
      </c>
      <c r="Q327" t="s">
        <v>74</v>
      </c>
      <c r="R327" t="s">
        <v>74</v>
      </c>
      <c r="S327" t="s">
        <v>74</v>
      </c>
      <c r="T327" t="s">
        <v>6568</v>
      </c>
      <c r="U327" t="s">
        <v>6569</v>
      </c>
      <c r="V327" t="s">
        <v>6570</v>
      </c>
      <c r="W327" t="s">
        <v>6571</v>
      </c>
      <c r="X327" t="s">
        <v>6572</v>
      </c>
      <c r="Y327" t="s">
        <v>6573</v>
      </c>
      <c r="Z327" t="s">
        <v>6574</v>
      </c>
      <c r="AA327" t="s">
        <v>6575</v>
      </c>
      <c r="AB327" t="s">
        <v>6576</v>
      </c>
      <c r="AC327" t="s">
        <v>6577</v>
      </c>
      <c r="AD327" t="s">
        <v>6578</v>
      </c>
      <c r="AE327" t="s">
        <v>6579</v>
      </c>
      <c r="AF327" t="s">
        <v>74</v>
      </c>
      <c r="AG327">
        <v>91</v>
      </c>
      <c r="AH327">
        <v>10</v>
      </c>
      <c r="AI327">
        <v>10</v>
      </c>
      <c r="AJ327">
        <v>1</v>
      </c>
      <c r="AK327">
        <v>46</v>
      </c>
      <c r="AL327" t="s">
        <v>626</v>
      </c>
      <c r="AM327" t="s">
        <v>583</v>
      </c>
      <c r="AN327" t="s">
        <v>627</v>
      </c>
      <c r="AO327" t="s">
        <v>6580</v>
      </c>
      <c r="AP327" t="s">
        <v>6581</v>
      </c>
      <c r="AQ327" t="s">
        <v>74</v>
      </c>
      <c r="AR327" t="s">
        <v>6582</v>
      </c>
      <c r="AS327" t="s">
        <v>6583</v>
      </c>
      <c r="AT327" t="s">
        <v>6000</v>
      </c>
      <c r="AU327">
        <v>2016</v>
      </c>
      <c r="AV327">
        <v>110</v>
      </c>
      <c r="AW327" t="s">
        <v>74</v>
      </c>
      <c r="AX327" t="s">
        <v>74</v>
      </c>
      <c r="AY327" t="s">
        <v>74</v>
      </c>
      <c r="AZ327" t="s">
        <v>74</v>
      </c>
      <c r="BA327" t="s">
        <v>74</v>
      </c>
      <c r="BB327">
        <v>29</v>
      </c>
      <c r="BC327">
        <v>38</v>
      </c>
      <c r="BD327" t="s">
        <v>74</v>
      </c>
      <c r="BE327" t="s">
        <v>6584</v>
      </c>
      <c r="BF327" t="str">
        <f>HYPERLINK("http://dx.doi.org/10.1016/j.seares.2016.02.002","http://dx.doi.org/10.1016/j.seares.2016.02.002")</f>
        <v>http://dx.doi.org/10.1016/j.seares.2016.02.002</v>
      </c>
      <c r="BG327" t="s">
        <v>74</v>
      </c>
      <c r="BH327" t="s">
        <v>74</v>
      </c>
      <c r="BI327">
        <v>10</v>
      </c>
      <c r="BJ327" t="s">
        <v>2738</v>
      </c>
      <c r="BK327" t="s">
        <v>102</v>
      </c>
      <c r="BL327" t="s">
        <v>2738</v>
      </c>
      <c r="BM327" t="s">
        <v>6585</v>
      </c>
      <c r="BN327" t="s">
        <v>74</v>
      </c>
      <c r="BO327" t="s">
        <v>74</v>
      </c>
      <c r="BP327" t="s">
        <v>74</v>
      </c>
      <c r="BQ327" t="s">
        <v>74</v>
      </c>
      <c r="BR327" t="s">
        <v>106</v>
      </c>
      <c r="BS327" t="s">
        <v>6586</v>
      </c>
      <c r="BT327" t="str">
        <f>HYPERLINK("https%3A%2F%2Fwww.webofscience.com%2Fwos%2Fwoscc%2Ffull-record%2FWOS:000374624900005","View Full Record in Web of Science")</f>
        <v>View Full Record in Web of Science</v>
      </c>
    </row>
    <row r="328" spans="1:72" x14ac:dyDescent="0.15">
      <c r="A328" t="s">
        <v>72</v>
      </c>
      <c r="B328" t="s">
        <v>6587</v>
      </c>
      <c r="C328" t="s">
        <v>74</v>
      </c>
      <c r="D328" t="s">
        <v>74</v>
      </c>
      <c r="E328" t="s">
        <v>74</v>
      </c>
      <c r="F328" t="s">
        <v>6588</v>
      </c>
      <c r="G328" t="s">
        <v>74</v>
      </c>
      <c r="H328" t="s">
        <v>74</v>
      </c>
      <c r="I328" t="s">
        <v>6589</v>
      </c>
      <c r="J328" t="s">
        <v>2674</v>
      </c>
      <c r="K328" t="s">
        <v>74</v>
      </c>
      <c r="L328" t="s">
        <v>74</v>
      </c>
      <c r="M328" t="s">
        <v>78</v>
      </c>
      <c r="N328" t="s">
        <v>79</v>
      </c>
      <c r="O328" t="s">
        <v>74</v>
      </c>
      <c r="P328" t="s">
        <v>74</v>
      </c>
      <c r="Q328" t="s">
        <v>74</v>
      </c>
      <c r="R328" t="s">
        <v>74</v>
      </c>
      <c r="S328" t="s">
        <v>74</v>
      </c>
      <c r="T328" t="s">
        <v>6590</v>
      </c>
      <c r="U328" t="s">
        <v>6591</v>
      </c>
      <c r="V328" t="s">
        <v>6592</v>
      </c>
      <c r="W328" t="s">
        <v>6593</v>
      </c>
      <c r="X328" t="s">
        <v>6594</v>
      </c>
      <c r="Y328" t="s">
        <v>6595</v>
      </c>
      <c r="Z328" t="s">
        <v>6596</v>
      </c>
      <c r="AA328" t="s">
        <v>6597</v>
      </c>
      <c r="AB328" t="s">
        <v>6598</v>
      </c>
      <c r="AC328" t="s">
        <v>6599</v>
      </c>
      <c r="AD328" t="s">
        <v>6600</v>
      </c>
      <c r="AE328" t="s">
        <v>6601</v>
      </c>
      <c r="AF328" t="s">
        <v>74</v>
      </c>
      <c r="AG328">
        <v>72</v>
      </c>
      <c r="AH328">
        <v>20</v>
      </c>
      <c r="AI328">
        <v>22</v>
      </c>
      <c r="AJ328">
        <v>0</v>
      </c>
      <c r="AK328">
        <v>17</v>
      </c>
      <c r="AL328" t="s">
        <v>626</v>
      </c>
      <c r="AM328" t="s">
        <v>583</v>
      </c>
      <c r="AN328" t="s">
        <v>627</v>
      </c>
      <c r="AO328" t="s">
        <v>2686</v>
      </c>
      <c r="AP328" t="s">
        <v>2687</v>
      </c>
      <c r="AQ328" t="s">
        <v>74</v>
      </c>
      <c r="AR328" t="s">
        <v>2688</v>
      </c>
      <c r="AS328" t="s">
        <v>2689</v>
      </c>
      <c r="AT328" t="s">
        <v>6000</v>
      </c>
      <c r="AU328">
        <v>2016</v>
      </c>
      <c r="AV328">
        <v>124</v>
      </c>
      <c r="AW328" t="s">
        <v>74</v>
      </c>
      <c r="AX328" t="s">
        <v>74</v>
      </c>
      <c r="AY328" t="s">
        <v>74</v>
      </c>
      <c r="AZ328" t="s">
        <v>74</v>
      </c>
      <c r="BA328" t="s">
        <v>74</v>
      </c>
      <c r="BB328">
        <v>1</v>
      </c>
      <c r="BC328">
        <v>15</v>
      </c>
      <c r="BD328" t="s">
        <v>74</v>
      </c>
      <c r="BE328" t="s">
        <v>6602</v>
      </c>
      <c r="BF328" t="str">
        <f>HYPERLINK("http://dx.doi.org/10.1016/j.marmicro.2016.01.002","http://dx.doi.org/10.1016/j.marmicro.2016.01.002")</f>
        <v>http://dx.doi.org/10.1016/j.marmicro.2016.01.002</v>
      </c>
      <c r="BG328" t="s">
        <v>74</v>
      </c>
      <c r="BH328" t="s">
        <v>74</v>
      </c>
      <c r="BI328">
        <v>15</v>
      </c>
      <c r="BJ328" t="s">
        <v>2265</v>
      </c>
      <c r="BK328" t="s">
        <v>102</v>
      </c>
      <c r="BL328" t="s">
        <v>2265</v>
      </c>
      <c r="BM328" t="s">
        <v>6603</v>
      </c>
      <c r="BN328" t="s">
        <v>74</v>
      </c>
      <c r="BO328" t="s">
        <v>222</v>
      </c>
      <c r="BP328" t="s">
        <v>74</v>
      </c>
      <c r="BQ328" t="s">
        <v>74</v>
      </c>
      <c r="BR328" t="s">
        <v>106</v>
      </c>
      <c r="BS328" t="s">
        <v>6604</v>
      </c>
      <c r="BT328" t="str">
        <f>HYPERLINK("https%3A%2F%2Fwww.webofscience.com%2Fwos%2Fwoscc%2Ffull-record%2FWOS:000375737500001","View Full Record in Web of Science")</f>
        <v>View Full Record in Web of Science</v>
      </c>
    </row>
    <row r="329" spans="1:72" x14ac:dyDescent="0.15">
      <c r="A329" t="s">
        <v>72</v>
      </c>
      <c r="B329" t="s">
        <v>6605</v>
      </c>
      <c r="C329" t="s">
        <v>74</v>
      </c>
      <c r="D329" t="s">
        <v>74</v>
      </c>
      <c r="E329" t="s">
        <v>74</v>
      </c>
      <c r="F329" t="s">
        <v>6606</v>
      </c>
      <c r="G329" t="s">
        <v>74</v>
      </c>
      <c r="H329" t="s">
        <v>74</v>
      </c>
      <c r="I329" t="s">
        <v>6607</v>
      </c>
      <c r="J329" t="s">
        <v>2674</v>
      </c>
      <c r="K329" t="s">
        <v>74</v>
      </c>
      <c r="L329" t="s">
        <v>74</v>
      </c>
      <c r="M329" t="s">
        <v>78</v>
      </c>
      <c r="N329" t="s">
        <v>79</v>
      </c>
      <c r="O329" t="s">
        <v>74</v>
      </c>
      <c r="P329" t="s">
        <v>74</v>
      </c>
      <c r="Q329" t="s">
        <v>74</v>
      </c>
      <c r="R329" t="s">
        <v>74</v>
      </c>
      <c r="S329" t="s">
        <v>74</v>
      </c>
      <c r="T329" t="s">
        <v>6608</v>
      </c>
      <c r="U329" t="s">
        <v>6609</v>
      </c>
      <c r="V329" t="s">
        <v>6610</v>
      </c>
      <c r="W329" t="s">
        <v>6611</v>
      </c>
      <c r="X329" t="s">
        <v>6612</v>
      </c>
      <c r="Y329" t="s">
        <v>6613</v>
      </c>
      <c r="Z329" t="s">
        <v>6614</v>
      </c>
      <c r="AA329" t="s">
        <v>6615</v>
      </c>
      <c r="AB329" t="s">
        <v>6616</v>
      </c>
      <c r="AC329" t="s">
        <v>6617</v>
      </c>
      <c r="AD329" t="s">
        <v>6618</v>
      </c>
      <c r="AE329" t="s">
        <v>6619</v>
      </c>
      <c r="AF329" t="s">
        <v>74</v>
      </c>
      <c r="AG329">
        <v>65</v>
      </c>
      <c r="AH329">
        <v>6</v>
      </c>
      <c r="AI329">
        <v>7</v>
      </c>
      <c r="AJ329">
        <v>1</v>
      </c>
      <c r="AK329">
        <v>15</v>
      </c>
      <c r="AL329" t="s">
        <v>626</v>
      </c>
      <c r="AM329" t="s">
        <v>583</v>
      </c>
      <c r="AN329" t="s">
        <v>627</v>
      </c>
      <c r="AO329" t="s">
        <v>2686</v>
      </c>
      <c r="AP329" t="s">
        <v>2687</v>
      </c>
      <c r="AQ329" t="s">
        <v>74</v>
      </c>
      <c r="AR329" t="s">
        <v>2688</v>
      </c>
      <c r="AS329" t="s">
        <v>2689</v>
      </c>
      <c r="AT329" t="s">
        <v>6000</v>
      </c>
      <c r="AU329">
        <v>2016</v>
      </c>
      <c r="AV329">
        <v>124</v>
      </c>
      <c r="AW329" t="s">
        <v>74</v>
      </c>
      <c r="AX329" t="s">
        <v>74</v>
      </c>
      <c r="AY329" t="s">
        <v>74</v>
      </c>
      <c r="AZ329" t="s">
        <v>74</v>
      </c>
      <c r="BA329" t="s">
        <v>74</v>
      </c>
      <c r="BB329">
        <v>63</v>
      </c>
      <c r="BC329">
        <v>74</v>
      </c>
      <c r="BD329" t="s">
        <v>74</v>
      </c>
      <c r="BE329" t="s">
        <v>6620</v>
      </c>
      <c r="BF329" t="str">
        <f>HYPERLINK("http://dx.doi.org/10.1016/j.marmicro.2016.02.004","http://dx.doi.org/10.1016/j.marmicro.2016.02.004")</f>
        <v>http://dx.doi.org/10.1016/j.marmicro.2016.02.004</v>
      </c>
      <c r="BG329" t="s">
        <v>74</v>
      </c>
      <c r="BH329" t="s">
        <v>74</v>
      </c>
      <c r="BI329">
        <v>12</v>
      </c>
      <c r="BJ329" t="s">
        <v>2265</v>
      </c>
      <c r="BK329" t="s">
        <v>102</v>
      </c>
      <c r="BL329" t="s">
        <v>2265</v>
      </c>
      <c r="BM329" t="s">
        <v>6603</v>
      </c>
      <c r="BN329" t="s">
        <v>74</v>
      </c>
      <c r="BO329" t="s">
        <v>74</v>
      </c>
      <c r="BP329" t="s">
        <v>74</v>
      </c>
      <c r="BQ329" t="s">
        <v>74</v>
      </c>
      <c r="BR329" t="s">
        <v>106</v>
      </c>
      <c r="BS329" t="s">
        <v>6621</v>
      </c>
      <c r="BT329" t="str">
        <f>HYPERLINK("https%3A%2F%2Fwww.webofscience.com%2Fwos%2Fwoscc%2Ffull-record%2FWOS:000375737500006","View Full Record in Web of Science")</f>
        <v>View Full Record in Web of Science</v>
      </c>
    </row>
    <row r="330" spans="1:72" x14ac:dyDescent="0.15">
      <c r="A330" t="s">
        <v>72</v>
      </c>
      <c r="B330" t="s">
        <v>6622</v>
      </c>
      <c r="C330" t="s">
        <v>74</v>
      </c>
      <c r="D330" t="s">
        <v>74</v>
      </c>
      <c r="E330" t="s">
        <v>74</v>
      </c>
      <c r="F330" t="s">
        <v>6623</v>
      </c>
      <c r="G330" t="s">
        <v>74</v>
      </c>
      <c r="H330" t="s">
        <v>74</v>
      </c>
      <c r="I330" t="s">
        <v>6624</v>
      </c>
      <c r="J330" t="s">
        <v>6625</v>
      </c>
      <c r="K330" t="s">
        <v>74</v>
      </c>
      <c r="L330" t="s">
        <v>74</v>
      </c>
      <c r="M330" t="s">
        <v>78</v>
      </c>
      <c r="N330" t="s">
        <v>79</v>
      </c>
      <c r="O330" t="s">
        <v>74</v>
      </c>
      <c r="P330" t="s">
        <v>74</v>
      </c>
      <c r="Q330" t="s">
        <v>74</v>
      </c>
      <c r="R330" t="s">
        <v>74</v>
      </c>
      <c r="S330" t="s">
        <v>74</v>
      </c>
      <c r="T330" t="s">
        <v>6626</v>
      </c>
      <c r="U330" t="s">
        <v>6627</v>
      </c>
      <c r="V330" t="s">
        <v>6628</v>
      </c>
      <c r="W330" t="s">
        <v>6629</v>
      </c>
      <c r="X330" t="s">
        <v>6630</v>
      </c>
      <c r="Y330" t="s">
        <v>6631</v>
      </c>
      <c r="Z330" t="s">
        <v>6632</v>
      </c>
      <c r="AA330" t="s">
        <v>74</v>
      </c>
      <c r="AB330" t="s">
        <v>74</v>
      </c>
      <c r="AC330" t="s">
        <v>74</v>
      </c>
      <c r="AD330" t="s">
        <v>74</v>
      </c>
      <c r="AE330" t="s">
        <v>74</v>
      </c>
      <c r="AF330" t="s">
        <v>74</v>
      </c>
      <c r="AG330">
        <v>58</v>
      </c>
      <c r="AH330">
        <v>0</v>
      </c>
      <c r="AI330">
        <v>0</v>
      </c>
      <c r="AJ330">
        <v>0</v>
      </c>
      <c r="AK330">
        <v>0</v>
      </c>
      <c r="AL330" t="s">
        <v>6633</v>
      </c>
      <c r="AM330" t="s">
        <v>911</v>
      </c>
      <c r="AN330" t="s">
        <v>6634</v>
      </c>
      <c r="AO330" t="s">
        <v>6635</v>
      </c>
      <c r="AP330" t="s">
        <v>74</v>
      </c>
      <c r="AQ330" t="s">
        <v>74</v>
      </c>
      <c r="AR330" t="s">
        <v>6636</v>
      </c>
      <c r="AS330" t="s">
        <v>6637</v>
      </c>
      <c r="AT330" t="s">
        <v>6000</v>
      </c>
      <c r="AU330">
        <v>2016</v>
      </c>
      <c r="AV330">
        <v>280</v>
      </c>
      <c r="AW330">
        <v>1</v>
      </c>
      <c r="AX330" t="s">
        <v>74</v>
      </c>
      <c r="AY330" t="s">
        <v>74</v>
      </c>
      <c r="AZ330" t="s">
        <v>74</v>
      </c>
      <c r="BA330" t="s">
        <v>74</v>
      </c>
      <c r="BB330">
        <v>7</v>
      </c>
      <c r="BC330">
        <v>21</v>
      </c>
      <c r="BD330" t="s">
        <v>74</v>
      </c>
      <c r="BE330" t="s">
        <v>6638</v>
      </c>
      <c r="BF330" t="str">
        <f>HYPERLINK("http://dx.doi.org/10.1127/njgpa/2016/0561","http://dx.doi.org/10.1127/njgpa/2016/0561")</f>
        <v>http://dx.doi.org/10.1127/njgpa/2016/0561</v>
      </c>
      <c r="BG330" t="s">
        <v>74</v>
      </c>
      <c r="BH330" t="s">
        <v>74</v>
      </c>
      <c r="BI330">
        <v>15</v>
      </c>
      <c r="BJ330" t="s">
        <v>2265</v>
      </c>
      <c r="BK330" t="s">
        <v>102</v>
      </c>
      <c r="BL330" t="s">
        <v>2265</v>
      </c>
      <c r="BM330" t="s">
        <v>6639</v>
      </c>
      <c r="BN330" t="s">
        <v>74</v>
      </c>
      <c r="BO330" t="s">
        <v>74</v>
      </c>
      <c r="BP330" t="s">
        <v>74</v>
      </c>
      <c r="BQ330" t="s">
        <v>74</v>
      </c>
      <c r="BR330" t="s">
        <v>106</v>
      </c>
      <c r="BS330" t="s">
        <v>6640</v>
      </c>
      <c r="BT330" t="str">
        <f>HYPERLINK("https%3A%2F%2Fwww.webofscience.com%2Fwos%2Fwoscc%2Ffull-record%2FWOS:000374569700002","View Full Record in Web of Science")</f>
        <v>View Full Record in Web of Science</v>
      </c>
    </row>
    <row r="331" spans="1:72" x14ac:dyDescent="0.15">
      <c r="A331" t="s">
        <v>72</v>
      </c>
      <c r="B331" t="s">
        <v>6641</v>
      </c>
      <c r="C331" t="s">
        <v>74</v>
      </c>
      <c r="D331" t="s">
        <v>74</v>
      </c>
      <c r="E331" t="s">
        <v>74</v>
      </c>
      <c r="F331" t="s">
        <v>6642</v>
      </c>
      <c r="G331" t="s">
        <v>74</v>
      </c>
      <c r="H331" t="s">
        <v>74</v>
      </c>
      <c r="I331" t="s">
        <v>6643</v>
      </c>
      <c r="J331" t="s">
        <v>6644</v>
      </c>
      <c r="K331" t="s">
        <v>74</v>
      </c>
      <c r="L331" t="s">
        <v>74</v>
      </c>
      <c r="M331" t="s">
        <v>78</v>
      </c>
      <c r="N331" t="s">
        <v>79</v>
      </c>
      <c r="O331" t="s">
        <v>74</v>
      </c>
      <c r="P331" t="s">
        <v>74</v>
      </c>
      <c r="Q331" t="s">
        <v>74</v>
      </c>
      <c r="R331" t="s">
        <v>74</v>
      </c>
      <c r="S331" t="s">
        <v>74</v>
      </c>
      <c r="T331" t="s">
        <v>74</v>
      </c>
      <c r="U331" t="s">
        <v>6645</v>
      </c>
      <c r="V331" t="s">
        <v>6646</v>
      </c>
      <c r="W331" t="s">
        <v>6647</v>
      </c>
      <c r="X331" t="s">
        <v>6648</v>
      </c>
      <c r="Y331" t="s">
        <v>6649</v>
      </c>
      <c r="Z331" t="s">
        <v>6650</v>
      </c>
      <c r="AA331" t="s">
        <v>74</v>
      </c>
      <c r="AB331" t="s">
        <v>74</v>
      </c>
      <c r="AC331" t="s">
        <v>74</v>
      </c>
      <c r="AD331" t="s">
        <v>74</v>
      </c>
      <c r="AE331" t="s">
        <v>74</v>
      </c>
      <c r="AF331" t="s">
        <v>74</v>
      </c>
      <c r="AG331">
        <v>50</v>
      </c>
      <c r="AH331">
        <v>27</v>
      </c>
      <c r="AI331">
        <v>37</v>
      </c>
      <c r="AJ331">
        <v>1</v>
      </c>
      <c r="AK331">
        <v>8</v>
      </c>
      <c r="AL331" t="s">
        <v>124</v>
      </c>
      <c r="AM331" t="s">
        <v>125</v>
      </c>
      <c r="AN331" t="s">
        <v>126</v>
      </c>
      <c r="AO331" t="s">
        <v>6651</v>
      </c>
      <c r="AP331" t="s">
        <v>6652</v>
      </c>
      <c r="AQ331" t="s">
        <v>74</v>
      </c>
      <c r="AR331" t="s">
        <v>6653</v>
      </c>
      <c r="AS331" t="s">
        <v>6654</v>
      </c>
      <c r="AT331" t="s">
        <v>6000</v>
      </c>
      <c r="AU331">
        <v>2016</v>
      </c>
      <c r="AV331">
        <v>22</v>
      </c>
      <c r="AW331" t="s">
        <v>74</v>
      </c>
      <c r="AX331" t="s">
        <v>74</v>
      </c>
      <c r="AY331">
        <v>1</v>
      </c>
      <c r="AZ331" t="s">
        <v>589</v>
      </c>
      <c r="BA331" t="s">
        <v>74</v>
      </c>
      <c r="BB331">
        <v>27</v>
      </c>
      <c r="BC331">
        <v>45</v>
      </c>
      <c r="BD331" t="s">
        <v>74</v>
      </c>
      <c r="BE331" t="s">
        <v>6655</v>
      </c>
      <c r="BF331" t="str">
        <f>HYPERLINK("http://dx.doi.org/10.1111/1467-9655.12392","http://dx.doi.org/10.1111/1467-9655.12392")</f>
        <v>http://dx.doi.org/10.1111/1467-9655.12392</v>
      </c>
      <c r="BG331" t="s">
        <v>74</v>
      </c>
      <c r="BH331" t="s">
        <v>74</v>
      </c>
      <c r="BI331">
        <v>19</v>
      </c>
      <c r="BJ331" t="s">
        <v>6656</v>
      </c>
      <c r="BK331" t="s">
        <v>687</v>
      </c>
      <c r="BL331" t="s">
        <v>6656</v>
      </c>
      <c r="BM331" t="s">
        <v>6657</v>
      </c>
      <c r="BN331" t="s">
        <v>74</v>
      </c>
      <c r="BO331" t="s">
        <v>420</v>
      </c>
      <c r="BP331" t="s">
        <v>74</v>
      </c>
      <c r="BQ331" t="s">
        <v>74</v>
      </c>
      <c r="BR331" t="s">
        <v>106</v>
      </c>
      <c r="BS331" t="s">
        <v>6658</v>
      </c>
      <c r="BT331" t="str">
        <f>HYPERLINK("https%3A%2F%2Fwww.webofscience.com%2Fwos%2Fwoscc%2Ffull-record%2FWOS:000374320900002","View Full Record in Web of Science")</f>
        <v>View Full Record in Web of Science</v>
      </c>
    </row>
    <row r="332" spans="1:72" x14ac:dyDescent="0.15">
      <c r="A332" t="s">
        <v>72</v>
      </c>
      <c r="B332" t="s">
        <v>6659</v>
      </c>
      <c r="C332" t="s">
        <v>74</v>
      </c>
      <c r="D332" t="s">
        <v>74</v>
      </c>
      <c r="E332" t="s">
        <v>74</v>
      </c>
      <c r="F332" t="s">
        <v>6660</v>
      </c>
      <c r="G332" t="s">
        <v>74</v>
      </c>
      <c r="H332" t="s">
        <v>74</v>
      </c>
      <c r="I332" t="s">
        <v>6661</v>
      </c>
      <c r="J332" t="s">
        <v>2782</v>
      </c>
      <c r="K332" t="s">
        <v>74</v>
      </c>
      <c r="L332" t="s">
        <v>74</v>
      </c>
      <c r="M332" t="s">
        <v>78</v>
      </c>
      <c r="N332" t="s">
        <v>79</v>
      </c>
      <c r="O332" t="s">
        <v>74</v>
      </c>
      <c r="P332" t="s">
        <v>74</v>
      </c>
      <c r="Q332" t="s">
        <v>74</v>
      </c>
      <c r="R332" t="s">
        <v>74</v>
      </c>
      <c r="S332" t="s">
        <v>74</v>
      </c>
      <c r="T332" t="s">
        <v>74</v>
      </c>
      <c r="U332" t="s">
        <v>6662</v>
      </c>
      <c r="V332" t="s">
        <v>6663</v>
      </c>
      <c r="W332" t="s">
        <v>6664</v>
      </c>
      <c r="X332" t="s">
        <v>6665</v>
      </c>
      <c r="Y332" t="s">
        <v>6666</v>
      </c>
      <c r="Z332" t="s">
        <v>6667</v>
      </c>
      <c r="AA332" t="s">
        <v>6668</v>
      </c>
      <c r="AB332" t="s">
        <v>74</v>
      </c>
      <c r="AC332" t="s">
        <v>6669</v>
      </c>
      <c r="AD332" t="s">
        <v>6670</v>
      </c>
      <c r="AE332" t="s">
        <v>6671</v>
      </c>
      <c r="AF332" t="s">
        <v>74</v>
      </c>
      <c r="AG332">
        <v>76</v>
      </c>
      <c r="AH332">
        <v>9</v>
      </c>
      <c r="AI332">
        <v>10</v>
      </c>
      <c r="AJ332">
        <v>0</v>
      </c>
      <c r="AK332">
        <v>42</v>
      </c>
      <c r="AL332" t="s">
        <v>124</v>
      </c>
      <c r="AM332" t="s">
        <v>125</v>
      </c>
      <c r="AN332" t="s">
        <v>126</v>
      </c>
      <c r="AO332" t="s">
        <v>2794</v>
      </c>
      <c r="AP332" t="s">
        <v>74</v>
      </c>
      <c r="AQ332" t="s">
        <v>74</v>
      </c>
      <c r="AR332" t="s">
        <v>2795</v>
      </c>
      <c r="AS332" t="s">
        <v>2796</v>
      </c>
      <c r="AT332" t="s">
        <v>6000</v>
      </c>
      <c r="AU332">
        <v>2016</v>
      </c>
      <c r="AV332">
        <v>14</v>
      </c>
      <c r="AW332">
        <v>4</v>
      </c>
      <c r="AX332" t="s">
        <v>74</v>
      </c>
      <c r="AY332" t="s">
        <v>74</v>
      </c>
      <c r="AZ332" t="s">
        <v>74</v>
      </c>
      <c r="BA332" t="s">
        <v>74</v>
      </c>
      <c r="BB332">
        <v>231</v>
      </c>
      <c r="BC332">
        <v>244</v>
      </c>
      <c r="BD332" t="s">
        <v>74</v>
      </c>
      <c r="BE332" t="s">
        <v>6672</v>
      </c>
      <c r="BF332" t="str">
        <f>HYPERLINK("http://dx.doi.org/10.1002/lom3.10084","http://dx.doi.org/10.1002/lom3.10084")</f>
        <v>http://dx.doi.org/10.1002/lom3.10084</v>
      </c>
      <c r="BG332" t="s">
        <v>74</v>
      </c>
      <c r="BH332" t="s">
        <v>74</v>
      </c>
      <c r="BI332">
        <v>14</v>
      </c>
      <c r="BJ332" t="s">
        <v>2798</v>
      </c>
      <c r="BK332" t="s">
        <v>102</v>
      </c>
      <c r="BL332" t="s">
        <v>2738</v>
      </c>
      <c r="BM332" t="s">
        <v>6673</v>
      </c>
      <c r="BN332" t="s">
        <v>74</v>
      </c>
      <c r="BO332" t="s">
        <v>420</v>
      </c>
      <c r="BP332" t="s">
        <v>74</v>
      </c>
      <c r="BQ332" t="s">
        <v>74</v>
      </c>
      <c r="BR332" t="s">
        <v>106</v>
      </c>
      <c r="BS332" t="s">
        <v>6674</v>
      </c>
      <c r="BT332" t="str">
        <f>HYPERLINK("https%3A%2F%2Fwww.webofscience.com%2Fwos%2Fwoscc%2Ffull-record%2FWOS:000374774300001","View Full Record in Web of Science")</f>
        <v>View Full Record in Web of Science</v>
      </c>
    </row>
    <row r="333" spans="1:72" x14ac:dyDescent="0.15">
      <c r="A333" t="s">
        <v>72</v>
      </c>
      <c r="B333" t="s">
        <v>6675</v>
      </c>
      <c r="C333" t="s">
        <v>74</v>
      </c>
      <c r="D333" t="s">
        <v>74</v>
      </c>
      <c r="E333" t="s">
        <v>74</v>
      </c>
      <c r="F333" t="s">
        <v>6676</v>
      </c>
      <c r="G333" t="s">
        <v>74</v>
      </c>
      <c r="H333" t="s">
        <v>74</v>
      </c>
      <c r="I333" t="s">
        <v>6677</v>
      </c>
      <c r="J333" t="s">
        <v>6678</v>
      </c>
      <c r="K333" t="s">
        <v>74</v>
      </c>
      <c r="L333" t="s">
        <v>74</v>
      </c>
      <c r="M333" t="s">
        <v>78</v>
      </c>
      <c r="N333" t="s">
        <v>949</v>
      </c>
      <c r="O333" t="s">
        <v>74</v>
      </c>
      <c r="P333" t="s">
        <v>74</v>
      </c>
      <c r="Q333" t="s">
        <v>74</v>
      </c>
      <c r="R333" t="s">
        <v>74</v>
      </c>
      <c r="S333" t="s">
        <v>74</v>
      </c>
      <c r="T333" t="s">
        <v>6679</v>
      </c>
      <c r="U333" t="s">
        <v>6680</v>
      </c>
      <c r="V333" t="s">
        <v>6681</v>
      </c>
      <c r="W333" t="s">
        <v>6682</v>
      </c>
      <c r="X333" t="s">
        <v>6683</v>
      </c>
      <c r="Y333" t="s">
        <v>6684</v>
      </c>
      <c r="Z333" t="s">
        <v>6685</v>
      </c>
      <c r="AA333" t="s">
        <v>6686</v>
      </c>
      <c r="AB333" t="s">
        <v>6687</v>
      </c>
      <c r="AC333" t="s">
        <v>6688</v>
      </c>
      <c r="AD333" t="s">
        <v>6688</v>
      </c>
      <c r="AE333" t="s">
        <v>6689</v>
      </c>
      <c r="AF333" t="s">
        <v>74</v>
      </c>
      <c r="AG333">
        <v>52</v>
      </c>
      <c r="AH333">
        <v>28</v>
      </c>
      <c r="AI333">
        <v>29</v>
      </c>
      <c r="AJ333">
        <v>1</v>
      </c>
      <c r="AK333">
        <v>20</v>
      </c>
      <c r="AL333" t="s">
        <v>2577</v>
      </c>
      <c r="AM333" t="s">
        <v>2578</v>
      </c>
      <c r="AN333" t="s">
        <v>2579</v>
      </c>
      <c r="AO333" t="s">
        <v>74</v>
      </c>
      <c r="AP333" t="s">
        <v>6690</v>
      </c>
      <c r="AQ333" t="s">
        <v>74</v>
      </c>
      <c r="AR333" t="s">
        <v>6678</v>
      </c>
      <c r="AS333" t="s">
        <v>6691</v>
      </c>
      <c r="AT333" t="s">
        <v>6000</v>
      </c>
      <c r="AU333">
        <v>2016</v>
      </c>
      <c r="AV333">
        <v>21</v>
      </c>
      <c r="AW333">
        <v>4</v>
      </c>
      <c r="AX333" t="s">
        <v>74</v>
      </c>
      <c r="AY333" t="s">
        <v>74</v>
      </c>
      <c r="AZ333" t="s">
        <v>74</v>
      </c>
      <c r="BA333" t="s">
        <v>74</v>
      </c>
      <c r="BB333" t="s">
        <v>74</v>
      </c>
      <c r="BC333" t="s">
        <v>74</v>
      </c>
      <c r="BD333">
        <v>447</v>
      </c>
      <c r="BE333" t="s">
        <v>6692</v>
      </c>
      <c r="BF333" t="str">
        <f>HYPERLINK("http://dx.doi.org/10.3390/molecules21040447","http://dx.doi.org/10.3390/molecules21040447")</f>
        <v>http://dx.doi.org/10.3390/molecules21040447</v>
      </c>
      <c r="BG333" t="s">
        <v>74</v>
      </c>
      <c r="BH333" t="s">
        <v>74</v>
      </c>
      <c r="BI333">
        <v>13</v>
      </c>
      <c r="BJ333" t="s">
        <v>6693</v>
      </c>
      <c r="BK333" t="s">
        <v>102</v>
      </c>
      <c r="BL333" t="s">
        <v>6694</v>
      </c>
      <c r="BM333" t="s">
        <v>6695</v>
      </c>
      <c r="BN333">
        <v>27058517</v>
      </c>
      <c r="BO333" t="s">
        <v>2606</v>
      </c>
      <c r="BP333" t="s">
        <v>74</v>
      </c>
      <c r="BQ333" t="s">
        <v>74</v>
      </c>
      <c r="BR333" t="s">
        <v>106</v>
      </c>
      <c r="BS333" t="s">
        <v>6696</v>
      </c>
      <c r="BT333" t="str">
        <f>HYPERLINK("https%3A%2F%2Fwww.webofscience.com%2Fwos%2Fwoscc%2Ffull-record%2FWOS:000375155000060","View Full Record in Web of Science")</f>
        <v>View Full Record in Web of Science</v>
      </c>
    </row>
    <row r="334" spans="1:72" x14ac:dyDescent="0.15">
      <c r="A334" t="s">
        <v>72</v>
      </c>
      <c r="B334" t="s">
        <v>6697</v>
      </c>
      <c r="C334" t="s">
        <v>74</v>
      </c>
      <c r="D334" t="s">
        <v>74</v>
      </c>
      <c r="E334" t="s">
        <v>74</v>
      </c>
      <c r="F334" t="s">
        <v>6698</v>
      </c>
      <c r="G334" t="s">
        <v>74</v>
      </c>
      <c r="H334" t="s">
        <v>74</v>
      </c>
      <c r="I334" t="s">
        <v>6699</v>
      </c>
      <c r="J334" t="s">
        <v>6700</v>
      </c>
      <c r="K334" t="s">
        <v>74</v>
      </c>
      <c r="L334" t="s">
        <v>74</v>
      </c>
      <c r="M334" t="s">
        <v>78</v>
      </c>
      <c r="N334" t="s">
        <v>79</v>
      </c>
      <c r="O334" t="s">
        <v>74</v>
      </c>
      <c r="P334" t="s">
        <v>74</v>
      </c>
      <c r="Q334" t="s">
        <v>74</v>
      </c>
      <c r="R334" t="s">
        <v>74</v>
      </c>
      <c r="S334" t="s">
        <v>74</v>
      </c>
      <c r="T334" t="s">
        <v>6701</v>
      </c>
      <c r="U334" t="s">
        <v>6702</v>
      </c>
      <c r="V334" t="s">
        <v>6703</v>
      </c>
      <c r="W334" t="s">
        <v>6704</v>
      </c>
      <c r="X334" t="s">
        <v>6705</v>
      </c>
      <c r="Y334" t="s">
        <v>6706</v>
      </c>
      <c r="Z334" t="s">
        <v>6707</v>
      </c>
      <c r="AA334" t="s">
        <v>6708</v>
      </c>
      <c r="AB334" t="s">
        <v>74</v>
      </c>
      <c r="AC334" t="s">
        <v>6709</v>
      </c>
      <c r="AD334" t="s">
        <v>6710</v>
      </c>
      <c r="AE334" t="s">
        <v>6711</v>
      </c>
      <c r="AF334" t="s">
        <v>74</v>
      </c>
      <c r="AG334">
        <v>15</v>
      </c>
      <c r="AH334">
        <v>0</v>
      </c>
      <c r="AI334">
        <v>0</v>
      </c>
      <c r="AJ334">
        <v>0</v>
      </c>
      <c r="AK334">
        <v>5</v>
      </c>
      <c r="AL334" t="s">
        <v>6712</v>
      </c>
      <c r="AM334" t="s">
        <v>6713</v>
      </c>
      <c r="AN334" t="s">
        <v>6714</v>
      </c>
      <c r="AO334" t="s">
        <v>6715</v>
      </c>
      <c r="AP334" t="s">
        <v>74</v>
      </c>
      <c r="AQ334" t="s">
        <v>74</v>
      </c>
      <c r="AR334" t="s">
        <v>6716</v>
      </c>
      <c r="AS334" t="s">
        <v>6717</v>
      </c>
      <c r="AT334" t="s">
        <v>6000</v>
      </c>
      <c r="AU334">
        <v>2016</v>
      </c>
      <c r="AV334">
        <v>48</v>
      </c>
      <c r="AW334">
        <v>2</v>
      </c>
      <c r="AX334" t="s">
        <v>74</v>
      </c>
      <c r="AY334" t="s">
        <v>74</v>
      </c>
      <c r="AZ334" t="s">
        <v>74</v>
      </c>
      <c r="BA334" t="s">
        <v>74</v>
      </c>
      <c r="BB334">
        <v>293</v>
      </c>
      <c r="BC334">
        <v>298</v>
      </c>
      <c r="BD334" t="s">
        <v>74</v>
      </c>
      <c r="BE334" t="s">
        <v>6718</v>
      </c>
      <c r="BF334" t="str">
        <f>HYPERLINK("http://dx.doi.org/10.1016/j.net.2016.02.004","http://dx.doi.org/10.1016/j.net.2016.02.004")</f>
        <v>http://dx.doi.org/10.1016/j.net.2016.02.004</v>
      </c>
      <c r="BG334" t="s">
        <v>74</v>
      </c>
      <c r="BH334" t="s">
        <v>74</v>
      </c>
      <c r="BI334">
        <v>6</v>
      </c>
      <c r="BJ334" t="s">
        <v>6719</v>
      </c>
      <c r="BK334" t="s">
        <v>102</v>
      </c>
      <c r="BL334" t="s">
        <v>6719</v>
      </c>
      <c r="BM334" t="s">
        <v>6720</v>
      </c>
      <c r="BN334" t="s">
        <v>74</v>
      </c>
      <c r="BO334" t="s">
        <v>1684</v>
      </c>
      <c r="BP334" t="s">
        <v>74</v>
      </c>
      <c r="BQ334" t="s">
        <v>74</v>
      </c>
      <c r="BR334" t="s">
        <v>106</v>
      </c>
      <c r="BS334" t="s">
        <v>6721</v>
      </c>
      <c r="BT334" t="str">
        <f>HYPERLINK("https%3A%2F%2Fwww.webofscience.com%2Fwos%2Fwoscc%2Ffull-record%2FWOS:000375141000002","View Full Record in Web of Science")</f>
        <v>View Full Record in Web of Science</v>
      </c>
    </row>
    <row r="335" spans="1:72" x14ac:dyDescent="0.15">
      <c r="A335" t="s">
        <v>72</v>
      </c>
      <c r="B335" t="s">
        <v>6722</v>
      </c>
      <c r="C335" t="s">
        <v>74</v>
      </c>
      <c r="D335" t="s">
        <v>74</v>
      </c>
      <c r="E335" t="s">
        <v>74</v>
      </c>
      <c r="F335" t="s">
        <v>6723</v>
      </c>
      <c r="G335" t="s">
        <v>74</v>
      </c>
      <c r="H335" t="s">
        <v>74</v>
      </c>
      <c r="I335" t="s">
        <v>6724</v>
      </c>
      <c r="J335" t="s">
        <v>3144</v>
      </c>
      <c r="K335" t="s">
        <v>74</v>
      </c>
      <c r="L335" t="s">
        <v>74</v>
      </c>
      <c r="M335" t="s">
        <v>78</v>
      </c>
      <c r="N335" t="s">
        <v>949</v>
      </c>
      <c r="O335" t="s">
        <v>74</v>
      </c>
      <c r="P335" t="s">
        <v>74</v>
      </c>
      <c r="Q335" t="s">
        <v>74</v>
      </c>
      <c r="R335" t="s">
        <v>74</v>
      </c>
      <c r="S335" t="s">
        <v>74</v>
      </c>
      <c r="T335" t="s">
        <v>74</v>
      </c>
      <c r="U335" t="s">
        <v>6725</v>
      </c>
      <c r="V335" t="s">
        <v>6726</v>
      </c>
      <c r="W335" t="s">
        <v>6727</v>
      </c>
      <c r="X335" t="s">
        <v>6728</v>
      </c>
      <c r="Y335" t="s">
        <v>6729</v>
      </c>
      <c r="Z335" t="s">
        <v>74</v>
      </c>
      <c r="AA335" t="s">
        <v>6730</v>
      </c>
      <c r="AB335" t="s">
        <v>6731</v>
      </c>
      <c r="AC335" t="s">
        <v>6732</v>
      </c>
      <c r="AD335" t="s">
        <v>6733</v>
      </c>
      <c r="AE335" t="s">
        <v>6734</v>
      </c>
      <c r="AF335" t="s">
        <v>74</v>
      </c>
      <c r="AG335">
        <v>59</v>
      </c>
      <c r="AH335">
        <v>6</v>
      </c>
      <c r="AI335">
        <v>6</v>
      </c>
      <c r="AJ335">
        <v>2</v>
      </c>
      <c r="AK335">
        <v>29</v>
      </c>
      <c r="AL335" t="s">
        <v>1829</v>
      </c>
      <c r="AM335" t="s">
        <v>679</v>
      </c>
      <c r="AN335" t="s">
        <v>1830</v>
      </c>
      <c r="AO335" t="s">
        <v>3155</v>
      </c>
      <c r="AP335" t="s">
        <v>74</v>
      </c>
      <c r="AQ335" t="s">
        <v>74</v>
      </c>
      <c r="AR335" t="s">
        <v>3156</v>
      </c>
      <c r="AS335" t="s">
        <v>3157</v>
      </c>
      <c r="AT335" t="s">
        <v>6000</v>
      </c>
      <c r="AU335">
        <v>2016</v>
      </c>
      <c r="AV335">
        <v>143</v>
      </c>
      <c r="AW335" t="s">
        <v>74</v>
      </c>
      <c r="AX335" t="s">
        <v>74</v>
      </c>
      <c r="AY335" t="s">
        <v>74</v>
      </c>
      <c r="AZ335" t="s">
        <v>74</v>
      </c>
      <c r="BA335" t="s">
        <v>74</v>
      </c>
      <c r="BB335">
        <v>46</v>
      </c>
      <c r="BC335">
        <v>81</v>
      </c>
      <c r="BD335" t="s">
        <v>74</v>
      </c>
      <c r="BE335" t="s">
        <v>6735</v>
      </c>
      <c r="BF335" t="str">
        <f>HYPERLINK("http://dx.doi.org/10.1016/j.pocean.2016.01.001","http://dx.doi.org/10.1016/j.pocean.2016.01.001")</f>
        <v>http://dx.doi.org/10.1016/j.pocean.2016.01.001</v>
      </c>
      <c r="BG335" t="s">
        <v>74</v>
      </c>
      <c r="BH335" t="s">
        <v>74</v>
      </c>
      <c r="BI335">
        <v>36</v>
      </c>
      <c r="BJ335" t="s">
        <v>361</v>
      </c>
      <c r="BK335" t="s">
        <v>102</v>
      </c>
      <c r="BL335" t="s">
        <v>361</v>
      </c>
      <c r="BM335" t="s">
        <v>6736</v>
      </c>
      <c r="BN335" t="s">
        <v>74</v>
      </c>
      <c r="BO335" t="s">
        <v>222</v>
      </c>
      <c r="BP335" t="s">
        <v>74</v>
      </c>
      <c r="BQ335" t="s">
        <v>74</v>
      </c>
      <c r="BR335" t="s">
        <v>106</v>
      </c>
      <c r="BS335" t="s">
        <v>6737</v>
      </c>
      <c r="BT335" t="str">
        <f>HYPERLINK("https%3A%2F%2Fwww.webofscience.com%2Fwos%2Fwoscc%2Ffull-record%2FWOS:000374919000004","View Full Record in Web of Science")</f>
        <v>View Full Record in Web of Science</v>
      </c>
    </row>
    <row r="336" spans="1:72" x14ac:dyDescent="0.15">
      <c r="A336" t="s">
        <v>72</v>
      </c>
      <c r="B336" t="s">
        <v>6738</v>
      </c>
      <c r="C336" t="s">
        <v>74</v>
      </c>
      <c r="D336" t="s">
        <v>74</v>
      </c>
      <c r="E336" t="s">
        <v>74</v>
      </c>
      <c r="F336" t="s">
        <v>6739</v>
      </c>
      <c r="G336" t="s">
        <v>74</v>
      </c>
      <c r="H336" t="s">
        <v>74</v>
      </c>
      <c r="I336" t="s">
        <v>6740</v>
      </c>
      <c r="J336" t="s">
        <v>6741</v>
      </c>
      <c r="K336" t="s">
        <v>74</v>
      </c>
      <c r="L336" t="s">
        <v>74</v>
      </c>
      <c r="M336" t="s">
        <v>78</v>
      </c>
      <c r="N336" t="s">
        <v>79</v>
      </c>
      <c r="O336" t="s">
        <v>74</v>
      </c>
      <c r="P336" t="s">
        <v>74</v>
      </c>
      <c r="Q336" t="s">
        <v>74</v>
      </c>
      <c r="R336" t="s">
        <v>74</v>
      </c>
      <c r="S336" t="s">
        <v>74</v>
      </c>
      <c r="T336" t="s">
        <v>6742</v>
      </c>
      <c r="U336" t="s">
        <v>6743</v>
      </c>
      <c r="V336" t="s">
        <v>6744</v>
      </c>
      <c r="W336" t="s">
        <v>6745</v>
      </c>
      <c r="X336" t="s">
        <v>3192</v>
      </c>
      <c r="Y336" t="s">
        <v>6746</v>
      </c>
      <c r="Z336" t="s">
        <v>6747</v>
      </c>
      <c r="AA336" t="s">
        <v>74</v>
      </c>
      <c r="AB336" t="s">
        <v>6748</v>
      </c>
      <c r="AC336" t="s">
        <v>6749</v>
      </c>
      <c r="AD336" t="s">
        <v>6750</v>
      </c>
      <c r="AE336" t="s">
        <v>6751</v>
      </c>
      <c r="AF336" t="s">
        <v>74</v>
      </c>
      <c r="AG336">
        <v>80</v>
      </c>
      <c r="AH336">
        <v>19</v>
      </c>
      <c r="AI336">
        <v>19</v>
      </c>
      <c r="AJ336">
        <v>1</v>
      </c>
      <c r="AK336">
        <v>7</v>
      </c>
      <c r="AL336" t="s">
        <v>626</v>
      </c>
      <c r="AM336" t="s">
        <v>583</v>
      </c>
      <c r="AN336" t="s">
        <v>627</v>
      </c>
      <c r="AO336" t="s">
        <v>6752</v>
      </c>
      <c r="AP336" t="s">
        <v>6753</v>
      </c>
      <c r="AQ336" t="s">
        <v>74</v>
      </c>
      <c r="AR336" t="s">
        <v>6754</v>
      </c>
      <c r="AS336" t="s">
        <v>6755</v>
      </c>
      <c r="AT336" t="s">
        <v>6000</v>
      </c>
      <c r="AU336">
        <v>2016</v>
      </c>
      <c r="AV336">
        <v>139</v>
      </c>
      <c r="AW336" t="s">
        <v>74</v>
      </c>
      <c r="AX336" t="s">
        <v>74</v>
      </c>
      <c r="AY336" t="s">
        <v>74</v>
      </c>
      <c r="AZ336" t="s">
        <v>74</v>
      </c>
      <c r="BA336" t="s">
        <v>74</v>
      </c>
      <c r="BB336">
        <v>211</v>
      </c>
      <c r="BC336">
        <v>225</v>
      </c>
      <c r="BD336" t="s">
        <v>74</v>
      </c>
      <c r="BE336" t="s">
        <v>6756</v>
      </c>
      <c r="BF336" t="str">
        <f>HYPERLINK("http://dx.doi.org/10.1016/j.gloplacha.2016.03.002","http://dx.doi.org/10.1016/j.gloplacha.2016.03.002")</f>
        <v>http://dx.doi.org/10.1016/j.gloplacha.2016.03.002</v>
      </c>
      <c r="BG336" t="s">
        <v>74</v>
      </c>
      <c r="BH336" t="s">
        <v>74</v>
      </c>
      <c r="BI336">
        <v>15</v>
      </c>
      <c r="BJ336" t="s">
        <v>1904</v>
      </c>
      <c r="BK336" t="s">
        <v>102</v>
      </c>
      <c r="BL336" t="s">
        <v>1905</v>
      </c>
      <c r="BM336" t="s">
        <v>6757</v>
      </c>
      <c r="BN336" t="s">
        <v>74</v>
      </c>
      <c r="BO336" t="s">
        <v>222</v>
      </c>
      <c r="BP336" t="s">
        <v>74</v>
      </c>
      <c r="BQ336" t="s">
        <v>74</v>
      </c>
      <c r="BR336" t="s">
        <v>106</v>
      </c>
      <c r="BS336" t="s">
        <v>6758</v>
      </c>
      <c r="BT336" t="str">
        <f>HYPERLINK("https%3A%2F%2Fwww.webofscience.com%2Fwos%2Fwoscc%2Ffull-record%2FWOS:000374626700018","View Full Record in Web of Science")</f>
        <v>View Full Record in Web of Science</v>
      </c>
    </row>
    <row r="337" spans="1:72" x14ac:dyDescent="0.15">
      <c r="A337" t="s">
        <v>72</v>
      </c>
      <c r="B337" t="s">
        <v>6759</v>
      </c>
      <c r="C337" t="s">
        <v>74</v>
      </c>
      <c r="D337" t="s">
        <v>74</v>
      </c>
      <c r="E337" t="s">
        <v>74</v>
      </c>
      <c r="F337" t="s">
        <v>6760</v>
      </c>
      <c r="G337" t="s">
        <v>74</v>
      </c>
      <c r="H337" t="s">
        <v>74</v>
      </c>
      <c r="I337" t="s">
        <v>6761</v>
      </c>
      <c r="J337" t="s">
        <v>6762</v>
      </c>
      <c r="K337" t="s">
        <v>74</v>
      </c>
      <c r="L337" t="s">
        <v>74</v>
      </c>
      <c r="M337" t="s">
        <v>78</v>
      </c>
      <c r="N337" t="s">
        <v>79</v>
      </c>
      <c r="O337" t="s">
        <v>74</v>
      </c>
      <c r="P337" t="s">
        <v>74</v>
      </c>
      <c r="Q337" t="s">
        <v>74</v>
      </c>
      <c r="R337" t="s">
        <v>74</v>
      </c>
      <c r="S337" t="s">
        <v>74</v>
      </c>
      <c r="T337" t="s">
        <v>74</v>
      </c>
      <c r="U337" t="s">
        <v>6763</v>
      </c>
      <c r="V337" t="s">
        <v>74</v>
      </c>
      <c r="W337" t="s">
        <v>6764</v>
      </c>
      <c r="X337" t="s">
        <v>6765</v>
      </c>
      <c r="Y337" t="s">
        <v>6766</v>
      </c>
      <c r="Z337" t="s">
        <v>6767</v>
      </c>
      <c r="AA337" t="s">
        <v>74</v>
      </c>
      <c r="AB337" t="s">
        <v>6768</v>
      </c>
      <c r="AC337" t="s">
        <v>74</v>
      </c>
      <c r="AD337" t="s">
        <v>74</v>
      </c>
      <c r="AE337" t="s">
        <v>74</v>
      </c>
      <c r="AF337" t="s">
        <v>74</v>
      </c>
      <c r="AG337">
        <v>49</v>
      </c>
      <c r="AH337">
        <v>4</v>
      </c>
      <c r="AI337">
        <v>4</v>
      </c>
      <c r="AJ337">
        <v>0</v>
      </c>
      <c r="AK337">
        <v>9</v>
      </c>
      <c r="AL337" t="s">
        <v>124</v>
      </c>
      <c r="AM337" t="s">
        <v>125</v>
      </c>
      <c r="AN337" t="s">
        <v>126</v>
      </c>
      <c r="AO337" t="s">
        <v>6769</v>
      </c>
      <c r="AP337" t="s">
        <v>6770</v>
      </c>
      <c r="AQ337" t="s">
        <v>74</v>
      </c>
      <c r="AR337" t="s">
        <v>6771</v>
      </c>
      <c r="AS337" t="s">
        <v>6772</v>
      </c>
      <c r="AT337" t="s">
        <v>6000</v>
      </c>
      <c r="AU337">
        <v>2016</v>
      </c>
      <c r="AV337">
        <v>32</v>
      </c>
      <c r="AW337">
        <v>2</v>
      </c>
      <c r="AX337" t="s">
        <v>74</v>
      </c>
      <c r="AY337" t="s">
        <v>74</v>
      </c>
      <c r="AZ337" t="s">
        <v>74</v>
      </c>
      <c r="BA337" t="s">
        <v>74</v>
      </c>
      <c r="BB337">
        <v>743</v>
      </c>
      <c r="BC337">
        <v>752</v>
      </c>
      <c r="BD337" t="s">
        <v>74</v>
      </c>
      <c r="BE337" t="s">
        <v>6773</v>
      </c>
      <c r="BF337" t="str">
        <f>HYPERLINK("http://dx.doi.org/10.1111/mms.12273","http://dx.doi.org/10.1111/mms.12273")</f>
        <v>http://dx.doi.org/10.1111/mms.12273</v>
      </c>
      <c r="BG337" t="s">
        <v>74</v>
      </c>
      <c r="BH337" t="s">
        <v>74</v>
      </c>
      <c r="BI337">
        <v>10</v>
      </c>
      <c r="BJ337" t="s">
        <v>2995</v>
      </c>
      <c r="BK337" t="s">
        <v>102</v>
      </c>
      <c r="BL337" t="s">
        <v>2995</v>
      </c>
      <c r="BM337" t="s">
        <v>6774</v>
      </c>
      <c r="BN337" t="s">
        <v>74</v>
      </c>
      <c r="BO337" t="s">
        <v>74</v>
      </c>
      <c r="BP337" t="s">
        <v>74</v>
      </c>
      <c r="BQ337" t="s">
        <v>74</v>
      </c>
      <c r="BR337" t="s">
        <v>106</v>
      </c>
      <c r="BS337" t="s">
        <v>6775</v>
      </c>
      <c r="BT337" t="str">
        <f>HYPERLINK("https%3A%2F%2Fwww.webofscience.com%2Fwos%2Fwoscc%2Ffull-record%2FWOS:000374349200017","View Full Record in Web of Science")</f>
        <v>View Full Record in Web of Science</v>
      </c>
    </row>
    <row r="338" spans="1:72" x14ac:dyDescent="0.15">
      <c r="A338" t="s">
        <v>72</v>
      </c>
      <c r="B338" t="s">
        <v>6776</v>
      </c>
      <c r="C338" t="s">
        <v>74</v>
      </c>
      <c r="D338" t="s">
        <v>74</v>
      </c>
      <c r="E338" t="s">
        <v>74</v>
      </c>
      <c r="F338" t="s">
        <v>6777</v>
      </c>
      <c r="G338" t="s">
        <v>74</v>
      </c>
      <c r="H338" t="s">
        <v>74</v>
      </c>
      <c r="I338" t="s">
        <v>6778</v>
      </c>
      <c r="J338" t="s">
        <v>6762</v>
      </c>
      <c r="K338" t="s">
        <v>74</v>
      </c>
      <c r="L338" t="s">
        <v>74</v>
      </c>
      <c r="M338" t="s">
        <v>78</v>
      </c>
      <c r="N338" t="s">
        <v>79</v>
      </c>
      <c r="O338" t="s">
        <v>74</v>
      </c>
      <c r="P338" t="s">
        <v>74</v>
      </c>
      <c r="Q338" t="s">
        <v>74</v>
      </c>
      <c r="R338" t="s">
        <v>74</v>
      </c>
      <c r="S338" t="s">
        <v>74</v>
      </c>
      <c r="T338" t="s">
        <v>74</v>
      </c>
      <c r="U338" t="s">
        <v>6779</v>
      </c>
      <c r="V338" t="s">
        <v>74</v>
      </c>
      <c r="W338" t="s">
        <v>6780</v>
      </c>
      <c r="X338" t="s">
        <v>6781</v>
      </c>
      <c r="Y338" t="s">
        <v>6782</v>
      </c>
      <c r="Z338" t="s">
        <v>6783</v>
      </c>
      <c r="AA338" t="s">
        <v>74</v>
      </c>
      <c r="AB338" t="s">
        <v>74</v>
      </c>
      <c r="AC338" t="s">
        <v>6784</v>
      </c>
      <c r="AD338" t="s">
        <v>6785</v>
      </c>
      <c r="AE338" t="s">
        <v>6786</v>
      </c>
      <c r="AF338" t="s">
        <v>74</v>
      </c>
      <c r="AG338">
        <v>35</v>
      </c>
      <c r="AH338">
        <v>7</v>
      </c>
      <c r="AI338">
        <v>7</v>
      </c>
      <c r="AJ338">
        <v>0</v>
      </c>
      <c r="AK338">
        <v>3</v>
      </c>
      <c r="AL338" t="s">
        <v>124</v>
      </c>
      <c r="AM338" t="s">
        <v>125</v>
      </c>
      <c r="AN338" t="s">
        <v>126</v>
      </c>
      <c r="AO338" t="s">
        <v>6769</v>
      </c>
      <c r="AP338" t="s">
        <v>6770</v>
      </c>
      <c r="AQ338" t="s">
        <v>74</v>
      </c>
      <c r="AR338" t="s">
        <v>6771</v>
      </c>
      <c r="AS338" t="s">
        <v>6772</v>
      </c>
      <c r="AT338" t="s">
        <v>6000</v>
      </c>
      <c r="AU338">
        <v>2016</v>
      </c>
      <c r="AV338">
        <v>32</v>
      </c>
      <c r="AW338">
        <v>2</v>
      </c>
      <c r="AX338" t="s">
        <v>74</v>
      </c>
      <c r="AY338" t="s">
        <v>74</v>
      </c>
      <c r="AZ338" t="s">
        <v>74</v>
      </c>
      <c r="BA338" t="s">
        <v>74</v>
      </c>
      <c r="BB338">
        <v>777</v>
      </c>
      <c r="BC338">
        <v>785</v>
      </c>
      <c r="BD338" t="s">
        <v>74</v>
      </c>
      <c r="BE338" t="s">
        <v>6787</v>
      </c>
      <c r="BF338" t="str">
        <f>HYPERLINK("http://dx.doi.org/10.1111/mms.12288","http://dx.doi.org/10.1111/mms.12288")</f>
        <v>http://dx.doi.org/10.1111/mms.12288</v>
      </c>
      <c r="BG338" t="s">
        <v>74</v>
      </c>
      <c r="BH338" t="s">
        <v>74</v>
      </c>
      <c r="BI338">
        <v>9</v>
      </c>
      <c r="BJ338" t="s">
        <v>2995</v>
      </c>
      <c r="BK338" t="s">
        <v>102</v>
      </c>
      <c r="BL338" t="s">
        <v>2995</v>
      </c>
      <c r="BM338" t="s">
        <v>6774</v>
      </c>
      <c r="BN338" t="s">
        <v>74</v>
      </c>
      <c r="BO338" t="s">
        <v>74</v>
      </c>
      <c r="BP338" t="s">
        <v>74</v>
      </c>
      <c r="BQ338" t="s">
        <v>74</v>
      </c>
      <c r="BR338" t="s">
        <v>106</v>
      </c>
      <c r="BS338" t="s">
        <v>6788</v>
      </c>
      <c r="BT338" t="str">
        <f>HYPERLINK("https%3A%2F%2Fwww.webofscience.com%2Fwos%2Fwoscc%2Ffull-record%2FWOS:000374349200020","View Full Record in Web of Science")</f>
        <v>View Full Record in Web of Science</v>
      </c>
    </row>
    <row r="339" spans="1:72" x14ac:dyDescent="0.15">
      <c r="A339" t="s">
        <v>72</v>
      </c>
      <c r="B339" t="s">
        <v>6789</v>
      </c>
      <c r="C339" t="s">
        <v>74</v>
      </c>
      <c r="D339" t="s">
        <v>74</v>
      </c>
      <c r="E339" t="s">
        <v>74</v>
      </c>
      <c r="F339" t="s">
        <v>6790</v>
      </c>
      <c r="G339" t="s">
        <v>74</v>
      </c>
      <c r="H339" t="s">
        <v>74</v>
      </c>
      <c r="I339" t="s">
        <v>6791</v>
      </c>
      <c r="J339" t="s">
        <v>3453</v>
      </c>
      <c r="K339" t="s">
        <v>74</v>
      </c>
      <c r="L339" t="s">
        <v>74</v>
      </c>
      <c r="M339" t="s">
        <v>78</v>
      </c>
      <c r="N339" t="s">
        <v>79</v>
      </c>
      <c r="O339" t="s">
        <v>74</v>
      </c>
      <c r="P339" t="s">
        <v>74</v>
      </c>
      <c r="Q339" t="s">
        <v>74</v>
      </c>
      <c r="R339" t="s">
        <v>74</v>
      </c>
      <c r="S339" t="s">
        <v>74</v>
      </c>
      <c r="T339" t="s">
        <v>6792</v>
      </c>
      <c r="U339" t="s">
        <v>6793</v>
      </c>
      <c r="V339" t="s">
        <v>6794</v>
      </c>
      <c r="W339" t="s">
        <v>6795</v>
      </c>
      <c r="X339" t="s">
        <v>6796</v>
      </c>
      <c r="Y339" t="s">
        <v>6797</v>
      </c>
      <c r="Z339" t="s">
        <v>6798</v>
      </c>
      <c r="AA339" t="s">
        <v>6799</v>
      </c>
      <c r="AB339" t="s">
        <v>6800</v>
      </c>
      <c r="AC339" t="s">
        <v>6801</v>
      </c>
      <c r="AD339" t="s">
        <v>6802</v>
      </c>
      <c r="AE339" t="s">
        <v>6803</v>
      </c>
      <c r="AF339" t="s">
        <v>74</v>
      </c>
      <c r="AG339">
        <v>50</v>
      </c>
      <c r="AH339">
        <v>6</v>
      </c>
      <c r="AI339">
        <v>6</v>
      </c>
      <c r="AJ339">
        <v>1</v>
      </c>
      <c r="AK339">
        <v>17</v>
      </c>
      <c r="AL339" t="s">
        <v>194</v>
      </c>
      <c r="AM339" t="s">
        <v>262</v>
      </c>
      <c r="AN339" t="s">
        <v>2836</v>
      </c>
      <c r="AO339" t="s">
        <v>3466</v>
      </c>
      <c r="AP339" t="s">
        <v>3467</v>
      </c>
      <c r="AQ339" t="s">
        <v>74</v>
      </c>
      <c r="AR339" t="s">
        <v>3468</v>
      </c>
      <c r="AS339" t="s">
        <v>3469</v>
      </c>
      <c r="AT339" t="s">
        <v>6000</v>
      </c>
      <c r="AU339">
        <v>2016</v>
      </c>
      <c r="AV339">
        <v>39</v>
      </c>
      <c r="AW339">
        <v>4</v>
      </c>
      <c r="AX339" t="s">
        <v>74</v>
      </c>
      <c r="AY339" t="s">
        <v>74</v>
      </c>
      <c r="AZ339" t="s">
        <v>74</v>
      </c>
      <c r="BA339" t="s">
        <v>74</v>
      </c>
      <c r="BB339">
        <v>573</v>
      </c>
      <c r="BC339">
        <v>582</v>
      </c>
      <c r="BD339" t="s">
        <v>74</v>
      </c>
      <c r="BE339" t="s">
        <v>6804</v>
      </c>
      <c r="BF339" t="str">
        <f>HYPERLINK("http://dx.doi.org/10.1007/s00300-015-1808-7","http://dx.doi.org/10.1007/s00300-015-1808-7")</f>
        <v>http://dx.doi.org/10.1007/s00300-015-1808-7</v>
      </c>
      <c r="BG339" t="s">
        <v>74</v>
      </c>
      <c r="BH339" t="s">
        <v>74</v>
      </c>
      <c r="BI339">
        <v>10</v>
      </c>
      <c r="BJ339" t="s">
        <v>291</v>
      </c>
      <c r="BK339" t="s">
        <v>102</v>
      </c>
      <c r="BL339" t="s">
        <v>133</v>
      </c>
      <c r="BM339" t="s">
        <v>6805</v>
      </c>
      <c r="BN339" t="s">
        <v>74</v>
      </c>
      <c r="BO339" t="s">
        <v>1143</v>
      </c>
      <c r="BP339" t="s">
        <v>74</v>
      </c>
      <c r="BQ339" t="s">
        <v>74</v>
      </c>
      <c r="BR339" t="s">
        <v>106</v>
      </c>
      <c r="BS339" t="s">
        <v>6806</v>
      </c>
      <c r="BT339" t="str">
        <f>HYPERLINK("https%3A%2F%2Fwww.webofscience.com%2Fwos%2Fwoscc%2Ffull-record%2FWOS:000374662100001","View Full Record in Web of Science")</f>
        <v>View Full Record in Web of Science</v>
      </c>
    </row>
    <row r="340" spans="1:72" x14ac:dyDescent="0.15">
      <c r="A340" t="s">
        <v>72</v>
      </c>
      <c r="B340" t="s">
        <v>6807</v>
      </c>
      <c r="C340" t="s">
        <v>74</v>
      </c>
      <c r="D340" t="s">
        <v>74</v>
      </c>
      <c r="E340" t="s">
        <v>74</v>
      </c>
      <c r="F340" t="s">
        <v>6808</v>
      </c>
      <c r="G340" t="s">
        <v>74</v>
      </c>
      <c r="H340" t="s">
        <v>74</v>
      </c>
      <c r="I340" t="s">
        <v>6809</v>
      </c>
      <c r="J340" t="s">
        <v>3453</v>
      </c>
      <c r="K340" t="s">
        <v>74</v>
      </c>
      <c r="L340" t="s">
        <v>74</v>
      </c>
      <c r="M340" t="s">
        <v>78</v>
      </c>
      <c r="N340" t="s">
        <v>79</v>
      </c>
      <c r="O340" t="s">
        <v>74</v>
      </c>
      <c r="P340" t="s">
        <v>74</v>
      </c>
      <c r="Q340" t="s">
        <v>74</v>
      </c>
      <c r="R340" t="s">
        <v>74</v>
      </c>
      <c r="S340" t="s">
        <v>74</v>
      </c>
      <c r="T340" t="s">
        <v>6810</v>
      </c>
      <c r="U340" t="s">
        <v>6811</v>
      </c>
      <c r="V340" t="s">
        <v>6812</v>
      </c>
      <c r="W340" t="s">
        <v>6813</v>
      </c>
      <c r="X340" t="s">
        <v>6814</v>
      </c>
      <c r="Y340" t="s">
        <v>6815</v>
      </c>
      <c r="Z340" t="s">
        <v>6816</v>
      </c>
      <c r="AA340" t="s">
        <v>6817</v>
      </c>
      <c r="AB340" t="s">
        <v>6818</v>
      </c>
      <c r="AC340" t="s">
        <v>74</v>
      </c>
      <c r="AD340" t="s">
        <v>74</v>
      </c>
      <c r="AE340" t="s">
        <v>74</v>
      </c>
      <c r="AF340" t="s">
        <v>74</v>
      </c>
      <c r="AG340">
        <v>56</v>
      </c>
      <c r="AH340">
        <v>0</v>
      </c>
      <c r="AI340">
        <v>0</v>
      </c>
      <c r="AJ340">
        <v>0</v>
      </c>
      <c r="AK340">
        <v>12</v>
      </c>
      <c r="AL340" t="s">
        <v>194</v>
      </c>
      <c r="AM340" t="s">
        <v>262</v>
      </c>
      <c r="AN340" t="s">
        <v>2836</v>
      </c>
      <c r="AO340" t="s">
        <v>3466</v>
      </c>
      <c r="AP340" t="s">
        <v>3467</v>
      </c>
      <c r="AQ340" t="s">
        <v>74</v>
      </c>
      <c r="AR340" t="s">
        <v>3468</v>
      </c>
      <c r="AS340" t="s">
        <v>3469</v>
      </c>
      <c r="AT340" t="s">
        <v>6000</v>
      </c>
      <c r="AU340">
        <v>2016</v>
      </c>
      <c r="AV340">
        <v>39</v>
      </c>
      <c r="AW340">
        <v>4</v>
      </c>
      <c r="AX340" t="s">
        <v>74</v>
      </c>
      <c r="AY340" t="s">
        <v>74</v>
      </c>
      <c r="AZ340" t="s">
        <v>74</v>
      </c>
      <c r="BA340" t="s">
        <v>74</v>
      </c>
      <c r="BB340">
        <v>627</v>
      </c>
      <c r="BC340">
        <v>637</v>
      </c>
      <c r="BD340" t="s">
        <v>74</v>
      </c>
      <c r="BE340" t="s">
        <v>6819</v>
      </c>
      <c r="BF340" t="str">
        <f>HYPERLINK("http://dx.doi.org/10.1007/s00300-015-1818-5","http://dx.doi.org/10.1007/s00300-015-1818-5")</f>
        <v>http://dx.doi.org/10.1007/s00300-015-1818-5</v>
      </c>
      <c r="BG340" t="s">
        <v>74</v>
      </c>
      <c r="BH340" t="s">
        <v>74</v>
      </c>
      <c r="BI340">
        <v>11</v>
      </c>
      <c r="BJ340" t="s">
        <v>291</v>
      </c>
      <c r="BK340" t="s">
        <v>102</v>
      </c>
      <c r="BL340" t="s">
        <v>133</v>
      </c>
      <c r="BM340" t="s">
        <v>6805</v>
      </c>
      <c r="BN340" t="s">
        <v>74</v>
      </c>
      <c r="BO340" t="s">
        <v>1412</v>
      </c>
      <c r="BP340" t="s">
        <v>74</v>
      </c>
      <c r="BQ340" t="s">
        <v>74</v>
      </c>
      <c r="BR340" t="s">
        <v>106</v>
      </c>
      <c r="BS340" t="s">
        <v>6820</v>
      </c>
      <c r="BT340" t="str">
        <f>HYPERLINK("https%3A%2F%2Fwww.webofscience.com%2Fwos%2Fwoscc%2Ffull-record%2FWOS:000374662100006","View Full Record in Web of Science")</f>
        <v>View Full Record in Web of Science</v>
      </c>
    </row>
    <row r="341" spans="1:72" x14ac:dyDescent="0.15">
      <c r="A341" t="s">
        <v>72</v>
      </c>
      <c r="B341" t="s">
        <v>6821</v>
      </c>
      <c r="C341" t="s">
        <v>74</v>
      </c>
      <c r="D341" t="s">
        <v>74</v>
      </c>
      <c r="E341" t="s">
        <v>74</v>
      </c>
      <c r="F341" t="s">
        <v>6822</v>
      </c>
      <c r="G341" t="s">
        <v>74</v>
      </c>
      <c r="H341" t="s">
        <v>74</v>
      </c>
      <c r="I341" t="s">
        <v>6823</v>
      </c>
      <c r="J341" t="s">
        <v>3453</v>
      </c>
      <c r="K341" t="s">
        <v>74</v>
      </c>
      <c r="L341" t="s">
        <v>74</v>
      </c>
      <c r="M341" t="s">
        <v>78</v>
      </c>
      <c r="N341" t="s">
        <v>79</v>
      </c>
      <c r="O341" t="s">
        <v>74</v>
      </c>
      <c r="P341" t="s">
        <v>74</v>
      </c>
      <c r="Q341" t="s">
        <v>74</v>
      </c>
      <c r="R341" t="s">
        <v>74</v>
      </c>
      <c r="S341" t="s">
        <v>74</v>
      </c>
      <c r="T341" t="s">
        <v>6824</v>
      </c>
      <c r="U341" t="s">
        <v>6825</v>
      </c>
      <c r="V341" t="s">
        <v>6826</v>
      </c>
      <c r="W341" t="s">
        <v>6827</v>
      </c>
      <c r="X341" t="s">
        <v>6828</v>
      </c>
      <c r="Y341" t="s">
        <v>6829</v>
      </c>
      <c r="Z341" t="s">
        <v>6830</v>
      </c>
      <c r="AA341" t="s">
        <v>74</v>
      </c>
      <c r="AB341" t="s">
        <v>6831</v>
      </c>
      <c r="AC341" t="s">
        <v>6832</v>
      </c>
      <c r="AD341" t="s">
        <v>6832</v>
      </c>
      <c r="AE341" t="s">
        <v>6833</v>
      </c>
      <c r="AF341" t="s">
        <v>74</v>
      </c>
      <c r="AG341">
        <v>20</v>
      </c>
      <c r="AH341">
        <v>5</v>
      </c>
      <c r="AI341">
        <v>6</v>
      </c>
      <c r="AJ341">
        <v>1</v>
      </c>
      <c r="AK341">
        <v>13</v>
      </c>
      <c r="AL341" t="s">
        <v>194</v>
      </c>
      <c r="AM341" t="s">
        <v>262</v>
      </c>
      <c r="AN341" t="s">
        <v>263</v>
      </c>
      <c r="AO341" t="s">
        <v>3466</v>
      </c>
      <c r="AP341" t="s">
        <v>3467</v>
      </c>
      <c r="AQ341" t="s">
        <v>74</v>
      </c>
      <c r="AR341" t="s">
        <v>3468</v>
      </c>
      <c r="AS341" t="s">
        <v>3469</v>
      </c>
      <c r="AT341" t="s">
        <v>6000</v>
      </c>
      <c r="AU341">
        <v>2016</v>
      </c>
      <c r="AV341">
        <v>39</v>
      </c>
      <c r="AW341">
        <v>4</v>
      </c>
      <c r="AX341" t="s">
        <v>74</v>
      </c>
      <c r="AY341" t="s">
        <v>74</v>
      </c>
      <c r="AZ341" t="s">
        <v>74</v>
      </c>
      <c r="BA341" t="s">
        <v>74</v>
      </c>
      <c r="BB341">
        <v>671</v>
      </c>
      <c r="BC341">
        <v>676</v>
      </c>
      <c r="BD341" t="s">
        <v>74</v>
      </c>
      <c r="BE341" t="s">
        <v>6834</v>
      </c>
      <c r="BF341" t="str">
        <f>HYPERLINK("http://dx.doi.org/10.1007/s00300-015-1822-9","http://dx.doi.org/10.1007/s00300-015-1822-9")</f>
        <v>http://dx.doi.org/10.1007/s00300-015-1822-9</v>
      </c>
      <c r="BG341" t="s">
        <v>74</v>
      </c>
      <c r="BH341" t="s">
        <v>74</v>
      </c>
      <c r="BI341">
        <v>6</v>
      </c>
      <c r="BJ341" t="s">
        <v>291</v>
      </c>
      <c r="BK341" t="s">
        <v>102</v>
      </c>
      <c r="BL341" t="s">
        <v>133</v>
      </c>
      <c r="BM341" t="s">
        <v>6805</v>
      </c>
      <c r="BN341" t="s">
        <v>74</v>
      </c>
      <c r="BO341" t="s">
        <v>1143</v>
      </c>
      <c r="BP341" t="s">
        <v>74</v>
      </c>
      <c r="BQ341" t="s">
        <v>74</v>
      </c>
      <c r="BR341" t="s">
        <v>106</v>
      </c>
      <c r="BS341" t="s">
        <v>6835</v>
      </c>
      <c r="BT341" t="str">
        <f>HYPERLINK("https%3A%2F%2Fwww.webofscience.com%2Fwos%2Fwoscc%2Ffull-record%2FWOS:000374662100010","View Full Record in Web of Science")</f>
        <v>View Full Record in Web of Science</v>
      </c>
    </row>
    <row r="342" spans="1:72" x14ac:dyDescent="0.15">
      <c r="A342" t="s">
        <v>72</v>
      </c>
      <c r="B342" t="s">
        <v>6836</v>
      </c>
      <c r="C342" t="s">
        <v>74</v>
      </c>
      <c r="D342" t="s">
        <v>74</v>
      </c>
      <c r="E342" t="s">
        <v>74</v>
      </c>
      <c r="F342" t="s">
        <v>6837</v>
      </c>
      <c r="G342" t="s">
        <v>74</v>
      </c>
      <c r="H342" t="s">
        <v>74</v>
      </c>
      <c r="I342" t="s">
        <v>6838</v>
      </c>
      <c r="J342" t="s">
        <v>6839</v>
      </c>
      <c r="K342" t="s">
        <v>74</v>
      </c>
      <c r="L342" t="s">
        <v>74</v>
      </c>
      <c r="M342" t="s">
        <v>2629</v>
      </c>
      <c r="N342" t="s">
        <v>79</v>
      </c>
      <c r="O342" t="s">
        <v>74</v>
      </c>
      <c r="P342" t="s">
        <v>74</v>
      </c>
      <c r="Q342" t="s">
        <v>74</v>
      </c>
      <c r="R342" t="s">
        <v>74</v>
      </c>
      <c r="S342" t="s">
        <v>74</v>
      </c>
      <c r="T342" t="s">
        <v>6840</v>
      </c>
      <c r="U342" t="s">
        <v>6841</v>
      </c>
      <c r="V342" t="s">
        <v>6842</v>
      </c>
      <c r="W342" t="s">
        <v>6843</v>
      </c>
      <c r="X342" t="s">
        <v>6844</v>
      </c>
      <c r="Y342" t="s">
        <v>6845</v>
      </c>
      <c r="Z342" t="s">
        <v>6846</v>
      </c>
      <c r="AA342" t="s">
        <v>6847</v>
      </c>
      <c r="AB342" t="s">
        <v>6848</v>
      </c>
      <c r="AC342" t="s">
        <v>74</v>
      </c>
      <c r="AD342" t="s">
        <v>74</v>
      </c>
      <c r="AE342" t="s">
        <v>74</v>
      </c>
      <c r="AF342" t="s">
        <v>74</v>
      </c>
      <c r="AG342">
        <v>34</v>
      </c>
      <c r="AH342">
        <v>3</v>
      </c>
      <c r="AI342">
        <v>10</v>
      </c>
      <c r="AJ342">
        <v>0</v>
      </c>
      <c r="AK342">
        <v>22</v>
      </c>
      <c r="AL342" t="s">
        <v>3709</v>
      </c>
      <c r="AM342" t="s">
        <v>3710</v>
      </c>
      <c r="AN342" t="s">
        <v>3711</v>
      </c>
      <c r="AO342" t="s">
        <v>6849</v>
      </c>
      <c r="AP342" t="s">
        <v>74</v>
      </c>
      <c r="AQ342" t="s">
        <v>74</v>
      </c>
      <c r="AR342" t="s">
        <v>6850</v>
      </c>
      <c r="AS342" t="s">
        <v>6851</v>
      </c>
      <c r="AT342" t="s">
        <v>6000</v>
      </c>
      <c r="AU342">
        <v>2016</v>
      </c>
      <c r="AV342">
        <v>59</v>
      </c>
      <c r="AW342">
        <v>4</v>
      </c>
      <c r="AX342" t="s">
        <v>74</v>
      </c>
      <c r="AY342" t="s">
        <v>74</v>
      </c>
      <c r="AZ342" t="s">
        <v>74</v>
      </c>
      <c r="BA342" t="s">
        <v>74</v>
      </c>
      <c r="BB342">
        <v>1249</v>
      </c>
      <c r="BC342">
        <v>1259</v>
      </c>
      <c r="BD342" t="s">
        <v>74</v>
      </c>
      <c r="BE342" t="s">
        <v>6852</v>
      </c>
      <c r="BF342" t="str">
        <f>HYPERLINK("http://dx.doi.org/10.6038/cjg2016047","http://dx.doi.org/10.6038/cjg2016047")</f>
        <v>http://dx.doi.org/10.6038/cjg2016047</v>
      </c>
      <c r="BG342" t="s">
        <v>74</v>
      </c>
      <c r="BH342" t="s">
        <v>74</v>
      </c>
      <c r="BI342">
        <v>11</v>
      </c>
      <c r="BJ342" t="s">
        <v>727</v>
      </c>
      <c r="BK342" t="s">
        <v>102</v>
      </c>
      <c r="BL342" t="s">
        <v>727</v>
      </c>
      <c r="BM342" t="s">
        <v>6853</v>
      </c>
      <c r="BN342" t="s">
        <v>74</v>
      </c>
      <c r="BO342" t="s">
        <v>74</v>
      </c>
      <c r="BP342" t="s">
        <v>74</v>
      </c>
      <c r="BQ342" t="s">
        <v>74</v>
      </c>
      <c r="BR342" t="s">
        <v>106</v>
      </c>
      <c r="BS342" t="s">
        <v>6854</v>
      </c>
      <c r="BT342" t="str">
        <f>HYPERLINK("https%3A%2F%2Fwww.webofscience.com%2Fwos%2Fwoscc%2Ffull-record%2FWOS:000373864400007","View Full Record in Web of Science")</f>
        <v>View Full Record in Web of Science</v>
      </c>
    </row>
    <row r="343" spans="1:72" x14ac:dyDescent="0.15">
      <c r="A343" t="s">
        <v>72</v>
      </c>
      <c r="B343" t="s">
        <v>6855</v>
      </c>
      <c r="C343" t="s">
        <v>74</v>
      </c>
      <c r="D343" t="s">
        <v>74</v>
      </c>
      <c r="E343" t="s">
        <v>74</v>
      </c>
      <c r="F343" t="s">
        <v>6856</v>
      </c>
      <c r="G343" t="s">
        <v>74</v>
      </c>
      <c r="H343" t="s">
        <v>74</v>
      </c>
      <c r="I343" t="s">
        <v>6857</v>
      </c>
      <c r="J343" t="s">
        <v>6858</v>
      </c>
      <c r="K343" t="s">
        <v>74</v>
      </c>
      <c r="L343" t="s">
        <v>74</v>
      </c>
      <c r="M343" t="s">
        <v>78</v>
      </c>
      <c r="N343" t="s">
        <v>79</v>
      </c>
      <c r="O343" t="s">
        <v>74</v>
      </c>
      <c r="P343" t="s">
        <v>74</v>
      </c>
      <c r="Q343" t="s">
        <v>74</v>
      </c>
      <c r="R343" t="s">
        <v>74</v>
      </c>
      <c r="S343" t="s">
        <v>74</v>
      </c>
      <c r="T343" t="s">
        <v>6859</v>
      </c>
      <c r="U343" t="s">
        <v>6860</v>
      </c>
      <c r="V343" t="s">
        <v>6861</v>
      </c>
      <c r="W343" t="s">
        <v>6862</v>
      </c>
      <c r="X343" t="s">
        <v>6863</v>
      </c>
      <c r="Y343" t="s">
        <v>6864</v>
      </c>
      <c r="Z343" t="s">
        <v>6865</v>
      </c>
      <c r="AA343" t="s">
        <v>6866</v>
      </c>
      <c r="AB343" t="s">
        <v>6867</v>
      </c>
      <c r="AC343" t="s">
        <v>6868</v>
      </c>
      <c r="AD343" t="s">
        <v>6869</v>
      </c>
      <c r="AE343" t="s">
        <v>6870</v>
      </c>
      <c r="AF343" t="s">
        <v>74</v>
      </c>
      <c r="AG343">
        <v>53</v>
      </c>
      <c r="AH343">
        <v>28</v>
      </c>
      <c r="AI343">
        <v>30</v>
      </c>
      <c r="AJ343">
        <v>0</v>
      </c>
      <c r="AK343">
        <v>18</v>
      </c>
      <c r="AL343" t="s">
        <v>124</v>
      </c>
      <c r="AM343" t="s">
        <v>125</v>
      </c>
      <c r="AN343" t="s">
        <v>126</v>
      </c>
      <c r="AO343" t="s">
        <v>6871</v>
      </c>
      <c r="AP343" t="s">
        <v>6872</v>
      </c>
      <c r="AQ343" t="s">
        <v>74</v>
      </c>
      <c r="AR343" t="s">
        <v>6873</v>
      </c>
      <c r="AS343" t="s">
        <v>6874</v>
      </c>
      <c r="AT343" t="s">
        <v>6000</v>
      </c>
      <c r="AU343">
        <v>2016</v>
      </c>
      <c r="AV343">
        <v>25</v>
      </c>
      <c r="AW343" t="s">
        <v>74</v>
      </c>
      <c r="AX343" t="s">
        <v>74</v>
      </c>
      <c r="AY343">
        <v>1</v>
      </c>
      <c r="AZ343" t="s">
        <v>589</v>
      </c>
      <c r="BA343" t="s">
        <v>74</v>
      </c>
      <c r="BB343">
        <v>29</v>
      </c>
      <c r="BC343">
        <v>44</v>
      </c>
      <c r="BD343" t="s">
        <v>74</v>
      </c>
      <c r="BE343" t="s">
        <v>6875</v>
      </c>
      <c r="BF343" t="str">
        <f>HYPERLINK("http://dx.doi.org/10.1111/fog.12137","http://dx.doi.org/10.1111/fog.12137")</f>
        <v>http://dx.doi.org/10.1111/fog.12137</v>
      </c>
      <c r="BG343" t="s">
        <v>74</v>
      </c>
      <c r="BH343" t="s">
        <v>74</v>
      </c>
      <c r="BI343">
        <v>16</v>
      </c>
      <c r="BJ343" t="s">
        <v>6876</v>
      </c>
      <c r="BK343" t="s">
        <v>942</v>
      </c>
      <c r="BL343" t="s">
        <v>6876</v>
      </c>
      <c r="BM343" t="s">
        <v>6877</v>
      </c>
      <c r="BN343" t="s">
        <v>74</v>
      </c>
      <c r="BO343" t="s">
        <v>74</v>
      </c>
      <c r="BP343" t="s">
        <v>74</v>
      </c>
      <c r="BQ343" t="s">
        <v>74</v>
      </c>
      <c r="BR343" t="s">
        <v>106</v>
      </c>
      <c r="BS343" t="s">
        <v>6878</v>
      </c>
      <c r="BT343" t="str">
        <f>HYPERLINK("https%3A%2F%2Fwww.webofscience.com%2Fwos%2Fwoscc%2Ffull-record%2FWOS:000373919200004","View Full Record in Web of Science")</f>
        <v>View Full Record in Web of Science</v>
      </c>
    </row>
    <row r="344" spans="1:72" x14ac:dyDescent="0.15">
      <c r="A344" t="s">
        <v>72</v>
      </c>
      <c r="B344" t="s">
        <v>6879</v>
      </c>
      <c r="C344" t="s">
        <v>74</v>
      </c>
      <c r="D344" t="s">
        <v>74</v>
      </c>
      <c r="E344" t="s">
        <v>74</v>
      </c>
      <c r="F344" t="s">
        <v>6880</v>
      </c>
      <c r="G344" t="s">
        <v>74</v>
      </c>
      <c r="H344" t="s">
        <v>74</v>
      </c>
      <c r="I344" t="s">
        <v>6881</v>
      </c>
      <c r="J344" t="s">
        <v>6882</v>
      </c>
      <c r="K344" t="s">
        <v>74</v>
      </c>
      <c r="L344" t="s">
        <v>74</v>
      </c>
      <c r="M344" t="s">
        <v>78</v>
      </c>
      <c r="N344" t="s">
        <v>79</v>
      </c>
      <c r="O344" t="s">
        <v>74</v>
      </c>
      <c r="P344" t="s">
        <v>74</v>
      </c>
      <c r="Q344" t="s">
        <v>74</v>
      </c>
      <c r="R344" t="s">
        <v>74</v>
      </c>
      <c r="S344" t="s">
        <v>74</v>
      </c>
      <c r="T344" t="s">
        <v>6883</v>
      </c>
      <c r="U344" t="s">
        <v>6884</v>
      </c>
      <c r="V344" t="s">
        <v>6885</v>
      </c>
      <c r="W344" t="s">
        <v>6886</v>
      </c>
      <c r="X344" t="s">
        <v>6887</v>
      </c>
      <c r="Y344" t="s">
        <v>6888</v>
      </c>
      <c r="Z344" t="s">
        <v>6889</v>
      </c>
      <c r="AA344" t="s">
        <v>74</v>
      </c>
      <c r="AB344" t="s">
        <v>6890</v>
      </c>
      <c r="AC344" t="s">
        <v>6891</v>
      </c>
      <c r="AD344" t="s">
        <v>6892</v>
      </c>
      <c r="AE344" t="s">
        <v>6893</v>
      </c>
      <c r="AF344" t="s">
        <v>74</v>
      </c>
      <c r="AG344">
        <v>114</v>
      </c>
      <c r="AH344">
        <v>21</v>
      </c>
      <c r="AI344">
        <v>25</v>
      </c>
      <c r="AJ344">
        <v>0</v>
      </c>
      <c r="AK344">
        <v>19</v>
      </c>
      <c r="AL344" t="s">
        <v>1829</v>
      </c>
      <c r="AM344" t="s">
        <v>679</v>
      </c>
      <c r="AN344" t="s">
        <v>1830</v>
      </c>
      <c r="AO344" t="s">
        <v>6894</v>
      </c>
      <c r="AP344" t="s">
        <v>74</v>
      </c>
      <c r="AQ344" t="s">
        <v>74</v>
      </c>
      <c r="AR344" t="s">
        <v>6895</v>
      </c>
      <c r="AS344" t="s">
        <v>6896</v>
      </c>
      <c r="AT344" t="s">
        <v>6000</v>
      </c>
      <c r="AU344">
        <v>2016</v>
      </c>
      <c r="AV344">
        <v>85</v>
      </c>
      <c r="AW344" t="s">
        <v>74</v>
      </c>
      <c r="AX344" t="s">
        <v>74</v>
      </c>
      <c r="AY344" t="s">
        <v>74</v>
      </c>
      <c r="AZ344" t="s">
        <v>74</v>
      </c>
      <c r="BA344" t="s">
        <v>74</v>
      </c>
      <c r="BB344">
        <v>130</v>
      </c>
      <c r="BC344">
        <v>153</v>
      </c>
      <c r="BD344" t="s">
        <v>74</v>
      </c>
      <c r="BE344" t="s">
        <v>6897</v>
      </c>
      <c r="BF344" t="str">
        <f>HYPERLINK("http://dx.doi.org/10.1016/j.jsg.2016.02.001","http://dx.doi.org/10.1016/j.jsg.2016.02.001")</f>
        <v>http://dx.doi.org/10.1016/j.jsg.2016.02.001</v>
      </c>
      <c r="BG344" t="s">
        <v>74</v>
      </c>
      <c r="BH344" t="s">
        <v>74</v>
      </c>
      <c r="BI344">
        <v>24</v>
      </c>
      <c r="BJ344" t="s">
        <v>269</v>
      </c>
      <c r="BK344" t="s">
        <v>102</v>
      </c>
      <c r="BL344" t="s">
        <v>270</v>
      </c>
      <c r="BM344" t="s">
        <v>6898</v>
      </c>
      <c r="BN344" t="s">
        <v>74</v>
      </c>
      <c r="BO344" t="s">
        <v>222</v>
      </c>
      <c r="BP344" t="s">
        <v>74</v>
      </c>
      <c r="BQ344" t="s">
        <v>74</v>
      </c>
      <c r="BR344" t="s">
        <v>106</v>
      </c>
      <c r="BS344" t="s">
        <v>6899</v>
      </c>
      <c r="BT344" t="str">
        <f>HYPERLINK("https%3A%2F%2Fwww.webofscience.com%2Fwos%2Fwoscc%2Ffull-record%2FWOS:000374079200010","View Full Record in Web of Science")</f>
        <v>View Full Record in Web of Science</v>
      </c>
    </row>
    <row r="345" spans="1:72" x14ac:dyDescent="0.15">
      <c r="A345" t="s">
        <v>72</v>
      </c>
      <c r="B345" t="s">
        <v>6900</v>
      </c>
      <c r="C345" t="s">
        <v>74</v>
      </c>
      <c r="D345" t="s">
        <v>74</v>
      </c>
      <c r="E345" t="s">
        <v>74</v>
      </c>
      <c r="F345" t="s">
        <v>6901</v>
      </c>
      <c r="G345" t="s">
        <v>74</v>
      </c>
      <c r="H345" t="s">
        <v>74</v>
      </c>
      <c r="I345" t="s">
        <v>6902</v>
      </c>
      <c r="J345" t="s">
        <v>6903</v>
      </c>
      <c r="K345" t="s">
        <v>74</v>
      </c>
      <c r="L345" t="s">
        <v>74</v>
      </c>
      <c r="M345" t="s">
        <v>78</v>
      </c>
      <c r="N345" t="s">
        <v>79</v>
      </c>
      <c r="O345" t="s">
        <v>74</v>
      </c>
      <c r="P345" t="s">
        <v>74</v>
      </c>
      <c r="Q345" t="s">
        <v>74</v>
      </c>
      <c r="R345" t="s">
        <v>74</v>
      </c>
      <c r="S345" t="s">
        <v>74</v>
      </c>
      <c r="T345" t="s">
        <v>6904</v>
      </c>
      <c r="U345" t="s">
        <v>6905</v>
      </c>
      <c r="V345" t="s">
        <v>6906</v>
      </c>
      <c r="W345" t="s">
        <v>6907</v>
      </c>
      <c r="X345" t="s">
        <v>6908</v>
      </c>
      <c r="Y345" t="s">
        <v>6909</v>
      </c>
      <c r="Z345" t="s">
        <v>74</v>
      </c>
      <c r="AA345" t="s">
        <v>6910</v>
      </c>
      <c r="AB345" t="s">
        <v>6911</v>
      </c>
      <c r="AC345" t="s">
        <v>6912</v>
      </c>
      <c r="AD345" t="s">
        <v>6912</v>
      </c>
      <c r="AE345" t="s">
        <v>6913</v>
      </c>
      <c r="AF345" t="s">
        <v>74</v>
      </c>
      <c r="AG345">
        <v>81</v>
      </c>
      <c r="AH345">
        <v>11</v>
      </c>
      <c r="AI345">
        <v>12</v>
      </c>
      <c r="AJ345">
        <v>0</v>
      </c>
      <c r="AK345">
        <v>13</v>
      </c>
      <c r="AL345" t="s">
        <v>626</v>
      </c>
      <c r="AM345" t="s">
        <v>583</v>
      </c>
      <c r="AN345" t="s">
        <v>627</v>
      </c>
      <c r="AO345" t="s">
        <v>6914</v>
      </c>
      <c r="AP345" t="s">
        <v>6915</v>
      </c>
      <c r="AQ345" t="s">
        <v>74</v>
      </c>
      <c r="AR345" t="s">
        <v>6903</v>
      </c>
      <c r="AS345" t="s">
        <v>6916</v>
      </c>
      <c r="AT345" t="s">
        <v>6000</v>
      </c>
      <c r="AU345">
        <v>2016</v>
      </c>
      <c r="AV345">
        <v>248</v>
      </c>
      <c r="AW345" t="s">
        <v>74</v>
      </c>
      <c r="AX345" t="s">
        <v>74</v>
      </c>
      <c r="AY345" t="s">
        <v>74</v>
      </c>
      <c r="AZ345" t="s">
        <v>74</v>
      </c>
      <c r="BA345" t="s">
        <v>74</v>
      </c>
      <c r="BB345">
        <v>493</v>
      </c>
      <c r="BC345">
        <v>505</v>
      </c>
      <c r="BD345" t="s">
        <v>74</v>
      </c>
      <c r="BE345" t="s">
        <v>6917</v>
      </c>
      <c r="BF345" t="str">
        <f>HYPERLINK("http://dx.doi.org/10.1016/j.lithos.2016.01.032","http://dx.doi.org/10.1016/j.lithos.2016.01.032")</f>
        <v>http://dx.doi.org/10.1016/j.lithos.2016.01.032</v>
      </c>
      <c r="BG345" t="s">
        <v>74</v>
      </c>
      <c r="BH345" t="s">
        <v>74</v>
      </c>
      <c r="BI345">
        <v>13</v>
      </c>
      <c r="BJ345" t="s">
        <v>3344</v>
      </c>
      <c r="BK345" t="s">
        <v>102</v>
      </c>
      <c r="BL345" t="s">
        <v>3344</v>
      </c>
      <c r="BM345" t="s">
        <v>6918</v>
      </c>
      <c r="BN345" t="s">
        <v>74</v>
      </c>
      <c r="BO345" t="s">
        <v>1412</v>
      </c>
      <c r="BP345" t="s">
        <v>74</v>
      </c>
      <c r="BQ345" t="s">
        <v>74</v>
      </c>
      <c r="BR345" t="s">
        <v>106</v>
      </c>
      <c r="BS345" t="s">
        <v>6919</v>
      </c>
      <c r="BT345" t="str">
        <f>HYPERLINK("https%3A%2F%2Fwww.webofscience.com%2Fwos%2Fwoscc%2Ffull-record%2FWOS:000373863900034","View Full Record in Web of Science")</f>
        <v>View Full Record in Web of Science</v>
      </c>
    </row>
    <row r="346" spans="1:72" x14ac:dyDescent="0.15">
      <c r="A346" t="s">
        <v>72</v>
      </c>
      <c r="B346" t="s">
        <v>6920</v>
      </c>
      <c r="C346" t="s">
        <v>74</v>
      </c>
      <c r="D346" t="s">
        <v>74</v>
      </c>
      <c r="E346" t="s">
        <v>74</v>
      </c>
      <c r="F346" t="s">
        <v>6921</v>
      </c>
      <c r="G346" t="s">
        <v>74</v>
      </c>
      <c r="H346" t="s">
        <v>74</v>
      </c>
      <c r="I346" t="s">
        <v>6922</v>
      </c>
      <c r="J346" t="s">
        <v>711</v>
      </c>
      <c r="K346" t="s">
        <v>74</v>
      </c>
      <c r="L346" t="s">
        <v>74</v>
      </c>
      <c r="M346" t="s">
        <v>78</v>
      </c>
      <c r="N346" t="s">
        <v>79</v>
      </c>
      <c r="O346" t="s">
        <v>74</v>
      </c>
      <c r="P346" t="s">
        <v>74</v>
      </c>
      <c r="Q346" t="s">
        <v>74</v>
      </c>
      <c r="R346" t="s">
        <v>74</v>
      </c>
      <c r="S346" t="s">
        <v>74</v>
      </c>
      <c r="T346" t="s">
        <v>74</v>
      </c>
      <c r="U346" t="s">
        <v>6923</v>
      </c>
      <c r="V346" t="s">
        <v>6924</v>
      </c>
      <c r="W346" t="s">
        <v>6925</v>
      </c>
      <c r="X346" t="s">
        <v>6926</v>
      </c>
      <c r="Y346" t="s">
        <v>6927</v>
      </c>
      <c r="Z346" t="s">
        <v>6928</v>
      </c>
      <c r="AA346" t="s">
        <v>6929</v>
      </c>
      <c r="AB346" t="s">
        <v>6930</v>
      </c>
      <c r="AC346" t="s">
        <v>6931</v>
      </c>
      <c r="AD346" t="s">
        <v>6932</v>
      </c>
      <c r="AE346" t="s">
        <v>6933</v>
      </c>
      <c r="AF346" t="s">
        <v>74</v>
      </c>
      <c r="AG346">
        <v>61</v>
      </c>
      <c r="AH346">
        <v>4</v>
      </c>
      <c r="AI346">
        <v>4</v>
      </c>
      <c r="AJ346">
        <v>0</v>
      </c>
      <c r="AK346">
        <v>6</v>
      </c>
      <c r="AL346" t="s">
        <v>124</v>
      </c>
      <c r="AM346" t="s">
        <v>125</v>
      </c>
      <c r="AN346" t="s">
        <v>126</v>
      </c>
      <c r="AO346" t="s">
        <v>722</v>
      </c>
      <c r="AP346" t="s">
        <v>723</v>
      </c>
      <c r="AQ346" t="s">
        <v>74</v>
      </c>
      <c r="AR346" t="s">
        <v>724</v>
      </c>
      <c r="AS346" t="s">
        <v>725</v>
      </c>
      <c r="AT346" t="s">
        <v>6000</v>
      </c>
      <c r="AU346">
        <v>2016</v>
      </c>
      <c r="AV346">
        <v>51</v>
      </c>
      <c r="AW346">
        <v>4</v>
      </c>
      <c r="AX346" t="s">
        <v>74</v>
      </c>
      <c r="AY346" t="s">
        <v>74</v>
      </c>
      <c r="AZ346" t="s">
        <v>74</v>
      </c>
      <c r="BA346" t="s">
        <v>74</v>
      </c>
      <c r="BB346">
        <v>663</v>
      </c>
      <c r="BC346">
        <v>680</v>
      </c>
      <c r="BD346" t="s">
        <v>74</v>
      </c>
      <c r="BE346" t="s">
        <v>6934</v>
      </c>
      <c r="BF346" t="str">
        <f>HYPERLINK("http://dx.doi.org/10.1111/maps.12612","http://dx.doi.org/10.1111/maps.12612")</f>
        <v>http://dx.doi.org/10.1111/maps.12612</v>
      </c>
      <c r="BG346" t="s">
        <v>74</v>
      </c>
      <c r="BH346" t="s">
        <v>74</v>
      </c>
      <c r="BI346">
        <v>18</v>
      </c>
      <c r="BJ346" t="s">
        <v>727</v>
      </c>
      <c r="BK346" t="s">
        <v>102</v>
      </c>
      <c r="BL346" t="s">
        <v>727</v>
      </c>
      <c r="BM346" t="s">
        <v>6935</v>
      </c>
      <c r="BN346" t="s">
        <v>74</v>
      </c>
      <c r="BO346" t="s">
        <v>420</v>
      </c>
      <c r="BP346" t="s">
        <v>74</v>
      </c>
      <c r="BQ346" t="s">
        <v>74</v>
      </c>
      <c r="BR346" t="s">
        <v>106</v>
      </c>
      <c r="BS346" t="s">
        <v>6936</v>
      </c>
      <c r="BT346" t="str">
        <f>HYPERLINK("https%3A%2F%2Fwww.webofscience.com%2Fwos%2Fwoscc%2Ffull-record%2FWOS:000374050800003","View Full Record in Web of Science")</f>
        <v>View Full Record in Web of Science</v>
      </c>
    </row>
    <row r="347" spans="1:72" x14ac:dyDescent="0.15">
      <c r="A347" t="s">
        <v>72</v>
      </c>
      <c r="B347" t="s">
        <v>6937</v>
      </c>
      <c r="C347" t="s">
        <v>74</v>
      </c>
      <c r="D347" t="s">
        <v>74</v>
      </c>
      <c r="E347" t="s">
        <v>74</v>
      </c>
      <c r="F347" t="s">
        <v>6938</v>
      </c>
      <c r="G347" t="s">
        <v>74</v>
      </c>
      <c r="H347" t="s">
        <v>74</v>
      </c>
      <c r="I347" t="s">
        <v>6939</v>
      </c>
      <c r="J347" t="s">
        <v>711</v>
      </c>
      <c r="K347" t="s">
        <v>74</v>
      </c>
      <c r="L347" t="s">
        <v>74</v>
      </c>
      <c r="M347" t="s">
        <v>78</v>
      </c>
      <c r="N347" t="s">
        <v>79</v>
      </c>
      <c r="O347" t="s">
        <v>74</v>
      </c>
      <c r="P347" t="s">
        <v>74</v>
      </c>
      <c r="Q347" t="s">
        <v>74</v>
      </c>
      <c r="R347" t="s">
        <v>74</v>
      </c>
      <c r="S347" t="s">
        <v>74</v>
      </c>
      <c r="T347" t="s">
        <v>74</v>
      </c>
      <c r="U347" t="s">
        <v>6940</v>
      </c>
      <c r="V347" t="s">
        <v>6941</v>
      </c>
      <c r="W347" t="s">
        <v>6942</v>
      </c>
      <c r="X347" t="s">
        <v>6943</v>
      </c>
      <c r="Y347" t="s">
        <v>6944</v>
      </c>
      <c r="Z347" t="s">
        <v>6945</v>
      </c>
      <c r="AA347" t="s">
        <v>6946</v>
      </c>
      <c r="AB347" t="s">
        <v>6947</v>
      </c>
      <c r="AC347" t="s">
        <v>6948</v>
      </c>
      <c r="AD347" t="s">
        <v>6948</v>
      </c>
      <c r="AE347" t="s">
        <v>6949</v>
      </c>
      <c r="AF347" t="s">
        <v>74</v>
      </c>
      <c r="AG347">
        <v>61</v>
      </c>
      <c r="AH347">
        <v>4</v>
      </c>
      <c r="AI347">
        <v>4</v>
      </c>
      <c r="AJ347">
        <v>1</v>
      </c>
      <c r="AK347">
        <v>17</v>
      </c>
      <c r="AL347" t="s">
        <v>124</v>
      </c>
      <c r="AM347" t="s">
        <v>125</v>
      </c>
      <c r="AN347" t="s">
        <v>126</v>
      </c>
      <c r="AO347" t="s">
        <v>722</v>
      </c>
      <c r="AP347" t="s">
        <v>723</v>
      </c>
      <c r="AQ347" t="s">
        <v>74</v>
      </c>
      <c r="AR347" t="s">
        <v>724</v>
      </c>
      <c r="AS347" t="s">
        <v>725</v>
      </c>
      <c r="AT347" t="s">
        <v>6000</v>
      </c>
      <c r="AU347">
        <v>2016</v>
      </c>
      <c r="AV347">
        <v>51</v>
      </c>
      <c r="AW347">
        <v>4</v>
      </c>
      <c r="AX347" t="s">
        <v>74</v>
      </c>
      <c r="AY347" t="s">
        <v>74</v>
      </c>
      <c r="AZ347" t="s">
        <v>74</v>
      </c>
      <c r="BA347" t="s">
        <v>74</v>
      </c>
      <c r="BB347">
        <v>718</v>
      </c>
      <c r="BC347">
        <v>742</v>
      </c>
      <c r="BD347" t="s">
        <v>74</v>
      </c>
      <c r="BE347" t="s">
        <v>6950</v>
      </c>
      <c r="BF347" t="str">
        <f>HYPERLINK("http://dx.doi.org/10.1111/maps.12618","http://dx.doi.org/10.1111/maps.12618")</f>
        <v>http://dx.doi.org/10.1111/maps.12618</v>
      </c>
      <c r="BG347" t="s">
        <v>74</v>
      </c>
      <c r="BH347" t="s">
        <v>74</v>
      </c>
      <c r="BI347">
        <v>25</v>
      </c>
      <c r="BJ347" t="s">
        <v>727</v>
      </c>
      <c r="BK347" t="s">
        <v>102</v>
      </c>
      <c r="BL347" t="s">
        <v>727</v>
      </c>
      <c r="BM347" t="s">
        <v>6935</v>
      </c>
      <c r="BN347" t="s">
        <v>74</v>
      </c>
      <c r="BO347" t="s">
        <v>420</v>
      </c>
      <c r="BP347" t="s">
        <v>74</v>
      </c>
      <c r="BQ347" t="s">
        <v>74</v>
      </c>
      <c r="BR347" t="s">
        <v>106</v>
      </c>
      <c r="BS347" t="s">
        <v>6951</v>
      </c>
      <c r="BT347" t="str">
        <f>HYPERLINK("https%3A%2F%2Fwww.webofscience.com%2Fwos%2Fwoscc%2Ffull-record%2FWOS:000374050800006","View Full Record in Web of Science")</f>
        <v>View Full Record in Web of Science</v>
      </c>
    </row>
    <row r="348" spans="1:72" x14ac:dyDescent="0.15">
      <c r="A348" t="s">
        <v>72</v>
      </c>
      <c r="B348" t="s">
        <v>6952</v>
      </c>
      <c r="C348" t="s">
        <v>74</v>
      </c>
      <c r="D348" t="s">
        <v>74</v>
      </c>
      <c r="E348" t="s">
        <v>74</v>
      </c>
      <c r="F348" t="s">
        <v>6953</v>
      </c>
      <c r="G348" t="s">
        <v>74</v>
      </c>
      <c r="H348" t="s">
        <v>74</v>
      </c>
      <c r="I348" t="s">
        <v>6954</v>
      </c>
      <c r="J348" t="s">
        <v>711</v>
      </c>
      <c r="K348" t="s">
        <v>74</v>
      </c>
      <c r="L348" t="s">
        <v>74</v>
      </c>
      <c r="M348" t="s">
        <v>78</v>
      </c>
      <c r="N348" t="s">
        <v>79</v>
      </c>
      <c r="O348" t="s">
        <v>74</v>
      </c>
      <c r="P348" t="s">
        <v>74</v>
      </c>
      <c r="Q348" t="s">
        <v>74</v>
      </c>
      <c r="R348" t="s">
        <v>74</v>
      </c>
      <c r="S348" t="s">
        <v>74</v>
      </c>
      <c r="T348" t="s">
        <v>74</v>
      </c>
      <c r="U348" t="s">
        <v>6955</v>
      </c>
      <c r="V348" t="s">
        <v>6956</v>
      </c>
      <c r="W348" t="s">
        <v>6957</v>
      </c>
      <c r="X348" t="s">
        <v>6958</v>
      </c>
      <c r="Y348" t="s">
        <v>6959</v>
      </c>
      <c r="Z348" t="s">
        <v>6960</v>
      </c>
      <c r="AA348" t="s">
        <v>74</v>
      </c>
      <c r="AB348" t="s">
        <v>74</v>
      </c>
      <c r="AC348" t="s">
        <v>74</v>
      </c>
      <c r="AD348" t="s">
        <v>74</v>
      </c>
      <c r="AE348" t="s">
        <v>74</v>
      </c>
      <c r="AF348" t="s">
        <v>74</v>
      </c>
      <c r="AG348">
        <v>20</v>
      </c>
      <c r="AH348">
        <v>22</v>
      </c>
      <c r="AI348">
        <v>25</v>
      </c>
      <c r="AJ348">
        <v>1</v>
      </c>
      <c r="AK348">
        <v>11</v>
      </c>
      <c r="AL348" t="s">
        <v>721</v>
      </c>
      <c r="AM348" t="s">
        <v>125</v>
      </c>
      <c r="AN348" t="s">
        <v>126</v>
      </c>
      <c r="AO348" t="s">
        <v>722</v>
      </c>
      <c r="AP348" t="s">
        <v>723</v>
      </c>
      <c r="AQ348" t="s">
        <v>74</v>
      </c>
      <c r="AR348" t="s">
        <v>724</v>
      </c>
      <c r="AS348" t="s">
        <v>725</v>
      </c>
      <c r="AT348" t="s">
        <v>6000</v>
      </c>
      <c r="AU348">
        <v>2016</v>
      </c>
      <c r="AV348">
        <v>51</v>
      </c>
      <c r="AW348">
        <v>4</v>
      </c>
      <c r="AX348" t="s">
        <v>74</v>
      </c>
      <c r="AY348" t="s">
        <v>74</v>
      </c>
      <c r="AZ348" t="s">
        <v>74</v>
      </c>
      <c r="BA348" t="s">
        <v>74</v>
      </c>
      <c r="BB348">
        <v>833</v>
      </c>
      <c r="BC348">
        <v>838</v>
      </c>
      <c r="BD348" t="s">
        <v>74</v>
      </c>
      <c r="BE348" t="s">
        <v>6961</v>
      </c>
      <c r="BF348" t="str">
        <f>HYPERLINK("http://dx.doi.org/10.1111/maps.12622","http://dx.doi.org/10.1111/maps.12622")</f>
        <v>http://dx.doi.org/10.1111/maps.12622</v>
      </c>
      <c r="BG348" t="s">
        <v>74</v>
      </c>
      <c r="BH348" t="s">
        <v>74</v>
      </c>
      <c r="BI348">
        <v>6</v>
      </c>
      <c r="BJ348" t="s">
        <v>727</v>
      </c>
      <c r="BK348" t="s">
        <v>102</v>
      </c>
      <c r="BL348" t="s">
        <v>727</v>
      </c>
      <c r="BM348" t="s">
        <v>6935</v>
      </c>
      <c r="BN348" t="s">
        <v>74</v>
      </c>
      <c r="BO348" t="s">
        <v>420</v>
      </c>
      <c r="BP348" t="s">
        <v>74</v>
      </c>
      <c r="BQ348" t="s">
        <v>74</v>
      </c>
      <c r="BR348" t="s">
        <v>106</v>
      </c>
      <c r="BS348" t="s">
        <v>6962</v>
      </c>
      <c r="BT348" t="str">
        <f>HYPERLINK("https%3A%2F%2Fwww.webofscience.com%2Fwos%2Fwoscc%2Ffull-record%2FWOS:000374050800013","View Full Record in Web of Science")</f>
        <v>View Full Record in Web of Science</v>
      </c>
    </row>
    <row r="349" spans="1:72" x14ac:dyDescent="0.15">
      <c r="A349" t="s">
        <v>72</v>
      </c>
      <c r="B349" t="s">
        <v>6963</v>
      </c>
      <c r="C349" t="s">
        <v>74</v>
      </c>
      <c r="D349" t="s">
        <v>74</v>
      </c>
      <c r="E349" t="s">
        <v>74</v>
      </c>
      <c r="F349" t="s">
        <v>6964</v>
      </c>
      <c r="G349" t="s">
        <v>74</v>
      </c>
      <c r="H349" t="s">
        <v>74</v>
      </c>
      <c r="I349" t="s">
        <v>6965</v>
      </c>
      <c r="J349" t="s">
        <v>6966</v>
      </c>
      <c r="K349" t="s">
        <v>74</v>
      </c>
      <c r="L349" t="s">
        <v>74</v>
      </c>
      <c r="M349" t="s">
        <v>78</v>
      </c>
      <c r="N349" t="s">
        <v>79</v>
      </c>
      <c r="O349" t="s">
        <v>74</v>
      </c>
      <c r="P349" t="s">
        <v>74</v>
      </c>
      <c r="Q349" t="s">
        <v>74</v>
      </c>
      <c r="R349" t="s">
        <v>74</v>
      </c>
      <c r="S349" t="s">
        <v>74</v>
      </c>
      <c r="T349" t="s">
        <v>6967</v>
      </c>
      <c r="U349" t="s">
        <v>6968</v>
      </c>
      <c r="V349" t="s">
        <v>6969</v>
      </c>
      <c r="W349" t="s">
        <v>6970</v>
      </c>
      <c r="X349" t="s">
        <v>6971</v>
      </c>
      <c r="Y349" t="s">
        <v>6972</v>
      </c>
      <c r="Z349" t="s">
        <v>6973</v>
      </c>
      <c r="AA349" t="s">
        <v>6974</v>
      </c>
      <c r="AB349" t="s">
        <v>6975</v>
      </c>
      <c r="AC349" t="s">
        <v>6976</v>
      </c>
      <c r="AD349" t="s">
        <v>6977</v>
      </c>
      <c r="AE349" t="s">
        <v>6978</v>
      </c>
      <c r="AF349" t="s">
        <v>74</v>
      </c>
      <c r="AG349">
        <v>74</v>
      </c>
      <c r="AH349">
        <v>15</v>
      </c>
      <c r="AI349">
        <v>16</v>
      </c>
      <c r="AJ349">
        <v>1</v>
      </c>
      <c r="AK349">
        <v>34</v>
      </c>
      <c r="AL349" t="s">
        <v>626</v>
      </c>
      <c r="AM349" t="s">
        <v>583</v>
      </c>
      <c r="AN349" t="s">
        <v>627</v>
      </c>
      <c r="AO349" t="s">
        <v>6979</v>
      </c>
      <c r="AP349" t="s">
        <v>6980</v>
      </c>
      <c r="AQ349" t="s">
        <v>74</v>
      </c>
      <c r="AR349" t="s">
        <v>6981</v>
      </c>
      <c r="AS349" t="s">
        <v>6982</v>
      </c>
      <c r="AT349" t="s">
        <v>6000</v>
      </c>
      <c r="AU349">
        <v>2016</v>
      </c>
      <c r="AV349">
        <v>253</v>
      </c>
      <c r="AW349" t="s">
        <v>74</v>
      </c>
      <c r="AX349" t="s">
        <v>74</v>
      </c>
      <c r="AY349" t="s">
        <v>74</v>
      </c>
      <c r="AZ349" t="s">
        <v>74</v>
      </c>
      <c r="BA349" t="s">
        <v>74</v>
      </c>
      <c r="BB349">
        <v>21</v>
      </c>
      <c r="BC349">
        <v>30</v>
      </c>
      <c r="BD349" t="s">
        <v>74</v>
      </c>
      <c r="BE349" t="s">
        <v>6983</v>
      </c>
      <c r="BF349" t="str">
        <f>HYPERLINK("http://dx.doi.org/10.1016/j.pepi.2016.01.007","http://dx.doi.org/10.1016/j.pepi.2016.01.007")</f>
        <v>http://dx.doi.org/10.1016/j.pepi.2016.01.007</v>
      </c>
      <c r="BG349" t="s">
        <v>74</v>
      </c>
      <c r="BH349" t="s">
        <v>74</v>
      </c>
      <c r="BI349">
        <v>10</v>
      </c>
      <c r="BJ349" t="s">
        <v>727</v>
      </c>
      <c r="BK349" t="s">
        <v>102</v>
      </c>
      <c r="BL349" t="s">
        <v>727</v>
      </c>
      <c r="BM349" t="s">
        <v>6984</v>
      </c>
      <c r="BN349" t="s">
        <v>74</v>
      </c>
      <c r="BO349" t="s">
        <v>222</v>
      </c>
      <c r="BP349" t="s">
        <v>74</v>
      </c>
      <c r="BQ349" t="s">
        <v>74</v>
      </c>
      <c r="BR349" t="s">
        <v>106</v>
      </c>
      <c r="BS349" t="s">
        <v>6985</v>
      </c>
      <c r="BT349" t="str">
        <f>HYPERLINK("https%3A%2F%2Fwww.webofscience.com%2Fwos%2Fwoscc%2Ffull-record%2FWOS:000374080900003","View Full Record in Web of Science")</f>
        <v>View Full Record in Web of Science</v>
      </c>
    </row>
    <row r="350" spans="1:72" x14ac:dyDescent="0.15">
      <c r="A350" t="s">
        <v>72</v>
      </c>
      <c r="B350" t="s">
        <v>6986</v>
      </c>
      <c r="C350" t="s">
        <v>74</v>
      </c>
      <c r="D350" t="s">
        <v>74</v>
      </c>
      <c r="E350" t="s">
        <v>74</v>
      </c>
      <c r="F350" t="s">
        <v>6987</v>
      </c>
      <c r="G350" t="s">
        <v>74</v>
      </c>
      <c r="H350" t="s">
        <v>74</v>
      </c>
      <c r="I350" t="s">
        <v>6988</v>
      </c>
      <c r="J350" t="s">
        <v>6989</v>
      </c>
      <c r="K350" t="s">
        <v>74</v>
      </c>
      <c r="L350" t="s">
        <v>74</v>
      </c>
      <c r="M350" t="s">
        <v>78</v>
      </c>
      <c r="N350" t="s">
        <v>79</v>
      </c>
      <c r="O350" t="s">
        <v>74</v>
      </c>
      <c r="P350" t="s">
        <v>74</v>
      </c>
      <c r="Q350" t="s">
        <v>74</v>
      </c>
      <c r="R350" t="s">
        <v>74</v>
      </c>
      <c r="S350" t="s">
        <v>74</v>
      </c>
      <c r="T350" t="s">
        <v>6990</v>
      </c>
      <c r="U350" t="s">
        <v>6991</v>
      </c>
      <c r="V350" t="s">
        <v>6992</v>
      </c>
      <c r="W350" t="s">
        <v>6993</v>
      </c>
      <c r="X350" t="s">
        <v>6994</v>
      </c>
      <c r="Y350" t="s">
        <v>6995</v>
      </c>
      <c r="Z350" t="s">
        <v>6996</v>
      </c>
      <c r="AA350" t="s">
        <v>6997</v>
      </c>
      <c r="AB350" t="s">
        <v>74</v>
      </c>
      <c r="AC350" t="s">
        <v>6998</v>
      </c>
      <c r="AD350" t="s">
        <v>6999</v>
      </c>
      <c r="AE350" t="s">
        <v>7000</v>
      </c>
      <c r="AF350" t="s">
        <v>74</v>
      </c>
      <c r="AG350">
        <v>42</v>
      </c>
      <c r="AH350">
        <v>3</v>
      </c>
      <c r="AI350">
        <v>5</v>
      </c>
      <c r="AJ350">
        <v>0</v>
      </c>
      <c r="AK350">
        <v>21</v>
      </c>
      <c r="AL350" t="s">
        <v>582</v>
      </c>
      <c r="AM350" t="s">
        <v>583</v>
      </c>
      <c r="AN350" t="s">
        <v>584</v>
      </c>
      <c r="AO350" t="s">
        <v>7001</v>
      </c>
      <c r="AP350" t="s">
        <v>7002</v>
      </c>
      <c r="AQ350" t="s">
        <v>74</v>
      </c>
      <c r="AR350" t="s">
        <v>7003</v>
      </c>
      <c r="AS350" t="s">
        <v>7004</v>
      </c>
      <c r="AT350" t="s">
        <v>6000</v>
      </c>
      <c r="AU350">
        <v>2016</v>
      </c>
      <c r="AV350">
        <v>61</v>
      </c>
      <c r="AW350">
        <v>7</v>
      </c>
      <c r="AX350" t="s">
        <v>74</v>
      </c>
      <c r="AY350" t="s">
        <v>74</v>
      </c>
      <c r="AZ350" t="s">
        <v>74</v>
      </c>
      <c r="BA350" t="s">
        <v>74</v>
      </c>
      <c r="BB350">
        <v>576</v>
      </c>
      <c r="BC350">
        <v>584</v>
      </c>
      <c r="BD350" t="s">
        <v>74</v>
      </c>
      <c r="BE350" t="s">
        <v>7005</v>
      </c>
      <c r="BF350" t="str">
        <f>HYPERLINK("http://dx.doi.org/10.1007/s11434-016-1029-7","http://dx.doi.org/10.1007/s11434-016-1029-7")</f>
        <v>http://dx.doi.org/10.1007/s11434-016-1029-7</v>
      </c>
      <c r="BG350" t="s">
        <v>74</v>
      </c>
      <c r="BH350" t="s">
        <v>74</v>
      </c>
      <c r="BI350">
        <v>9</v>
      </c>
      <c r="BJ350" t="s">
        <v>753</v>
      </c>
      <c r="BK350" t="s">
        <v>102</v>
      </c>
      <c r="BL350" t="s">
        <v>754</v>
      </c>
      <c r="BM350" t="s">
        <v>7006</v>
      </c>
      <c r="BN350" t="s">
        <v>74</v>
      </c>
      <c r="BO350" t="s">
        <v>74</v>
      </c>
      <c r="BP350" t="s">
        <v>74</v>
      </c>
      <c r="BQ350" t="s">
        <v>74</v>
      </c>
      <c r="BR350" t="s">
        <v>106</v>
      </c>
      <c r="BS350" t="s">
        <v>7007</v>
      </c>
      <c r="BT350" t="str">
        <f>HYPERLINK("https%3A%2F%2Fwww.webofscience.com%2Fwos%2Fwoscc%2Ffull-record%2FWOS:000374098600008","View Full Record in Web of Science")</f>
        <v>View Full Record in Web of Science</v>
      </c>
    </row>
    <row r="351" spans="1:72" x14ac:dyDescent="0.15">
      <c r="A351" t="s">
        <v>72</v>
      </c>
      <c r="B351" t="s">
        <v>7008</v>
      </c>
      <c r="C351" t="s">
        <v>74</v>
      </c>
      <c r="D351" t="s">
        <v>74</v>
      </c>
      <c r="E351" t="s">
        <v>74</v>
      </c>
      <c r="F351" t="s">
        <v>7009</v>
      </c>
      <c r="G351" t="s">
        <v>74</v>
      </c>
      <c r="H351" t="s">
        <v>74</v>
      </c>
      <c r="I351" t="s">
        <v>7010</v>
      </c>
      <c r="J351" t="s">
        <v>7011</v>
      </c>
      <c r="K351" t="s">
        <v>74</v>
      </c>
      <c r="L351" t="s">
        <v>74</v>
      </c>
      <c r="M351" t="s">
        <v>78</v>
      </c>
      <c r="N351" t="s">
        <v>79</v>
      </c>
      <c r="O351" t="s">
        <v>74</v>
      </c>
      <c r="P351" t="s">
        <v>74</v>
      </c>
      <c r="Q351" t="s">
        <v>74</v>
      </c>
      <c r="R351" t="s">
        <v>74</v>
      </c>
      <c r="S351" t="s">
        <v>74</v>
      </c>
      <c r="T351" t="s">
        <v>74</v>
      </c>
      <c r="U351" t="s">
        <v>7012</v>
      </c>
      <c r="V351" t="s">
        <v>7013</v>
      </c>
      <c r="W351" t="s">
        <v>7014</v>
      </c>
      <c r="X351" t="s">
        <v>7015</v>
      </c>
      <c r="Y351" t="s">
        <v>7016</v>
      </c>
      <c r="Z351" t="s">
        <v>7017</v>
      </c>
      <c r="AA351" t="s">
        <v>74</v>
      </c>
      <c r="AB351" t="s">
        <v>74</v>
      </c>
      <c r="AC351" t="s">
        <v>7018</v>
      </c>
      <c r="AD351" t="s">
        <v>7019</v>
      </c>
      <c r="AE351" t="s">
        <v>7020</v>
      </c>
      <c r="AF351" t="s">
        <v>74</v>
      </c>
      <c r="AG351">
        <v>20</v>
      </c>
      <c r="AH351">
        <v>4</v>
      </c>
      <c r="AI351">
        <v>4</v>
      </c>
      <c r="AJ351">
        <v>0</v>
      </c>
      <c r="AK351">
        <v>9</v>
      </c>
      <c r="AL351" t="s">
        <v>7021</v>
      </c>
      <c r="AM351" t="s">
        <v>93</v>
      </c>
      <c r="AN351" t="s">
        <v>7022</v>
      </c>
      <c r="AO351" t="s">
        <v>7023</v>
      </c>
      <c r="AP351" t="s">
        <v>7024</v>
      </c>
      <c r="AQ351" t="s">
        <v>74</v>
      </c>
      <c r="AR351" t="s">
        <v>7025</v>
      </c>
      <c r="AS351" t="s">
        <v>7026</v>
      </c>
      <c r="AT351" t="s">
        <v>6380</v>
      </c>
      <c r="AU351">
        <v>2016</v>
      </c>
      <c r="AV351">
        <v>55</v>
      </c>
      <c r="AW351">
        <v>10</v>
      </c>
      <c r="AX351" t="s">
        <v>74</v>
      </c>
      <c r="AY351" t="s">
        <v>74</v>
      </c>
      <c r="AZ351" t="s">
        <v>74</v>
      </c>
      <c r="BA351" t="s">
        <v>74</v>
      </c>
      <c r="BB351">
        <v>2791</v>
      </c>
      <c r="BC351">
        <v>2799</v>
      </c>
      <c r="BD351" t="s">
        <v>74</v>
      </c>
      <c r="BE351" t="s">
        <v>7027</v>
      </c>
      <c r="BF351" t="str">
        <f>HYPERLINK("http://dx.doi.org/10.1364/AO.55.002791","http://dx.doi.org/10.1364/AO.55.002791")</f>
        <v>http://dx.doi.org/10.1364/AO.55.002791</v>
      </c>
      <c r="BG351" t="s">
        <v>74</v>
      </c>
      <c r="BH351" t="s">
        <v>74</v>
      </c>
      <c r="BI351">
        <v>9</v>
      </c>
      <c r="BJ351" t="s">
        <v>7028</v>
      </c>
      <c r="BK351" t="s">
        <v>102</v>
      </c>
      <c r="BL351" t="s">
        <v>7028</v>
      </c>
      <c r="BM351" t="s">
        <v>7029</v>
      </c>
      <c r="BN351">
        <v>27139686</v>
      </c>
      <c r="BO351" t="s">
        <v>74</v>
      </c>
      <c r="BP351" t="s">
        <v>74</v>
      </c>
      <c r="BQ351" t="s">
        <v>74</v>
      </c>
      <c r="BR351" t="s">
        <v>106</v>
      </c>
      <c r="BS351" t="s">
        <v>7030</v>
      </c>
      <c r="BT351" t="str">
        <f>HYPERLINK("https%3A%2F%2Fwww.webofscience.com%2Fwos%2Fwoscc%2Ffull-record%2FWOS:000373400800042","View Full Record in Web of Science")</f>
        <v>View Full Record in Web of Science</v>
      </c>
    </row>
    <row r="352" spans="1:72" x14ac:dyDescent="0.15">
      <c r="A352" t="s">
        <v>72</v>
      </c>
      <c r="B352" t="s">
        <v>7031</v>
      </c>
      <c r="C352" t="s">
        <v>74</v>
      </c>
      <c r="D352" t="s">
        <v>74</v>
      </c>
      <c r="E352" t="s">
        <v>74</v>
      </c>
      <c r="F352" t="s">
        <v>7032</v>
      </c>
      <c r="G352" t="s">
        <v>74</v>
      </c>
      <c r="H352" t="s">
        <v>74</v>
      </c>
      <c r="I352" t="s">
        <v>7033</v>
      </c>
      <c r="J352" t="s">
        <v>3891</v>
      </c>
      <c r="K352" t="s">
        <v>74</v>
      </c>
      <c r="L352" t="s">
        <v>74</v>
      </c>
      <c r="M352" t="s">
        <v>78</v>
      </c>
      <c r="N352" t="s">
        <v>79</v>
      </c>
      <c r="O352" t="s">
        <v>74</v>
      </c>
      <c r="P352" t="s">
        <v>74</v>
      </c>
      <c r="Q352" t="s">
        <v>74</v>
      </c>
      <c r="R352" t="s">
        <v>74</v>
      </c>
      <c r="S352" t="s">
        <v>74</v>
      </c>
      <c r="T352" t="s">
        <v>7034</v>
      </c>
      <c r="U352" t="s">
        <v>7035</v>
      </c>
      <c r="V352" t="s">
        <v>7036</v>
      </c>
      <c r="W352" t="s">
        <v>7037</v>
      </c>
      <c r="X352" t="s">
        <v>7038</v>
      </c>
      <c r="Y352" t="s">
        <v>7039</v>
      </c>
      <c r="Z352" t="s">
        <v>7040</v>
      </c>
      <c r="AA352" t="s">
        <v>7041</v>
      </c>
      <c r="AB352" t="s">
        <v>7042</v>
      </c>
      <c r="AC352" t="s">
        <v>7043</v>
      </c>
      <c r="AD352" t="s">
        <v>7044</v>
      </c>
      <c r="AE352" t="s">
        <v>7045</v>
      </c>
      <c r="AF352" t="s">
        <v>74</v>
      </c>
      <c r="AG352">
        <v>78</v>
      </c>
      <c r="AH352">
        <v>8</v>
      </c>
      <c r="AI352">
        <v>9</v>
      </c>
      <c r="AJ352">
        <v>2</v>
      </c>
      <c r="AK352">
        <v>11</v>
      </c>
      <c r="AL352" t="s">
        <v>1829</v>
      </c>
      <c r="AM352" t="s">
        <v>679</v>
      </c>
      <c r="AN352" t="s">
        <v>1830</v>
      </c>
      <c r="AO352" t="s">
        <v>3902</v>
      </c>
      <c r="AP352" t="s">
        <v>3903</v>
      </c>
      <c r="AQ352" t="s">
        <v>74</v>
      </c>
      <c r="AR352" t="s">
        <v>3904</v>
      </c>
      <c r="AS352" t="s">
        <v>3905</v>
      </c>
      <c r="AT352" t="s">
        <v>6000</v>
      </c>
      <c r="AU352">
        <v>2016</v>
      </c>
      <c r="AV352">
        <v>110</v>
      </c>
      <c r="AW352" t="s">
        <v>74</v>
      </c>
      <c r="AX352" t="s">
        <v>74</v>
      </c>
      <c r="AY352" t="s">
        <v>74</v>
      </c>
      <c r="AZ352" t="s">
        <v>74</v>
      </c>
      <c r="BA352" t="s">
        <v>74</v>
      </c>
      <c r="BB352">
        <v>50</v>
      </c>
      <c r="BC352">
        <v>64</v>
      </c>
      <c r="BD352" t="s">
        <v>74</v>
      </c>
      <c r="BE352" t="s">
        <v>7046</v>
      </c>
      <c r="BF352" t="str">
        <f>HYPERLINK("http://dx.doi.org/10.1016/j.dsr.2016.01.006","http://dx.doi.org/10.1016/j.dsr.2016.01.006")</f>
        <v>http://dx.doi.org/10.1016/j.dsr.2016.01.006</v>
      </c>
      <c r="BG352" t="s">
        <v>74</v>
      </c>
      <c r="BH352" t="s">
        <v>74</v>
      </c>
      <c r="BI352">
        <v>15</v>
      </c>
      <c r="BJ352" t="s">
        <v>361</v>
      </c>
      <c r="BK352" t="s">
        <v>102</v>
      </c>
      <c r="BL352" t="s">
        <v>361</v>
      </c>
      <c r="BM352" t="s">
        <v>7047</v>
      </c>
      <c r="BN352" t="s">
        <v>74</v>
      </c>
      <c r="BO352" t="s">
        <v>1412</v>
      </c>
      <c r="BP352" t="s">
        <v>74</v>
      </c>
      <c r="BQ352" t="s">
        <v>74</v>
      </c>
      <c r="BR352" t="s">
        <v>106</v>
      </c>
      <c r="BS352" t="s">
        <v>7048</v>
      </c>
      <c r="BT352" t="str">
        <f>HYPERLINK("https%3A%2F%2Fwww.webofscience.com%2Fwos%2Fwoscc%2Ffull-record%2FWOS:000373544500004","View Full Record in Web of Science")</f>
        <v>View Full Record in Web of Science</v>
      </c>
    </row>
    <row r="353" spans="1:72" x14ac:dyDescent="0.15">
      <c r="A353" t="s">
        <v>72</v>
      </c>
      <c r="B353" t="s">
        <v>7049</v>
      </c>
      <c r="C353" t="s">
        <v>74</v>
      </c>
      <c r="D353" t="s">
        <v>74</v>
      </c>
      <c r="E353" t="s">
        <v>74</v>
      </c>
      <c r="F353" t="s">
        <v>7050</v>
      </c>
      <c r="G353" t="s">
        <v>74</v>
      </c>
      <c r="H353" t="s">
        <v>74</v>
      </c>
      <c r="I353" t="s">
        <v>7051</v>
      </c>
      <c r="J353" t="s">
        <v>3891</v>
      </c>
      <c r="K353" t="s">
        <v>74</v>
      </c>
      <c r="L353" t="s">
        <v>74</v>
      </c>
      <c r="M353" t="s">
        <v>78</v>
      </c>
      <c r="N353" t="s">
        <v>79</v>
      </c>
      <c r="O353" t="s">
        <v>74</v>
      </c>
      <c r="P353" t="s">
        <v>74</v>
      </c>
      <c r="Q353" t="s">
        <v>74</v>
      </c>
      <c r="R353" t="s">
        <v>74</v>
      </c>
      <c r="S353" t="s">
        <v>74</v>
      </c>
      <c r="T353" t="s">
        <v>7052</v>
      </c>
      <c r="U353" t="s">
        <v>7053</v>
      </c>
      <c r="V353" t="s">
        <v>7054</v>
      </c>
      <c r="W353" t="s">
        <v>7055</v>
      </c>
      <c r="X353" t="s">
        <v>7056</v>
      </c>
      <c r="Y353" t="s">
        <v>7057</v>
      </c>
      <c r="Z353" t="s">
        <v>7058</v>
      </c>
      <c r="AA353" t="s">
        <v>7059</v>
      </c>
      <c r="AB353" t="s">
        <v>7060</v>
      </c>
      <c r="AC353" t="s">
        <v>7061</v>
      </c>
      <c r="AD353" t="s">
        <v>7062</v>
      </c>
      <c r="AE353" t="s">
        <v>7063</v>
      </c>
      <c r="AF353" t="s">
        <v>74</v>
      </c>
      <c r="AG353">
        <v>74</v>
      </c>
      <c r="AH353">
        <v>11</v>
      </c>
      <c r="AI353">
        <v>12</v>
      </c>
      <c r="AJ353">
        <v>2</v>
      </c>
      <c r="AK353">
        <v>34</v>
      </c>
      <c r="AL353" t="s">
        <v>1829</v>
      </c>
      <c r="AM353" t="s">
        <v>679</v>
      </c>
      <c r="AN353" t="s">
        <v>1830</v>
      </c>
      <c r="AO353" t="s">
        <v>3902</v>
      </c>
      <c r="AP353" t="s">
        <v>3903</v>
      </c>
      <c r="AQ353" t="s">
        <v>74</v>
      </c>
      <c r="AR353" t="s">
        <v>3904</v>
      </c>
      <c r="AS353" t="s">
        <v>3905</v>
      </c>
      <c r="AT353" t="s">
        <v>6000</v>
      </c>
      <c r="AU353">
        <v>2016</v>
      </c>
      <c r="AV353">
        <v>110</v>
      </c>
      <c r="AW353" t="s">
        <v>74</v>
      </c>
      <c r="AX353" t="s">
        <v>74</v>
      </c>
      <c r="AY353" t="s">
        <v>74</v>
      </c>
      <c r="AZ353" t="s">
        <v>74</v>
      </c>
      <c r="BA353" t="s">
        <v>74</v>
      </c>
      <c r="BB353">
        <v>75</v>
      </c>
      <c r="BC353">
        <v>89</v>
      </c>
      <c r="BD353" t="s">
        <v>74</v>
      </c>
      <c r="BE353" t="s">
        <v>7064</v>
      </c>
      <c r="BF353" t="str">
        <f>HYPERLINK("http://dx.doi.org/10.1016/j.dsr.2015.12.014","http://dx.doi.org/10.1016/j.dsr.2015.12.014")</f>
        <v>http://dx.doi.org/10.1016/j.dsr.2015.12.014</v>
      </c>
      <c r="BG353" t="s">
        <v>74</v>
      </c>
      <c r="BH353" t="s">
        <v>74</v>
      </c>
      <c r="BI353">
        <v>15</v>
      </c>
      <c r="BJ353" t="s">
        <v>361</v>
      </c>
      <c r="BK353" t="s">
        <v>102</v>
      </c>
      <c r="BL353" t="s">
        <v>361</v>
      </c>
      <c r="BM353" t="s">
        <v>7047</v>
      </c>
      <c r="BN353" t="s">
        <v>74</v>
      </c>
      <c r="BO353" t="s">
        <v>74</v>
      </c>
      <c r="BP353" t="s">
        <v>74</v>
      </c>
      <c r="BQ353" t="s">
        <v>74</v>
      </c>
      <c r="BR353" t="s">
        <v>106</v>
      </c>
      <c r="BS353" t="s">
        <v>7065</v>
      </c>
      <c r="BT353" t="str">
        <f>HYPERLINK("https%3A%2F%2Fwww.webofscience.com%2Fwos%2Fwoscc%2Ffull-record%2FWOS:000373544500006","View Full Record in Web of Science")</f>
        <v>View Full Record in Web of Science</v>
      </c>
    </row>
    <row r="354" spans="1:72" x14ac:dyDescent="0.15">
      <c r="A354" t="s">
        <v>72</v>
      </c>
      <c r="B354" t="s">
        <v>7066</v>
      </c>
      <c r="C354" t="s">
        <v>74</v>
      </c>
      <c r="D354" t="s">
        <v>74</v>
      </c>
      <c r="E354" t="s">
        <v>74</v>
      </c>
      <c r="F354" t="s">
        <v>7067</v>
      </c>
      <c r="G354" t="s">
        <v>74</v>
      </c>
      <c r="H354" t="s">
        <v>74</v>
      </c>
      <c r="I354" t="s">
        <v>7068</v>
      </c>
      <c r="J354" t="s">
        <v>7069</v>
      </c>
      <c r="K354" t="s">
        <v>74</v>
      </c>
      <c r="L354" t="s">
        <v>74</v>
      </c>
      <c r="M354" t="s">
        <v>78</v>
      </c>
      <c r="N354" t="s">
        <v>79</v>
      </c>
      <c r="O354" t="s">
        <v>74</v>
      </c>
      <c r="P354" t="s">
        <v>74</v>
      </c>
      <c r="Q354" t="s">
        <v>74</v>
      </c>
      <c r="R354" t="s">
        <v>74</v>
      </c>
      <c r="S354" t="s">
        <v>74</v>
      </c>
      <c r="T354" t="s">
        <v>7070</v>
      </c>
      <c r="U354" t="s">
        <v>7071</v>
      </c>
      <c r="V354" t="s">
        <v>7072</v>
      </c>
      <c r="W354" t="s">
        <v>7073</v>
      </c>
      <c r="X354" t="s">
        <v>7074</v>
      </c>
      <c r="Y354" t="s">
        <v>7075</v>
      </c>
      <c r="Z354" t="s">
        <v>7076</v>
      </c>
      <c r="AA354" t="s">
        <v>7077</v>
      </c>
      <c r="AB354" t="s">
        <v>7078</v>
      </c>
      <c r="AC354" t="s">
        <v>7079</v>
      </c>
      <c r="AD354" t="s">
        <v>7080</v>
      </c>
      <c r="AE354" t="s">
        <v>7081</v>
      </c>
      <c r="AF354" t="s">
        <v>74</v>
      </c>
      <c r="AG354">
        <v>48</v>
      </c>
      <c r="AH354">
        <v>18</v>
      </c>
      <c r="AI354">
        <v>18</v>
      </c>
      <c r="AJ354">
        <v>0</v>
      </c>
      <c r="AK354">
        <v>36</v>
      </c>
      <c r="AL354" t="s">
        <v>194</v>
      </c>
      <c r="AM354" t="s">
        <v>262</v>
      </c>
      <c r="AN354" t="s">
        <v>2836</v>
      </c>
      <c r="AO354" t="s">
        <v>7082</v>
      </c>
      <c r="AP354" t="s">
        <v>7083</v>
      </c>
      <c r="AQ354" t="s">
        <v>74</v>
      </c>
      <c r="AR354" t="s">
        <v>7084</v>
      </c>
      <c r="AS354" t="s">
        <v>7085</v>
      </c>
      <c r="AT354" t="s">
        <v>6000</v>
      </c>
      <c r="AU354">
        <v>2016</v>
      </c>
      <c r="AV354">
        <v>75</v>
      </c>
      <c r="AW354">
        <v>7</v>
      </c>
      <c r="AX354" t="s">
        <v>74</v>
      </c>
      <c r="AY354" t="s">
        <v>74</v>
      </c>
      <c r="AZ354" t="s">
        <v>74</v>
      </c>
      <c r="BA354" t="s">
        <v>74</v>
      </c>
      <c r="BB354" t="s">
        <v>74</v>
      </c>
      <c r="BC354" t="s">
        <v>74</v>
      </c>
      <c r="BD354">
        <v>623</v>
      </c>
      <c r="BE354" t="s">
        <v>7086</v>
      </c>
      <c r="BF354" t="str">
        <f>HYPERLINK("http://dx.doi.org/10.1007/s12665-016-5406-y","http://dx.doi.org/10.1007/s12665-016-5406-y")</f>
        <v>http://dx.doi.org/10.1007/s12665-016-5406-y</v>
      </c>
      <c r="BG354" t="s">
        <v>74</v>
      </c>
      <c r="BH354" t="s">
        <v>74</v>
      </c>
      <c r="BI354">
        <v>20</v>
      </c>
      <c r="BJ354" t="s">
        <v>7087</v>
      </c>
      <c r="BK354" t="s">
        <v>102</v>
      </c>
      <c r="BL354" t="s">
        <v>7088</v>
      </c>
      <c r="BM354" t="s">
        <v>7089</v>
      </c>
      <c r="BN354" t="s">
        <v>74</v>
      </c>
      <c r="BO354" t="s">
        <v>74</v>
      </c>
      <c r="BP354" t="s">
        <v>74</v>
      </c>
      <c r="BQ354" t="s">
        <v>74</v>
      </c>
      <c r="BR354" t="s">
        <v>106</v>
      </c>
      <c r="BS354" t="s">
        <v>7090</v>
      </c>
      <c r="BT354" t="str">
        <f>HYPERLINK("https%3A%2F%2Fwww.webofscience.com%2Fwos%2Fwoscc%2Ffull-record%2FWOS:000373635400082","View Full Record in Web of Science")</f>
        <v>View Full Record in Web of Science</v>
      </c>
    </row>
    <row r="355" spans="1:72" x14ac:dyDescent="0.15">
      <c r="A355" t="s">
        <v>72</v>
      </c>
      <c r="B355" t="s">
        <v>7091</v>
      </c>
      <c r="C355" t="s">
        <v>74</v>
      </c>
      <c r="D355" t="s">
        <v>74</v>
      </c>
      <c r="E355" t="s">
        <v>74</v>
      </c>
      <c r="F355" t="s">
        <v>7092</v>
      </c>
      <c r="G355" t="s">
        <v>74</v>
      </c>
      <c r="H355" t="s">
        <v>74</v>
      </c>
      <c r="I355" t="s">
        <v>7093</v>
      </c>
      <c r="J355" t="s">
        <v>7094</v>
      </c>
      <c r="K355" t="s">
        <v>74</v>
      </c>
      <c r="L355" t="s">
        <v>74</v>
      </c>
      <c r="M355" t="s">
        <v>78</v>
      </c>
      <c r="N355" t="s">
        <v>79</v>
      </c>
      <c r="O355" t="s">
        <v>74</v>
      </c>
      <c r="P355" t="s">
        <v>74</v>
      </c>
      <c r="Q355" t="s">
        <v>74</v>
      </c>
      <c r="R355" t="s">
        <v>74</v>
      </c>
      <c r="S355" t="s">
        <v>74</v>
      </c>
      <c r="T355" t="s">
        <v>7095</v>
      </c>
      <c r="U355" t="s">
        <v>7096</v>
      </c>
      <c r="V355" t="s">
        <v>7097</v>
      </c>
      <c r="W355" t="s">
        <v>7098</v>
      </c>
      <c r="X355" t="s">
        <v>7099</v>
      </c>
      <c r="Y355" t="s">
        <v>7100</v>
      </c>
      <c r="Z355" t="s">
        <v>7101</v>
      </c>
      <c r="AA355" t="s">
        <v>7102</v>
      </c>
      <c r="AB355" t="s">
        <v>7103</v>
      </c>
      <c r="AC355" t="s">
        <v>7104</v>
      </c>
      <c r="AD355" t="s">
        <v>7105</v>
      </c>
      <c r="AE355" t="s">
        <v>7106</v>
      </c>
      <c r="AF355" t="s">
        <v>74</v>
      </c>
      <c r="AG355">
        <v>35</v>
      </c>
      <c r="AH355">
        <v>13</v>
      </c>
      <c r="AI355">
        <v>13</v>
      </c>
      <c r="AJ355">
        <v>0</v>
      </c>
      <c r="AK355">
        <v>26</v>
      </c>
      <c r="AL355" t="s">
        <v>124</v>
      </c>
      <c r="AM355" t="s">
        <v>125</v>
      </c>
      <c r="AN355" t="s">
        <v>126</v>
      </c>
      <c r="AO355" t="s">
        <v>7107</v>
      </c>
      <c r="AP355" t="s">
        <v>7108</v>
      </c>
      <c r="AQ355" t="s">
        <v>74</v>
      </c>
      <c r="AR355" t="s">
        <v>7109</v>
      </c>
      <c r="AS355" t="s">
        <v>7110</v>
      </c>
      <c r="AT355" t="s">
        <v>6000</v>
      </c>
      <c r="AU355">
        <v>2016</v>
      </c>
      <c r="AV355">
        <v>12</v>
      </c>
      <c r="AW355">
        <v>2</v>
      </c>
      <c r="AX355" t="s">
        <v>74</v>
      </c>
      <c r="AY355" t="s">
        <v>74</v>
      </c>
      <c r="AZ355" t="s">
        <v>74</v>
      </c>
      <c r="BA355" t="s">
        <v>74</v>
      </c>
      <c r="BB355">
        <v>306</v>
      </c>
      <c r="BC355">
        <v>314</v>
      </c>
      <c r="BD355" t="s">
        <v>74</v>
      </c>
      <c r="BE355" t="s">
        <v>7111</v>
      </c>
      <c r="BF355" t="str">
        <f>HYPERLINK("http://dx.doi.org/10.1002/ieam.1674","http://dx.doi.org/10.1002/ieam.1674")</f>
        <v>http://dx.doi.org/10.1002/ieam.1674</v>
      </c>
      <c r="BG355" t="s">
        <v>74</v>
      </c>
      <c r="BH355" t="s">
        <v>74</v>
      </c>
      <c r="BI355">
        <v>9</v>
      </c>
      <c r="BJ355" t="s">
        <v>7112</v>
      </c>
      <c r="BK355" t="s">
        <v>102</v>
      </c>
      <c r="BL355" t="s">
        <v>7113</v>
      </c>
      <c r="BM355" t="s">
        <v>7114</v>
      </c>
      <c r="BN355">
        <v>26202610</v>
      </c>
      <c r="BO355" t="s">
        <v>74</v>
      </c>
      <c r="BP355" t="s">
        <v>74</v>
      </c>
      <c r="BQ355" t="s">
        <v>74</v>
      </c>
      <c r="BR355" t="s">
        <v>106</v>
      </c>
      <c r="BS355" t="s">
        <v>7115</v>
      </c>
      <c r="BT355" t="str">
        <f>HYPERLINK("https%3A%2F%2Fwww.webofscience.com%2Fwos%2Fwoscc%2Ffull-record%2FWOS:000373396900011","View Full Record in Web of Science")</f>
        <v>View Full Record in Web of Science</v>
      </c>
    </row>
    <row r="356" spans="1:72" x14ac:dyDescent="0.15">
      <c r="A356" t="s">
        <v>72</v>
      </c>
      <c r="B356" t="s">
        <v>7116</v>
      </c>
      <c r="C356" t="s">
        <v>74</v>
      </c>
      <c r="D356" t="s">
        <v>74</v>
      </c>
      <c r="E356" t="s">
        <v>74</v>
      </c>
      <c r="F356" t="s">
        <v>7117</v>
      </c>
      <c r="G356" t="s">
        <v>74</v>
      </c>
      <c r="H356" t="s">
        <v>74</v>
      </c>
      <c r="I356" t="s">
        <v>7118</v>
      </c>
      <c r="J356" t="s">
        <v>7119</v>
      </c>
      <c r="K356" t="s">
        <v>74</v>
      </c>
      <c r="L356" t="s">
        <v>74</v>
      </c>
      <c r="M356" t="s">
        <v>78</v>
      </c>
      <c r="N356" t="s">
        <v>79</v>
      </c>
      <c r="O356" t="s">
        <v>74</v>
      </c>
      <c r="P356" t="s">
        <v>74</v>
      </c>
      <c r="Q356" t="s">
        <v>74</v>
      </c>
      <c r="R356" t="s">
        <v>74</v>
      </c>
      <c r="S356" t="s">
        <v>74</v>
      </c>
      <c r="T356" t="s">
        <v>7120</v>
      </c>
      <c r="U356" t="s">
        <v>7121</v>
      </c>
      <c r="V356" t="s">
        <v>7122</v>
      </c>
      <c r="W356" t="s">
        <v>7123</v>
      </c>
      <c r="X356" t="s">
        <v>7124</v>
      </c>
      <c r="Y356" t="s">
        <v>7125</v>
      </c>
      <c r="Z356" t="s">
        <v>7126</v>
      </c>
      <c r="AA356" t="s">
        <v>7127</v>
      </c>
      <c r="AB356" t="s">
        <v>7128</v>
      </c>
      <c r="AC356" t="s">
        <v>7129</v>
      </c>
      <c r="AD356" t="s">
        <v>7130</v>
      </c>
      <c r="AE356" t="s">
        <v>7131</v>
      </c>
      <c r="AF356" t="s">
        <v>74</v>
      </c>
      <c r="AG356">
        <v>107</v>
      </c>
      <c r="AH356">
        <v>10</v>
      </c>
      <c r="AI356">
        <v>11</v>
      </c>
      <c r="AJ356">
        <v>3</v>
      </c>
      <c r="AK356">
        <v>34</v>
      </c>
      <c r="AL356" t="s">
        <v>7132</v>
      </c>
      <c r="AM356" t="s">
        <v>7133</v>
      </c>
      <c r="AN356" t="s">
        <v>7134</v>
      </c>
      <c r="AO356" t="s">
        <v>7135</v>
      </c>
      <c r="AP356" t="s">
        <v>7136</v>
      </c>
      <c r="AQ356" t="s">
        <v>74</v>
      </c>
      <c r="AR356" t="s">
        <v>7137</v>
      </c>
      <c r="AS356" t="s">
        <v>7138</v>
      </c>
      <c r="AT356" t="s">
        <v>6000</v>
      </c>
      <c r="AU356">
        <v>2016</v>
      </c>
      <c r="AV356">
        <v>97</v>
      </c>
      <c r="AW356">
        <v>2</v>
      </c>
      <c r="AX356" t="s">
        <v>74</v>
      </c>
      <c r="AY356" t="s">
        <v>74</v>
      </c>
      <c r="AZ356" t="s">
        <v>74</v>
      </c>
      <c r="BA356" t="s">
        <v>74</v>
      </c>
      <c r="BB356">
        <v>347</v>
      </c>
      <c r="BC356">
        <v>360</v>
      </c>
      <c r="BD356" t="s">
        <v>74</v>
      </c>
      <c r="BE356" t="s">
        <v>7139</v>
      </c>
      <c r="BF356" t="str">
        <f>HYPERLINK("http://dx.doi.org/10.1093/jmammal/gyv181","http://dx.doi.org/10.1093/jmammal/gyv181")</f>
        <v>http://dx.doi.org/10.1093/jmammal/gyv181</v>
      </c>
      <c r="BG356" t="s">
        <v>74</v>
      </c>
      <c r="BH356" t="s">
        <v>74</v>
      </c>
      <c r="BI356">
        <v>14</v>
      </c>
      <c r="BJ356" t="s">
        <v>541</v>
      </c>
      <c r="BK356" t="s">
        <v>102</v>
      </c>
      <c r="BL356" t="s">
        <v>541</v>
      </c>
      <c r="BM356" t="s">
        <v>7140</v>
      </c>
      <c r="BN356" t="s">
        <v>74</v>
      </c>
      <c r="BO356" t="s">
        <v>3386</v>
      </c>
      <c r="BP356" t="s">
        <v>74</v>
      </c>
      <c r="BQ356" t="s">
        <v>74</v>
      </c>
      <c r="BR356" t="s">
        <v>106</v>
      </c>
      <c r="BS356" t="s">
        <v>7141</v>
      </c>
      <c r="BT356" t="str">
        <f>HYPERLINK("https%3A%2F%2Fwww.webofscience.com%2Fwos%2Fwoscc%2Ffull-record%2FWOS:000373722700002","View Full Record in Web of Science")</f>
        <v>View Full Record in Web of Science</v>
      </c>
    </row>
    <row r="357" spans="1:72" x14ac:dyDescent="0.15">
      <c r="A357" t="s">
        <v>72</v>
      </c>
      <c r="B357" t="s">
        <v>7142</v>
      </c>
      <c r="C357" t="s">
        <v>74</v>
      </c>
      <c r="D357" t="s">
        <v>74</v>
      </c>
      <c r="E357" t="s">
        <v>74</v>
      </c>
      <c r="F357" t="s">
        <v>7143</v>
      </c>
      <c r="G357" t="s">
        <v>74</v>
      </c>
      <c r="H357" t="s">
        <v>74</v>
      </c>
      <c r="I357" t="s">
        <v>7144</v>
      </c>
      <c r="J357" t="s">
        <v>7119</v>
      </c>
      <c r="K357" t="s">
        <v>74</v>
      </c>
      <c r="L357" t="s">
        <v>74</v>
      </c>
      <c r="M357" t="s">
        <v>78</v>
      </c>
      <c r="N357" t="s">
        <v>79</v>
      </c>
      <c r="O357" t="s">
        <v>74</v>
      </c>
      <c r="P357" t="s">
        <v>74</v>
      </c>
      <c r="Q357" t="s">
        <v>74</v>
      </c>
      <c r="R357" t="s">
        <v>74</v>
      </c>
      <c r="S357" t="s">
        <v>74</v>
      </c>
      <c r="T357" t="s">
        <v>7145</v>
      </c>
      <c r="U357" t="s">
        <v>7146</v>
      </c>
      <c r="V357" t="s">
        <v>7147</v>
      </c>
      <c r="W357" t="s">
        <v>7148</v>
      </c>
      <c r="X357" t="s">
        <v>7149</v>
      </c>
      <c r="Y357" t="s">
        <v>7150</v>
      </c>
      <c r="Z357" t="s">
        <v>7151</v>
      </c>
      <c r="AA357" t="s">
        <v>7152</v>
      </c>
      <c r="AB357" t="s">
        <v>7153</v>
      </c>
      <c r="AC357" t="s">
        <v>7154</v>
      </c>
      <c r="AD357" t="s">
        <v>7154</v>
      </c>
      <c r="AE357" t="s">
        <v>7155</v>
      </c>
      <c r="AF357" t="s">
        <v>74</v>
      </c>
      <c r="AG357">
        <v>75</v>
      </c>
      <c r="AH357">
        <v>34</v>
      </c>
      <c r="AI357">
        <v>37</v>
      </c>
      <c r="AJ357">
        <v>1</v>
      </c>
      <c r="AK357">
        <v>41</v>
      </c>
      <c r="AL357" t="s">
        <v>7132</v>
      </c>
      <c r="AM357" t="s">
        <v>7133</v>
      </c>
      <c r="AN357" t="s">
        <v>7134</v>
      </c>
      <c r="AO357" t="s">
        <v>7135</v>
      </c>
      <c r="AP357" t="s">
        <v>7136</v>
      </c>
      <c r="AQ357" t="s">
        <v>74</v>
      </c>
      <c r="AR357" t="s">
        <v>7137</v>
      </c>
      <c r="AS357" t="s">
        <v>7138</v>
      </c>
      <c r="AT357" t="s">
        <v>6000</v>
      </c>
      <c r="AU357">
        <v>2016</v>
      </c>
      <c r="AV357">
        <v>97</v>
      </c>
      <c r="AW357">
        <v>2</v>
      </c>
      <c r="AX357" t="s">
        <v>74</v>
      </c>
      <c r="AY357" t="s">
        <v>74</v>
      </c>
      <c r="AZ357" t="s">
        <v>74</v>
      </c>
      <c r="BA357" t="s">
        <v>74</v>
      </c>
      <c r="BB357">
        <v>533</v>
      </c>
      <c r="BC357">
        <v>544</v>
      </c>
      <c r="BD357" t="s">
        <v>74</v>
      </c>
      <c r="BE357" t="s">
        <v>7156</v>
      </c>
      <c r="BF357" t="str">
        <f>HYPERLINK("http://dx.doi.org/10.1093/jmammal/gyv199","http://dx.doi.org/10.1093/jmammal/gyv199")</f>
        <v>http://dx.doi.org/10.1093/jmammal/gyv199</v>
      </c>
      <c r="BG357" t="s">
        <v>74</v>
      </c>
      <c r="BH357" t="s">
        <v>74</v>
      </c>
      <c r="BI357">
        <v>12</v>
      </c>
      <c r="BJ357" t="s">
        <v>541</v>
      </c>
      <c r="BK357" t="s">
        <v>102</v>
      </c>
      <c r="BL357" t="s">
        <v>541</v>
      </c>
      <c r="BM357" t="s">
        <v>7140</v>
      </c>
      <c r="BN357" t="s">
        <v>74</v>
      </c>
      <c r="BO357" t="s">
        <v>420</v>
      </c>
      <c r="BP357" t="s">
        <v>74</v>
      </c>
      <c r="BQ357" t="s">
        <v>74</v>
      </c>
      <c r="BR357" t="s">
        <v>106</v>
      </c>
      <c r="BS357" t="s">
        <v>7157</v>
      </c>
      <c r="BT357" t="str">
        <f>HYPERLINK("https%3A%2F%2Fwww.webofscience.com%2Fwos%2Fwoscc%2Ffull-record%2FWOS:000373722700019","View Full Record in Web of Science")</f>
        <v>View Full Record in Web of Science</v>
      </c>
    </row>
    <row r="358" spans="1:72" x14ac:dyDescent="0.15">
      <c r="A358" t="s">
        <v>72</v>
      </c>
      <c r="B358" t="s">
        <v>7158</v>
      </c>
      <c r="C358" t="s">
        <v>74</v>
      </c>
      <c r="D358" t="s">
        <v>74</v>
      </c>
      <c r="E358" t="s">
        <v>74</v>
      </c>
      <c r="F358" t="s">
        <v>7159</v>
      </c>
      <c r="G358" t="s">
        <v>74</v>
      </c>
      <c r="H358" t="s">
        <v>74</v>
      </c>
      <c r="I358" t="s">
        <v>7160</v>
      </c>
      <c r="J358" t="s">
        <v>7161</v>
      </c>
      <c r="K358" t="s">
        <v>74</v>
      </c>
      <c r="L358" t="s">
        <v>74</v>
      </c>
      <c r="M358" t="s">
        <v>78</v>
      </c>
      <c r="N358" t="s">
        <v>79</v>
      </c>
      <c r="O358" t="s">
        <v>74</v>
      </c>
      <c r="P358" t="s">
        <v>74</v>
      </c>
      <c r="Q358" t="s">
        <v>74</v>
      </c>
      <c r="R358" t="s">
        <v>74</v>
      </c>
      <c r="S358" t="s">
        <v>74</v>
      </c>
      <c r="T358" t="s">
        <v>7162</v>
      </c>
      <c r="U358" t="s">
        <v>7163</v>
      </c>
      <c r="V358" t="s">
        <v>7164</v>
      </c>
      <c r="W358" t="s">
        <v>7165</v>
      </c>
      <c r="X358" t="s">
        <v>7166</v>
      </c>
      <c r="Y358" t="s">
        <v>7167</v>
      </c>
      <c r="Z358" t="s">
        <v>7168</v>
      </c>
      <c r="AA358" t="s">
        <v>7169</v>
      </c>
      <c r="AB358" t="s">
        <v>7170</v>
      </c>
      <c r="AC358" t="s">
        <v>7171</v>
      </c>
      <c r="AD358" t="s">
        <v>7172</v>
      </c>
      <c r="AE358" t="s">
        <v>7173</v>
      </c>
      <c r="AF358" t="s">
        <v>74</v>
      </c>
      <c r="AG358">
        <v>16</v>
      </c>
      <c r="AH358">
        <v>18</v>
      </c>
      <c r="AI358">
        <v>19</v>
      </c>
      <c r="AJ358">
        <v>0</v>
      </c>
      <c r="AK358">
        <v>15</v>
      </c>
      <c r="AL358" t="s">
        <v>124</v>
      </c>
      <c r="AM358" t="s">
        <v>125</v>
      </c>
      <c r="AN358" t="s">
        <v>126</v>
      </c>
      <c r="AO358" t="s">
        <v>7174</v>
      </c>
      <c r="AP358" t="s">
        <v>7175</v>
      </c>
      <c r="AQ358" t="s">
        <v>74</v>
      </c>
      <c r="AR358" t="s">
        <v>7176</v>
      </c>
      <c r="AS358" t="s">
        <v>7177</v>
      </c>
      <c r="AT358" t="s">
        <v>6000</v>
      </c>
      <c r="AU358">
        <v>2016</v>
      </c>
      <c r="AV358">
        <v>52</v>
      </c>
      <c r="AW358">
        <v>2</v>
      </c>
      <c r="AX358" t="s">
        <v>74</v>
      </c>
      <c r="AY358" t="s">
        <v>74</v>
      </c>
      <c r="AZ358" t="s">
        <v>74</v>
      </c>
      <c r="BA358" t="s">
        <v>74</v>
      </c>
      <c r="BB358">
        <v>305</v>
      </c>
      <c r="BC358">
        <v>310</v>
      </c>
      <c r="BD358" t="s">
        <v>74</v>
      </c>
      <c r="BE358" t="s">
        <v>7178</v>
      </c>
      <c r="BF358" t="str">
        <f>HYPERLINK("http://dx.doi.org/10.1111/jpy.12383","http://dx.doi.org/10.1111/jpy.12383")</f>
        <v>http://dx.doi.org/10.1111/jpy.12383</v>
      </c>
      <c r="BG358" t="s">
        <v>74</v>
      </c>
      <c r="BH358" t="s">
        <v>74</v>
      </c>
      <c r="BI358">
        <v>6</v>
      </c>
      <c r="BJ358" t="s">
        <v>7179</v>
      </c>
      <c r="BK358" t="s">
        <v>102</v>
      </c>
      <c r="BL358" t="s">
        <v>7179</v>
      </c>
      <c r="BM358" t="s">
        <v>7180</v>
      </c>
      <c r="BN358">
        <v>27037594</v>
      </c>
      <c r="BO358" t="s">
        <v>1191</v>
      </c>
      <c r="BP358" t="s">
        <v>74</v>
      </c>
      <c r="BQ358" t="s">
        <v>74</v>
      </c>
      <c r="BR358" t="s">
        <v>106</v>
      </c>
      <c r="BS358" t="s">
        <v>7181</v>
      </c>
      <c r="BT358" t="str">
        <f>HYPERLINK("https%3A%2F%2Fwww.webofscience.com%2Fwos%2Fwoscc%2Ffull-record%2FWOS:000373618400014","View Full Record in Web of Science")</f>
        <v>View Full Record in Web of Science</v>
      </c>
    </row>
    <row r="359" spans="1:72" x14ac:dyDescent="0.15">
      <c r="A359" t="s">
        <v>72</v>
      </c>
      <c r="B359" t="s">
        <v>7182</v>
      </c>
      <c r="C359" t="s">
        <v>74</v>
      </c>
      <c r="D359" t="s">
        <v>74</v>
      </c>
      <c r="E359" t="s">
        <v>74</v>
      </c>
      <c r="F359" t="s">
        <v>7183</v>
      </c>
      <c r="G359" t="s">
        <v>74</v>
      </c>
      <c r="H359" t="s">
        <v>74</v>
      </c>
      <c r="I359" t="s">
        <v>7184</v>
      </c>
      <c r="J359" t="s">
        <v>500</v>
      </c>
      <c r="K359" t="s">
        <v>74</v>
      </c>
      <c r="L359" t="s">
        <v>74</v>
      </c>
      <c r="M359" t="s">
        <v>78</v>
      </c>
      <c r="N359" t="s">
        <v>79</v>
      </c>
      <c r="O359" t="s">
        <v>74</v>
      </c>
      <c r="P359" t="s">
        <v>74</v>
      </c>
      <c r="Q359" t="s">
        <v>74</v>
      </c>
      <c r="R359" t="s">
        <v>74</v>
      </c>
      <c r="S359" t="s">
        <v>74</v>
      </c>
      <c r="T359" t="s">
        <v>7185</v>
      </c>
      <c r="U359" t="s">
        <v>7186</v>
      </c>
      <c r="V359" t="s">
        <v>7187</v>
      </c>
      <c r="W359" t="s">
        <v>7188</v>
      </c>
      <c r="X359" t="s">
        <v>7189</v>
      </c>
      <c r="Y359" t="s">
        <v>7190</v>
      </c>
      <c r="Z359" t="s">
        <v>7191</v>
      </c>
      <c r="AA359" t="s">
        <v>7192</v>
      </c>
      <c r="AB359" t="s">
        <v>7193</v>
      </c>
      <c r="AC359" t="s">
        <v>7194</v>
      </c>
      <c r="AD359" t="s">
        <v>7195</v>
      </c>
      <c r="AE359" t="s">
        <v>7196</v>
      </c>
      <c r="AF359" t="s">
        <v>74</v>
      </c>
      <c r="AG359">
        <v>90</v>
      </c>
      <c r="AH359">
        <v>19</v>
      </c>
      <c r="AI359">
        <v>19</v>
      </c>
      <c r="AJ359">
        <v>1</v>
      </c>
      <c r="AK359">
        <v>16</v>
      </c>
      <c r="AL359" t="s">
        <v>511</v>
      </c>
      <c r="AM359" t="s">
        <v>512</v>
      </c>
      <c r="AN359" t="s">
        <v>513</v>
      </c>
      <c r="AO359" t="s">
        <v>514</v>
      </c>
      <c r="AP359" t="s">
        <v>515</v>
      </c>
      <c r="AQ359" t="s">
        <v>74</v>
      </c>
      <c r="AR359" t="s">
        <v>516</v>
      </c>
      <c r="AS359" t="s">
        <v>517</v>
      </c>
      <c r="AT359" t="s">
        <v>6000</v>
      </c>
      <c r="AU359">
        <v>2016</v>
      </c>
      <c r="AV359">
        <v>46</v>
      </c>
      <c r="AW359">
        <v>4</v>
      </c>
      <c r="AX359" t="s">
        <v>74</v>
      </c>
      <c r="AY359" t="s">
        <v>74</v>
      </c>
      <c r="AZ359" t="s">
        <v>74</v>
      </c>
      <c r="BA359" t="s">
        <v>74</v>
      </c>
      <c r="BB359">
        <v>1339</v>
      </c>
      <c r="BC359">
        <v>1358</v>
      </c>
      <c r="BD359" t="s">
        <v>74</v>
      </c>
      <c r="BE359" t="s">
        <v>7197</v>
      </c>
      <c r="BF359" t="str">
        <f>HYPERLINK("http://dx.doi.org/10.1175/JPO-D-15-0095.1","http://dx.doi.org/10.1175/JPO-D-15-0095.1")</f>
        <v>http://dx.doi.org/10.1175/JPO-D-15-0095.1</v>
      </c>
      <c r="BG359" t="s">
        <v>74</v>
      </c>
      <c r="BH359" t="s">
        <v>74</v>
      </c>
      <c r="BI359">
        <v>20</v>
      </c>
      <c r="BJ359" t="s">
        <v>361</v>
      </c>
      <c r="BK359" t="s">
        <v>102</v>
      </c>
      <c r="BL359" t="s">
        <v>361</v>
      </c>
      <c r="BM359" t="s">
        <v>7198</v>
      </c>
      <c r="BN359" t="s">
        <v>74</v>
      </c>
      <c r="BO359" t="s">
        <v>7199</v>
      </c>
      <c r="BP359" t="s">
        <v>74</v>
      </c>
      <c r="BQ359" t="s">
        <v>74</v>
      </c>
      <c r="BR359" t="s">
        <v>106</v>
      </c>
      <c r="BS359" t="s">
        <v>7200</v>
      </c>
      <c r="BT359" t="str">
        <f>HYPERLINK("https%3A%2F%2Fwww.webofscience.com%2Fwos%2Fwoscc%2Ffull-record%2FWOS:000373679000001","View Full Record in Web of Science")</f>
        <v>View Full Record in Web of Science</v>
      </c>
    </row>
    <row r="360" spans="1:72" x14ac:dyDescent="0.15">
      <c r="A360" t="s">
        <v>72</v>
      </c>
      <c r="B360" t="s">
        <v>7201</v>
      </c>
      <c r="C360" t="s">
        <v>74</v>
      </c>
      <c r="D360" t="s">
        <v>74</v>
      </c>
      <c r="E360" t="s">
        <v>74</v>
      </c>
      <c r="F360" t="s">
        <v>7202</v>
      </c>
      <c r="G360" t="s">
        <v>74</v>
      </c>
      <c r="H360" t="s">
        <v>74</v>
      </c>
      <c r="I360" t="s">
        <v>7203</v>
      </c>
      <c r="J360" t="s">
        <v>7204</v>
      </c>
      <c r="K360" t="s">
        <v>74</v>
      </c>
      <c r="L360" t="s">
        <v>74</v>
      </c>
      <c r="M360" t="s">
        <v>78</v>
      </c>
      <c r="N360" t="s">
        <v>79</v>
      </c>
      <c r="O360" t="s">
        <v>74</v>
      </c>
      <c r="P360" t="s">
        <v>74</v>
      </c>
      <c r="Q360" t="s">
        <v>74</v>
      </c>
      <c r="R360" t="s">
        <v>74</v>
      </c>
      <c r="S360" t="s">
        <v>74</v>
      </c>
      <c r="T360" t="s">
        <v>74</v>
      </c>
      <c r="U360" t="s">
        <v>7205</v>
      </c>
      <c r="V360" t="s">
        <v>7206</v>
      </c>
      <c r="W360" t="s">
        <v>7207</v>
      </c>
      <c r="X360" t="s">
        <v>7208</v>
      </c>
      <c r="Y360" t="s">
        <v>7209</v>
      </c>
      <c r="Z360" t="s">
        <v>7210</v>
      </c>
      <c r="AA360" t="s">
        <v>7211</v>
      </c>
      <c r="AB360" t="s">
        <v>7212</v>
      </c>
      <c r="AC360" t="s">
        <v>7213</v>
      </c>
      <c r="AD360" t="s">
        <v>7214</v>
      </c>
      <c r="AE360" t="s">
        <v>7215</v>
      </c>
      <c r="AF360" t="s">
        <v>74</v>
      </c>
      <c r="AG360">
        <v>29</v>
      </c>
      <c r="AH360">
        <v>109</v>
      </c>
      <c r="AI360">
        <v>124</v>
      </c>
      <c r="AJ360">
        <v>2</v>
      </c>
      <c r="AK360">
        <v>52</v>
      </c>
      <c r="AL360" t="s">
        <v>772</v>
      </c>
      <c r="AM360" t="s">
        <v>262</v>
      </c>
      <c r="AN360" t="s">
        <v>7216</v>
      </c>
      <c r="AO360" t="s">
        <v>7217</v>
      </c>
      <c r="AP360" t="s">
        <v>7218</v>
      </c>
      <c r="AQ360" t="s">
        <v>74</v>
      </c>
      <c r="AR360" t="s">
        <v>7219</v>
      </c>
      <c r="AS360" t="s">
        <v>7220</v>
      </c>
      <c r="AT360" t="s">
        <v>6000</v>
      </c>
      <c r="AU360">
        <v>2016</v>
      </c>
      <c r="AV360">
        <v>9</v>
      </c>
      <c r="AW360">
        <v>4</v>
      </c>
      <c r="AX360" t="s">
        <v>74</v>
      </c>
      <c r="AY360" t="s">
        <v>74</v>
      </c>
      <c r="AZ360" t="s">
        <v>74</v>
      </c>
      <c r="BA360" t="s">
        <v>74</v>
      </c>
      <c r="BB360">
        <v>290</v>
      </c>
      <c r="BC360" t="s">
        <v>1505</v>
      </c>
      <c r="BD360" t="s">
        <v>74</v>
      </c>
      <c r="BE360" t="s">
        <v>7221</v>
      </c>
      <c r="BF360" t="str">
        <f>HYPERLINK("http://dx.doi.org/10.1038/NGEO2675","http://dx.doi.org/10.1038/NGEO2675")</f>
        <v>http://dx.doi.org/10.1038/NGEO2675</v>
      </c>
      <c r="BG360" t="s">
        <v>74</v>
      </c>
      <c r="BH360" t="s">
        <v>74</v>
      </c>
      <c r="BI360">
        <v>5</v>
      </c>
      <c r="BJ360" t="s">
        <v>269</v>
      </c>
      <c r="BK360" t="s">
        <v>102</v>
      </c>
      <c r="BL360" t="s">
        <v>270</v>
      </c>
      <c r="BM360" t="s">
        <v>7222</v>
      </c>
      <c r="BN360" t="s">
        <v>74</v>
      </c>
      <c r="BO360" t="s">
        <v>74</v>
      </c>
      <c r="BP360" t="s">
        <v>74</v>
      </c>
      <c r="BQ360" t="s">
        <v>74</v>
      </c>
      <c r="BR360" t="s">
        <v>106</v>
      </c>
      <c r="BS360" t="s">
        <v>7223</v>
      </c>
      <c r="BT360" t="str">
        <f>HYPERLINK("https%3A%2F%2Fwww.webofscience.com%2Fwos%2Fwoscc%2Ffull-record%2FWOS:000373374100013","View Full Record in Web of Science")</f>
        <v>View Full Record in Web of Science</v>
      </c>
    </row>
    <row r="361" spans="1:72" x14ac:dyDescent="0.15">
      <c r="A361" t="s">
        <v>72</v>
      </c>
      <c r="B361" t="s">
        <v>7224</v>
      </c>
      <c r="C361" t="s">
        <v>74</v>
      </c>
      <c r="D361" t="s">
        <v>74</v>
      </c>
      <c r="E361" t="s">
        <v>74</v>
      </c>
      <c r="F361" t="s">
        <v>7225</v>
      </c>
      <c r="G361" t="s">
        <v>74</v>
      </c>
      <c r="H361" t="s">
        <v>74</v>
      </c>
      <c r="I361" t="s">
        <v>7226</v>
      </c>
      <c r="J361" t="s">
        <v>1888</v>
      </c>
      <c r="K361" t="s">
        <v>74</v>
      </c>
      <c r="L361" t="s">
        <v>74</v>
      </c>
      <c r="M361" t="s">
        <v>78</v>
      </c>
      <c r="N361" t="s">
        <v>79</v>
      </c>
      <c r="O361" t="s">
        <v>74</v>
      </c>
      <c r="P361" t="s">
        <v>74</v>
      </c>
      <c r="Q361" t="s">
        <v>74</v>
      </c>
      <c r="R361" t="s">
        <v>74</v>
      </c>
      <c r="S361" t="s">
        <v>74</v>
      </c>
      <c r="T361" t="s">
        <v>7227</v>
      </c>
      <c r="U361" t="s">
        <v>7228</v>
      </c>
      <c r="V361" t="s">
        <v>7229</v>
      </c>
      <c r="W361" t="s">
        <v>7230</v>
      </c>
      <c r="X361" t="s">
        <v>7231</v>
      </c>
      <c r="Y361" t="s">
        <v>7232</v>
      </c>
      <c r="Z361" t="s">
        <v>7233</v>
      </c>
      <c r="AA361" t="s">
        <v>74</v>
      </c>
      <c r="AB361" t="s">
        <v>7234</v>
      </c>
      <c r="AC361" t="s">
        <v>7235</v>
      </c>
      <c r="AD361" t="s">
        <v>7236</v>
      </c>
      <c r="AE361" t="s">
        <v>7237</v>
      </c>
      <c r="AF361" t="s">
        <v>74</v>
      </c>
      <c r="AG361">
        <v>82</v>
      </c>
      <c r="AH361">
        <v>62</v>
      </c>
      <c r="AI361">
        <v>76</v>
      </c>
      <c r="AJ361">
        <v>3</v>
      </c>
      <c r="AK361">
        <v>45</v>
      </c>
      <c r="AL361" t="s">
        <v>1829</v>
      </c>
      <c r="AM361" t="s">
        <v>679</v>
      </c>
      <c r="AN361" t="s">
        <v>1830</v>
      </c>
      <c r="AO361" t="s">
        <v>1900</v>
      </c>
      <c r="AP361" t="s">
        <v>7238</v>
      </c>
      <c r="AQ361" t="s">
        <v>74</v>
      </c>
      <c r="AR361" t="s">
        <v>1901</v>
      </c>
      <c r="AS361" t="s">
        <v>1902</v>
      </c>
      <c r="AT361" t="s">
        <v>6380</v>
      </c>
      <c r="AU361">
        <v>2016</v>
      </c>
      <c r="AV361">
        <v>137</v>
      </c>
      <c r="AW361" t="s">
        <v>74</v>
      </c>
      <c r="AX361" t="s">
        <v>74</v>
      </c>
      <c r="AY361" t="s">
        <v>74</v>
      </c>
      <c r="AZ361" t="s">
        <v>74</v>
      </c>
      <c r="BA361" t="s">
        <v>74</v>
      </c>
      <c r="BB361">
        <v>54</v>
      </c>
      <c r="BC361">
        <v>68</v>
      </c>
      <c r="BD361" t="s">
        <v>74</v>
      </c>
      <c r="BE361" t="s">
        <v>7239</v>
      </c>
      <c r="BF361" t="str">
        <f>HYPERLINK("http://dx.doi.org/10.1016/j.quascirev.2016.02.002","http://dx.doi.org/10.1016/j.quascirev.2016.02.002")</f>
        <v>http://dx.doi.org/10.1016/j.quascirev.2016.02.002</v>
      </c>
      <c r="BG361" t="s">
        <v>74</v>
      </c>
      <c r="BH361" t="s">
        <v>74</v>
      </c>
      <c r="BI361">
        <v>15</v>
      </c>
      <c r="BJ361" t="s">
        <v>1904</v>
      </c>
      <c r="BK361" t="s">
        <v>102</v>
      </c>
      <c r="BL361" t="s">
        <v>1905</v>
      </c>
      <c r="BM361" t="s">
        <v>7240</v>
      </c>
      <c r="BN361" t="s">
        <v>74</v>
      </c>
      <c r="BO361" t="s">
        <v>222</v>
      </c>
      <c r="BP361" t="s">
        <v>74</v>
      </c>
      <c r="BQ361" t="s">
        <v>74</v>
      </c>
      <c r="BR361" t="s">
        <v>106</v>
      </c>
      <c r="BS361" t="s">
        <v>7241</v>
      </c>
      <c r="BT361" t="str">
        <f>HYPERLINK("https%3A%2F%2Fwww.webofscience.com%2Fwos%2Fwoscc%2Ffull-record%2FWOS:000373547100005","View Full Record in Web of Science")</f>
        <v>View Full Record in Web of Science</v>
      </c>
    </row>
    <row r="362" spans="1:72" x14ac:dyDescent="0.15">
      <c r="A362" t="s">
        <v>72</v>
      </c>
      <c r="B362" t="s">
        <v>7242</v>
      </c>
      <c r="C362" t="s">
        <v>74</v>
      </c>
      <c r="D362" t="s">
        <v>74</v>
      </c>
      <c r="E362" t="s">
        <v>74</v>
      </c>
      <c r="F362" t="s">
        <v>7243</v>
      </c>
      <c r="G362" t="s">
        <v>74</v>
      </c>
      <c r="H362" t="s">
        <v>74</v>
      </c>
      <c r="I362" t="s">
        <v>7244</v>
      </c>
      <c r="J362" t="s">
        <v>500</v>
      </c>
      <c r="K362" t="s">
        <v>74</v>
      </c>
      <c r="L362" t="s">
        <v>74</v>
      </c>
      <c r="M362" t="s">
        <v>78</v>
      </c>
      <c r="N362" t="s">
        <v>79</v>
      </c>
      <c r="O362" t="s">
        <v>74</v>
      </c>
      <c r="P362" t="s">
        <v>74</v>
      </c>
      <c r="Q362" t="s">
        <v>74</v>
      </c>
      <c r="R362" t="s">
        <v>74</v>
      </c>
      <c r="S362" t="s">
        <v>74</v>
      </c>
      <c r="T362" t="s">
        <v>7245</v>
      </c>
      <c r="U362" t="s">
        <v>7246</v>
      </c>
      <c r="V362" t="s">
        <v>7247</v>
      </c>
      <c r="W362" t="s">
        <v>7248</v>
      </c>
      <c r="X362" t="s">
        <v>7249</v>
      </c>
      <c r="Y362" t="s">
        <v>7250</v>
      </c>
      <c r="Z362" t="s">
        <v>7251</v>
      </c>
      <c r="AA362" t="s">
        <v>74</v>
      </c>
      <c r="AB362" t="s">
        <v>7252</v>
      </c>
      <c r="AC362" t="s">
        <v>7253</v>
      </c>
      <c r="AD362" t="s">
        <v>7254</v>
      </c>
      <c r="AE362" t="s">
        <v>7255</v>
      </c>
      <c r="AF362" t="s">
        <v>74</v>
      </c>
      <c r="AG362">
        <v>48</v>
      </c>
      <c r="AH362">
        <v>13</v>
      </c>
      <c r="AI362">
        <v>16</v>
      </c>
      <c r="AJ362">
        <v>0</v>
      </c>
      <c r="AK362">
        <v>11</v>
      </c>
      <c r="AL362" t="s">
        <v>511</v>
      </c>
      <c r="AM362" t="s">
        <v>512</v>
      </c>
      <c r="AN362" t="s">
        <v>513</v>
      </c>
      <c r="AO362" t="s">
        <v>514</v>
      </c>
      <c r="AP362" t="s">
        <v>515</v>
      </c>
      <c r="AQ362" t="s">
        <v>74</v>
      </c>
      <c r="AR362" t="s">
        <v>516</v>
      </c>
      <c r="AS362" t="s">
        <v>517</v>
      </c>
      <c r="AT362" t="s">
        <v>6000</v>
      </c>
      <c r="AU362">
        <v>2016</v>
      </c>
      <c r="AV362">
        <v>46</v>
      </c>
      <c r="AW362">
        <v>4</v>
      </c>
      <c r="AX362" t="s">
        <v>74</v>
      </c>
      <c r="AY362" t="s">
        <v>74</v>
      </c>
      <c r="AZ362" t="s">
        <v>74</v>
      </c>
      <c r="BA362" t="s">
        <v>74</v>
      </c>
      <c r="BB362">
        <v>1309</v>
      </c>
      <c r="BC362">
        <v>1321</v>
      </c>
      <c r="BD362" t="s">
        <v>74</v>
      </c>
      <c r="BE362" t="s">
        <v>7256</v>
      </c>
      <c r="BF362" t="str">
        <f>HYPERLINK("http://dx.doi.org/10.1175/JPO-D-15-0068.1","http://dx.doi.org/10.1175/JPO-D-15-0068.1")</f>
        <v>http://dx.doi.org/10.1175/JPO-D-15-0068.1</v>
      </c>
      <c r="BG362" t="s">
        <v>74</v>
      </c>
      <c r="BH362" t="s">
        <v>74</v>
      </c>
      <c r="BI362">
        <v>13</v>
      </c>
      <c r="BJ362" t="s">
        <v>361</v>
      </c>
      <c r="BK362" t="s">
        <v>102</v>
      </c>
      <c r="BL362" t="s">
        <v>361</v>
      </c>
      <c r="BM362" t="s">
        <v>7257</v>
      </c>
      <c r="BN362" t="s">
        <v>74</v>
      </c>
      <c r="BO362" t="s">
        <v>1440</v>
      </c>
      <c r="BP362" t="s">
        <v>74</v>
      </c>
      <c r="BQ362" t="s">
        <v>74</v>
      </c>
      <c r="BR362" t="s">
        <v>106</v>
      </c>
      <c r="BS362" t="s">
        <v>7258</v>
      </c>
      <c r="BT362" t="str">
        <f>HYPERLINK("https%3A%2F%2Fwww.webofscience.com%2Fwos%2Fwoscc%2Ffull-record%2FWOS:000373351300001","View Full Record in Web of Science")</f>
        <v>View Full Record in Web of Science</v>
      </c>
    </row>
    <row r="363" spans="1:72" x14ac:dyDescent="0.15">
      <c r="A363" t="s">
        <v>72</v>
      </c>
      <c r="B363" t="s">
        <v>7259</v>
      </c>
      <c r="C363" t="s">
        <v>74</v>
      </c>
      <c r="D363" t="s">
        <v>74</v>
      </c>
      <c r="E363" t="s">
        <v>74</v>
      </c>
      <c r="F363" t="s">
        <v>7260</v>
      </c>
      <c r="G363" t="s">
        <v>74</v>
      </c>
      <c r="H363" t="s">
        <v>74</v>
      </c>
      <c r="I363" t="s">
        <v>7261</v>
      </c>
      <c r="J363" t="s">
        <v>7262</v>
      </c>
      <c r="K363" t="s">
        <v>74</v>
      </c>
      <c r="L363" t="s">
        <v>74</v>
      </c>
      <c r="M363" t="s">
        <v>78</v>
      </c>
      <c r="N363" t="s">
        <v>79</v>
      </c>
      <c r="O363" t="s">
        <v>74</v>
      </c>
      <c r="P363" t="s">
        <v>74</v>
      </c>
      <c r="Q363" t="s">
        <v>74</v>
      </c>
      <c r="R363" t="s">
        <v>74</v>
      </c>
      <c r="S363" t="s">
        <v>74</v>
      </c>
      <c r="T363" t="s">
        <v>7263</v>
      </c>
      <c r="U363" t="s">
        <v>7264</v>
      </c>
      <c r="V363" t="s">
        <v>7265</v>
      </c>
      <c r="W363" t="s">
        <v>7266</v>
      </c>
      <c r="X363" t="s">
        <v>7267</v>
      </c>
      <c r="Y363" t="s">
        <v>7268</v>
      </c>
      <c r="Z363" t="s">
        <v>7269</v>
      </c>
      <c r="AA363" t="s">
        <v>7270</v>
      </c>
      <c r="AB363" t="s">
        <v>7271</v>
      </c>
      <c r="AC363" t="s">
        <v>7272</v>
      </c>
      <c r="AD363" t="s">
        <v>7273</v>
      </c>
      <c r="AE363" t="s">
        <v>7274</v>
      </c>
      <c r="AF363" t="s">
        <v>74</v>
      </c>
      <c r="AG363">
        <v>43</v>
      </c>
      <c r="AH363">
        <v>14</v>
      </c>
      <c r="AI363">
        <v>14</v>
      </c>
      <c r="AJ363">
        <v>0</v>
      </c>
      <c r="AK363">
        <v>13</v>
      </c>
      <c r="AL363" t="s">
        <v>240</v>
      </c>
      <c r="AM363" t="s">
        <v>241</v>
      </c>
      <c r="AN363" t="s">
        <v>242</v>
      </c>
      <c r="AO363" t="s">
        <v>7275</v>
      </c>
      <c r="AP363" t="s">
        <v>7276</v>
      </c>
      <c r="AQ363" t="s">
        <v>74</v>
      </c>
      <c r="AR363" t="s">
        <v>7277</v>
      </c>
      <c r="AS363" t="s">
        <v>7278</v>
      </c>
      <c r="AT363" t="s">
        <v>6000</v>
      </c>
      <c r="AU363">
        <v>2016</v>
      </c>
      <c r="AV363">
        <v>97</v>
      </c>
      <c r="AW363" t="s">
        <v>74</v>
      </c>
      <c r="AX363" t="s">
        <v>74</v>
      </c>
      <c r="AY363" t="s">
        <v>74</v>
      </c>
      <c r="AZ363" t="s">
        <v>74</v>
      </c>
      <c r="BA363" t="s">
        <v>74</v>
      </c>
      <c r="BB363">
        <v>101</v>
      </c>
      <c r="BC363">
        <v>106</v>
      </c>
      <c r="BD363" t="s">
        <v>74</v>
      </c>
      <c r="BE363" t="s">
        <v>7279</v>
      </c>
      <c r="BF363" t="str">
        <f>HYPERLINK("http://dx.doi.org/10.1016/j.ympev.2015.12.012","http://dx.doi.org/10.1016/j.ympev.2015.12.012")</f>
        <v>http://dx.doi.org/10.1016/j.ympev.2015.12.012</v>
      </c>
      <c r="BG363" t="s">
        <v>74</v>
      </c>
      <c r="BH363" t="s">
        <v>74</v>
      </c>
      <c r="BI363">
        <v>6</v>
      </c>
      <c r="BJ363" t="s">
        <v>7280</v>
      </c>
      <c r="BK363" t="s">
        <v>102</v>
      </c>
      <c r="BL363" t="s">
        <v>7280</v>
      </c>
      <c r="BM363" t="s">
        <v>7281</v>
      </c>
      <c r="BN363">
        <v>26768113</v>
      </c>
      <c r="BO363" t="s">
        <v>74</v>
      </c>
      <c r="BP363" t="s">
        <v>74</v>
      </c>
      <c r="BQ363" t="s">
        <v>74</v>
      </c>
      <c r="BR363" t="s">
        <v>106</v>
      </c>
      <c r="BS363" t="s">
        <v>7282</v>
      </c>
      <c r="BT363" t="str">
        <f>HYPERLINK("https%3A%2F%2Fwww.webofscience.com%2Fwos%2Fwoscc%2Ffull-record%2FWOS:000372769500010","View Full Record in Web of Science")</f>
        <v>View Full Record in Web of Science</v>
      </c>
    </row>
    <row r="364" spans="1:72" x14ac:dyDescent="0.15">
      <c r="A364" t="s">
        <v>72</v>
      </c>
      <c r="B364" t="s">
        <v>7283</v>
      </c>
      <c r="C364" t="s">
        <v>74</v>
      </c>
      <c r="D364" t="s">
        <v>74</v>
      </c>
      <c r="E364" t="s">
        <v>74</v>
      </c>
      <c r="F364" t="s">
        <v>7284</v>
      </c>
      <c r="G364" t="s">
        <v>74</v>
      </c>
      <c r="H364" t="s">
        <v>74</v>
      </c>
      <c r="I364" t="s">
        <v>7285</v>
      </c>
      <c r="J364" t="s">
        <v>7262</v>
      </c>
      <c r="K364" t="s">
        <v>74</v>
      </c>
      <c r="L364" t="s">
        <v>74</v>
      </c>
      <c r="M364" t="s">
        <v>78</v>
      </c>
      <c r="N364" t="s">
        <v>79</v>
      </c>
      <c r="O364" t="s">
        <v>74</v>
      </c>
      <c r="P364" t="s">
        <v>74</v>
      </c>
      <c r="Q364" t="s">
        <v>74</v>
      </c>
      <c r="R364" t="s">
        <v>74</v>
      </c>
      <c r="S364" t="s">
        <v>74</v>
      </c>
      <c r="T364" t="s">
        <v>7286</v>
      </c>
      <c r="U364" t="s">
        <v>7287</v>
      </c>
      <c r="V364" t="s">
        <v>7288</v>
      </c>
      <c r="W364" t="s">
        <v>7289</v>
      </c>
      <c r="X364" t="s">
        <v>7290</v>
      </c>
      <c r="Y364" t="s">
        <v>7291</v>
      </c>
      <c r="Z364" t="s">
        <v>7292</v>
      </c>
      <c r="AA364" t="s">
        <v>7293</v>
      </c>
      <c r="AB364" t="s">
        <v>7294</v>
      </c>
      <c r="AC364" t="s">
        <v>7295</v>
      </c>
      <c r="AD364" t="s">
        <v>7295</v>
      </c>
      <c r="AE364" t="s">
        <v>7296</v>
      </c>
      <c r="AF364" t="s">
        <v>74</v>
      </c>
      <c r="AG364">
        <v>57</v>
      </c>
      <c r="AH364">
        <v>8</v>
      </c>
      <c r="AI364">
        <v>12</v>
      </c>
      <c r="AJ364">
        <v>0</v>
      </c>
      <c r="AK364">
        <v>8</v>
      </c>
      <c r="AL364" t="s">
        <v>240</v>
      </c>
      <c r="AM364" t="s">
        <v>241</v>
      </c>
      <c r="AN364" t="s">
        <v>242</v>
      </c>
      <c r="AO364" t="s">
        <v>7275</v>
      </c>
      <c r="AP364" t="s">
        <v>7276</v>
      </c>
      <c r="AQ364" t="s">
        <v>74</v>
      </c>
      <c r="AR364" t="s">
        <v>7277</v>
      </c>
      <c r="AS364" t="s">
        <v>7278</v>
      </c>
      <c r="AT364" t="s">
        <v>6000</v>
      </c>
      <c r="AU364">
        <v>2016</v>
      </c>
      <c r="AV364">
        <v>97</v>
      </c>
      <c r="AW364" t="s">
        <v>74</v>
      </c>
      <c r="AX364" t="s">
        <v>74</v>
      </c>
      <c r="AY364" t="s">
        <v>74</v>
      </c>
      <c r="AZ364" t="s">
        <v>74</v>
      </c>
      <c r="BA364" t="s">
        <v>74</v>
      </c>
      <c r="BB364">
        <v>170</v>
      </c>
      <c r="BC364">
        <v>176</v>
      </c>
      <c r="BD364" t="s">
        <v>74</v>
      </c>
      <c r="BE364" t="s">
        <v>7297</v>
      </c>
      <c r="BF364" t="str">
        <f>HYPERLINK("http://dx.doi.org/10.1016/j.ympev.2016.01.004","http://dx.doi.org/10.1016/j.ympev.2016.01.004")</f>
        <v>http://dx.doi.org/10.1016/j.ympev.2016.01.004</v>
      </c>
      <c r="BG364" t="s">
        <v>74</v>
      </c>
      <c r="BH364" t="s">
        <v>74</v>
      </c>
      <c r="BI364">
        <v>7</v>
      </c>
      <c r="BJ364" t="s">
        <v>7280</v>
      </c>
      <c r="BK364" t="s">
        <v>102</v>
      </c>
      <c r="BL364" t="s">
        <v>7280</v>
      </c>
      <c r="BM364" t="s">
        <v>7281</v>
      </c>
      <c r="BN364">
        <v>26804817</v>
      </c>
      <c r="BO364" t="s">
        <v>74</v>
      </c>
      <c r="BP364" t="s">
        <v>74</v>
      </c>
      <c r="BQ364" t="s">
        <v>74</v>
      </c>
      <c r="BR364" t="s">
        <v>106</v>
      </c>
      <c r="BS364" t="s">
        <v>7298</v>
      </c>
      <c r="BT364" t="str">
        <f>HYPERLINK("https%3A%2F%2Fwww.webofscience.com%2Fwos%2Fwoscc%2Ffull-record%2FWOS:000372769500016","View Full Record in Web of Science")</f>
        <v>View Full Record in Web of Science</v>
      </c>
    </row>
    <row r="365" spans="1:72" x14ac:dyDescent="0.15">
      <c r="A365" t="s">
        <v>72</v>
      </c>
      <c r="B365" t="s">
        <v>7299</v>
      </c>
      <c r="C365" t="s">
        <v>74</v>
      </c>
      <c r="D365" t="s">
        <v>74</v>
      </c>
      <c r="E365" t="s">
        <v>74</v>
      </c>
      <c r="F365" t="s">
        <v>7300</v>
      </c>
      <c r="G365" t="s">
        <v>74</v>
      </c>
      <c r="H365" t="s">
        <v>74</v>
      </c>
      <c r="I365" t="s">
        <v>7301</v>
      </c>
      <c r="J365" t="s">
        <v>7302</v>
      </c>
      <c r="K365" t="s">
        <v>74</v>
      </c>
      <c r="L365" t="s">
        <v>74</v>
      </c>
      <c r="M365" t="s">
        <v>78</v>
      </c>
      <c r="N365" t="s">
        <v>79</v>
      </c>
      <c r="O365" t="s">
        <v>74</v>
      </c>
      <c r="P365" t="s">
        <v>74</v>
      </c>
      <c r="Q365" t="s">
        <v>74</v>
      </c>
      <c r="R365" t="s">
        <v>74</v>
      </c>
      <c r="S365" t="s">
        <v>74</v>
      </c>
      <c r="T365" t="s">
        <v>7303</v>
      </c>
      <c r="U365" t="s">
        <v>7304</v>
      </c>
      <c r="V365" t="s">
        <v>7305</v>
      </c>
      <c r="W365" t="s">
        <v>7306</v>
      </c>
      <c r="X365" t="s">
        <v>7307</v>
      </c>
      <c r="Y365" t="s">
        <v>7308</v>
      </c>
      <c r="Z365" t="s">
        <v>7309</v>
      </c>
      <c r="AA365" t="s">
        <v>7310</v>
      </c>
      <c r="AB365" t="s">
        <v>7311</v>
      </c>
      <c r="AC365" t="s">
        <v>7312</v>
      </c>
      <c r="AD365" t="s">
        <v>7313</v>
      </c>
      <c r="AE365" t="s">
        <v>7314</v>
      </c>
      <c r="AF365" t="s">
        <v>74</v>
      </c>
      <c r="AG365">
        <v>26</v>
      </c>
      <c r="AH365">
        <v>14</v>
      </c>
      <c r="AI365">
        <v>16</v>
      </c>
      <c r="AJ365">
        <v>0</v>
      </c>
      <c r="AK365">
        <v>21</v>
      </c>
      <c r="AL365" t="s">
        <v>511</v>
      </c>
      <c r="AM365" t="s">
        <v>512</v>
      </c>
      <c r="AN365" t="s">
        <v>513</v>
      </c>
      <c r="AO365" t="s">
        <v>7315</v>
      </c>
      <c r="AP365" t="s">
        <v>7316</v>
      </c>
      <c r="AQ365" t="s">
        <v>74</v>
      </c>
      <c r="AR365" t="s">
        <v>7317</v>
      </c>
      <c r="AS365" t="s">
        <v>7318</v>
      </c>
      <c r="AT365" t="s">
        <v>6000</v>
      </c>
      <c r="AU365">
        <v>2016</v>
      </c>
      <c r="AV365">
        <v>144</v>
      </c>
      <c r="AW365">
        <v>4</v>
      </c>
      <c r="AX365" t="s">
        <v>74</v>
      </c>
      <c r="AY365" t="s">
        <v>74</v>
      </c>
      <c r="AZ365" t="s">
        <v>74</v>
      </c>
      <c r="BA365" t="s">
        <v>74</v>
      </c>
      <c r="BB365">
        <v>1355</v>
      </c>
      <c r="BC365">
        <v>1362</v>
      </c>
      <c r="BD365" t="s">
        <v>74</v>
      </c>
      <c r="BE365" t="s">
        <v>7319</v>
      </c>
      <c r="BF365" t="str">
        <f>HYPERLINK("http://dx.doi.org/10.1175/MWR-D-15-0434.1","http://dx.doi.org/10.1175/MWR-D-15-0434.1")</f>
        <v>http://dx.doi.org/10.1175/MWR-D-15-0434.1</v>
      </c>
      <c r="BG365" t="s">
        <v>74</v>
      </c>
      <c r="BH365" t="s">
        <v>74</v>
      </c>
      <c r="BI365">
        <v>8</v>
      </c>
      <c r="BJ365" t="s">
        <v>1726</v>
      </c>
      <c r="BK365" t="s">
        <v>102</v>
      </c>
      <c r="BL365" t="s">
        <v>1726</v>
      </c>
      <c r="BM365" t="s">
        <v>7320</v>
      </c>
      <c r="BN365" t="s">
        <v>74</v>
      </c>
      <c r="BO365" t="s">
        <v>222</v>
      </c>
      <c r="BP365" t="s">
        <v>74</v>
      </c>
      <c r="BQ365" t="s">
        <v>74</v>
      </c>
      <c r="BR365" t="s">
        <v>106</v>
      </c>
      <c r="BS365" t="s">
        <v>7321</v>
      </c>
      <c r="BT365" t="str">
        <f>HYPERLINK("https%3A%2F%2Fwww.webofscience.com%2Fwos%2Fwoscc%2Ffull-record%2FWOS:000373312300002","View Full Record in Web of Science")</f>
        <v>View Full Record in Web of Science</v>
      </c>
    </row>
    <row r="366" spans="1:72" x14ac:dyDescent="0.15">
      <c r="A366" t="s">
        <v>72</v>
      </c>
      <c r="B366" t="s">
        <v>7322</v>
      </c>
      <c r="C366" t="s">
        <v>74</v>
      </c>
      <c r="D366" t="s">
        <v>74</v>
      </c>
      <c r="E366" t="s">
        <v>74</v>
      </c>
      <c r="F366" t="s">
        <v>7323</v>
      </c>
      <c r="G366" t="s">
        <v>74</v>
      </c>
      <c r="H366" t="s">
        <v>74</v>
      </c>
      <c r="I366" t="s">
        <v>7324</v>
      </c>
      <c r="J366" t="s">
        <v>7325</v>
      </c>
      <c r="K366" t="s">
        <v>74</v>
      </c>
      <c r="L366" t="s">
        <v>74</v>
      </c>
      <c r="M366" t="s">
        <v>78</v>
      </c>
      <c r="N366" t="s">
        <v>79</v>
      </c>
      <c r="O366" t="s">
        <v>74</v>
      </c>
      <c r="P366" t="s">
        <v>74</v>
      </c>
      <c r="Q366" t="s">
        <v>74</v>
      </c>
      <c r="R366" t="s">
        <v>74</v>
      </c>
      <c r="S366" t="s">
        <v>74</v>
      </c>
      <c r="T366" t="s">
        <v>7326</v>
      </c>
      <c r="U366" t="s">
        <v>7327</v>
      </c>
      <c r="V366" t="s">
        <v>7328</v>
      </c>
      <c r="W366" t="s">
        <v>7329</v>
      </c>
      <c r="X366" t="s">
        <v>7330</v>
      </c>
      <c r="Y366" t="s">
        <v>7331</v>
      </c>
      <c r="Z366" t="s">
        <v>7332</v>
      </c>
      <c r="AA366" t="s">
        <v>7333</v>
      </c>
      <c r="AB366" t="s">
        <v>7334</v>
      </c>
      <c r="AC366" t="s">
        <v>7335</v>
      </c>
      <c r="AD366" t="s">
        <v>7336</v>
      </c>
      <c r="AE366" t="s">
        <v>7337</v>
      </c>
      <c r="AF366" t="s">
        <v>74</v>
      </c>
      <c r="AG366">
        <v>43</v>
      </c>
      <c r="AH366">
        <v>8</v>
      </c>
      <c r="AI366">
        <v>8</v>
      </c>
      <c r="AJ366">
        <v>0</v>
      </c>
      <c r="AK366">
        <v>13</v>
      </c>
      <c r="AL366" t="s">
        <v>7132</v>
      </c>
      <c r="AM366" t="s">
        <v>7133</v>
      </c>
      <c r="AN366" t="s">
        <v>7134</v>
      </c>
      <c r="AO366" t="s">
        <v>74</v>
      </c>
      <c r="AP366" t="s">
        <v>7338</v>
      </c>
      <c r="AQ366" t="s">
        <v>74</v>
      </c>
      <c r="AR366" t="s">
        <v>7325</v>
      </c>
      <c r="AS366" t="s">
        <v>7339</v>
      </c>
      <c r="AT366" t="s">
        <v>6380</v>
      </c>
      <c r="AU366">
        <v>2016</v>
      </c>
      <c r="AV366">
        <v>39</v>
      </c>
      <c r="AW366">
        <v>4</v>
      </c>
      <c r="AX366" t="s">
        <v>74</v>
      </c>
      <c r="AY366" t="s">
        <v>74</v>
      </c>
      <c r="AZ366" t="s">
        <v>74</v>
      </c>
      <c r="BA366" t="s">
        <v>74</v>
      </c>
      <c r="BB366">
        <v>773</v>
      </c>
      <c r="BC366">
        <v>783</v>
      </c>
      <c r="BD366" t="s">
        <v>74</v>
      </c>
      <c r="BE366" t="s">
        <v>7340</v>
      </c>
      <c r="BF366" t="str">
        <f>HYPERLINK("http://dx.doi.org/10.5665/sleep.5626","http://dx.doi.org/10.5665/sleep.5626")</f>
        <v>http://dx.doi.org/10.5665/sleep.5626</v>
      </c>
      <c r="BG366" t="s">
        <v>74</v>
      </c>
      <c r="BH366" t="s">
        <v>74</v>
      </c>
      <c r="BI366">
        <v>11</v>
      </c>
      <c r="BJ366" t="s">
        <v>7341</v>
      </c>
      <c r="BK366" t="s">
        <v>102</v>
      </c>
      <c r="BL366" t="s">
        <v>7342</v>
      </c>
      <c r="BM366" t="s">
        <v>7343</v>
      </c>
      <c r="BN366">
        <v>26951389</v>
      </c>
      <c r="BO366" t="s">
        <v>293</v>
      </c>
      <c r="BP366" t="s">
        <v>74</v>
      </c>
      <c r="BQ366" t="s">
        <v>74</v>
      </c>
      <c r="BR366" t="s">
        <v>106</v>
      </c>
      <c r="BS366" t="s">
        <v>7344</v>
      </c>
      <c r="BT366" t="str">
        <f>HYPERLINK("https%3A%2F%2Fwww.webofscience.com%2Fwos%2Fwoscc%2Ffull-record%2FWOS:000373186900009","View Full Record in Web of Science")</f>
        <v>View Full Record in Web of Science</v>
      </c>
    </row>
    <row r="367" spans="1:72" x14ac:dyDescent="0.15">
      <c r="A367" t="s">
        <v>72</v>
      </c>
      <c r="B367" t="s">
        <v>7345</v>
      </c>
      <c r="C367" t="s">
        <v>74</v>
      </c>
      <c r="D367" t="s">
        <v>74</v>
      </c>
      <c r="E367" t="s">
        <v>74</v>
      </c>
      <c r="F367" t="s">
        <v>7346</v>
      </c>
      <c r="G367" t="s">
        <v>74</v>
      </c>
      <c r="H367" t="s">
        <v>74</v>
      </c>
      <c r="I367" t="s">
        <v>7347</v>
      </c>
      <c r="J367" t="s">
        <v>7348</v>
      </c>
      <c r="K367" t="s">
        <v>74</v>
      </c>
      <c r="L367" t="s">
        <v>74</v>
      </c>
      <c r="M367" t="s">
        <v>78</v>
      </c>
      <c r="N367" t="s">
        <v>79</v>
      </c>
      <c r="O367" t="s">
        <v>74</v>
      </c>
      <c r="P367" t="s">
        <v>74</v>
      </c>
      <c r="Q367" t="s">
        <v>74</v>
      </c>
      <c r="R367" t="s">
        <v>74</v>
      </c>
      <c r="S367" t="s">
        <v>74</v>
      </c>
      <c r="T367" t="s">
        <v>7349</v>
      </c>
      <c r="U367" t="s">
        <v>7350</v>
      </c>
      <c r="V367" t="s">
        <v>7351</v>
      </c>
      <c r="W367" t="s">
        <v>7352</v>
      </c>
      <c r="X367" t="s">
        <v>7353</v>
      </c>
      <c r="Y367" t="s">
        <v>7354</v>
      </c>
      <c r="Z367" t="s">
        <v>7355</v>
      </c>
      <c r="AA367" t="s">
        <v>74</v>
      </c>
      <c r="AB367" t="s">
        <v>7356</v>
      </c>
      <c r="AC367" t="s">
        <v>7357</v>
      </c>
      <c r="AD367" t="s">
        <v>7357</v>
      </c>
      <c r="AE367" t="s">
        <v>7358</v>
      </c>
      <c r="AF367" t="s">
        <v>74</v>
      </c>
      <c r="AG367">
        <v>36</v>
      </c>
      <c r="AH367">
        <v>34</v>
      </c>
      <c r="AI367">
        <v>36</v>
      </c>
      <c r="AJ367">
        <v>0</v>
      </c>
      <c r="AK367">
        <v>34</v>
      </c>
      <c r="AL367" t="s">
        <v>3662</v>
      </c>
      <c r="AM367" t="s">
        <v>262</v>
      </c>
      <c r="AN367" t="s">
        <v>3663</v>
      </c>
      <c r="AO367" t="s">
        <v>7359</v>
      </c>
      <c r="AP367" t="s">
        <v>7360</v>
      </c>
      <c r="AQ367" t="s">
        <v>74</v>
      </c>
      <c r="AR367" t="s">
        <v>7361</v>
      </c>
      <c r="AS367" t="s">
        <v>7362</v>
      </c>
      <c r="AT367" t="s">
        <v>6000</v>
      </c>
      <c r="AU367">
        <v>2016</v>
      </c>
      <c r="AV367">
        <v>28</v>
      </c>
      <c r="AW367">
        <v>2</v>
      </c>
      <c r="AX367" t="s">
        <v>74</v>
      </c>
      <c r="AY367" t="s">
        <v>74</v>
      </c>
      <c r="AZ367" t="s">
        <v>74</v>
      </c>
      <c r="BA367" t="s">
        <v>74</v>
      </c>
      <c r="BB367">
        <v>73</v>
      </c>
      <c r="BC367">
        <v>80</v>
      </c>
      <c r="BD367" t="s">
        <v>74</v>
      </c>
      <c r="BE367" t="s">
        <v>7363</v>
      </c>
      <c r="BF367" t="str">
        <f>HYPERLINK("http://dx.doi.org/10.1017/S0954102015000486","http://dx.doi.org/10.1017/S0954102015000486")</f>
        <v>http://dx.doi.org/10.1017/S0954102015000486</v>
      </c>
      <c r="BG367" t="s">
        <v>74</v>
      </c>
      <c r="BH367" t="s">
        <v>74</v>
      </c>
      <c r="BI367">
        <v>8</v>
      </c>
      <c r="BJ367" t="s">
        <v>7364</v>
      </c>
      <c r="BK367" t="s">
        <v>102</v>
      </c>
      <c r="BL367" t="s">
        <v>7365</v>
      </c>
      <c r="BM367" t="s">
        <v>7366</v>
      </c>
      <c r="BN367" t="s">
        <v>74</v>
      </c>
      <c r="BO367" t="s">
        <v>74</v>
      </c>
      <c r="BP367" t="s">
        <v>74</v>
      </c>
      <c r="BQ367" t="s">
        <v>74</v>
      </c>
      <c r="BR367" t="s">
        <v>106</v>
      </c>
      <c r="BS367" t="s">
        <v>7367</v>
      </c>
      <c r="BT367" t="str">
        <f>HYPERLINK("https%3A%2F%2Fwww.webofscience.com%2Fwos%2Fwoscc%2Ffull-record%2FWOS:000372521200002","View Full Record in Web of Science")</f>
        <v>View Full Record in Web of Science</v>
      </c>
    </row>
    <row r="368" spans="1:72" x14ac:dyDescent="0.15">
      <c r="A368" t="s">
        <v>72</v>
      </c>
      <c r="B368" t="s">
        <v>7368</v>
      </c>
      <c r="C368" t="s">
        <v>74</v>
      </c>
      <c r="D368" t="s">
        <v>74</v>
      </c>
      <c r="E368" t="s">
        <v>74</v>
      </c>
      <c r="F368" t="s">
        <v>7369</v>
      </c>
      <c r="G368" t="s">
        <v>74</v>
      </c>
      <c r="H368" t="s">
        <v>74</v>
      </c>
      <c r="I368" t="s">
        <v>7370</v>
      </c>
      <c r="J368" t="s">
        <v>7348</v>
      </c>
      <c r="K368" t="s">
        <v>74</v>
      </c>
      <c r="L368" t="s">
        <v>74</v>
      </c>
      <c r="M368" t="s">
        <v>78</v>
      </c>
      <c r="N368" t="s">
        <v>79</v>
      </c>
      <c r="O368" t="s">
        <v>74</v>
      </c>
      <c r="P368" t="s">
        <v>74</v>
      </c>
      <c r="Q368" t="s">
        <v>74</v>
      </c>
      <c r="R368" t="s">
        <v>74</v>
      </c>
      <c r="S368" t="s">
        <v>74</v>
      </c>
      <c r="T368" t="s">
        <v>7371</v>
      </c>
      <c r="U368" t="s">
        <v>7372</v>
      </c>
      <c r="V368" t="s">
        <v>7373</v>
      </c>
      <c r="W368" t="s">
        <v>7374</v>
      </c>
      <c r="X368" t="s">
        <v>7124</v>
      </c>
      <c r="Y368" t="s">
        <v>7375</v>
      </c>
      <c r="Z368" t="s">
        <v>7376</v>
      </c>
      <c r="AA368" t="s">
        <v>7377</v>
      </c>
      <c r="AB368" t="s">
        <v>7378</v>
      </c>
      <c r="AC368" t="s">
        <v>7379</v>
      </c>
      <c r="AD368" t="s">
        <v>7379</v>
      </c>
      <c r="AE368" t="s">
        <v>7380</v>
      </c>
      <c r="AF368" t="s">
        <v>74</v>
      </c>
      <c r="AG368">
        <v>40</v>
      </c>
      <c r="AH368">
        <v>1</v>
      </c>
      <c r="AI368">
        <v>1</v>
      </c>
      <c r="AJ368">
        <v>1</v>
      </c>
      <c r="AK368">
        <v>27</v>
      </c>
      <c r="AL368" t="s">
        <v>3662</v>
      </c>
      <c r="AM368" t="s">
        <v>262</v>
      </c>
      <c r="AN368" t="s">
        <v>3663</v>
      </c>
      <c r="AO368" t="s">
        <v>7359</v>
      </c>
      <c r="AP368" t="s">
        <v>7360</v>
      </c>
      <c r="AQ368" t="s">
        <v>74</v>
      </c>
      <c r="AR368" t="s">
        <v>7361</v>
      </c>
      <c r="AS368" t="s">
        <v>7362</v>
      </c>
      <c r="AT368" t="s">
        <v>6000</v>
      </c>
      <c r="AU368">
        <v>2016</v>
      </c>
      <c r="AV368">
        <v>28</v>
      </c>
      <c r="AW368">
        <v>2</v>
      </c>
      <c r="AX368" t="s">
        <v>74</v>
      </c>
      <c r="AY368" t="s">
        <v>74</v>
      </c>
      <c r="AZ368" t="s">
        <v>74</v>
      </c>
      <c r="BA368" t="s">
        <v>74</v>
      </c>
      <c r="BB368">
        <v>81</v>
      </c>
      <c r="BC368">
        <v>90</v>
      </c>
      <c r="BD368" t="s">
        <v>74</v>
      </c>
      <c r="BE368" t="s">
        <v>7381</v>
      </c>
      <c r="BF368" t="str">
        <f>HYPERLINK("http://dx.doi.org/10.1017/S0954102015000553","http://dx.doi.org/10.1017/S0954102015000553")</f>
        <v>http://dx.doi.org/10.1017/S0954102015000553</v>
      </c>
      <c r="BG368" t="s">
        <v>74</v>
      </c>
      <c r="BH368" t="s">
        <v>74</v>
      </c>
      <c r="BI368">
        <v>10</v>
      </c>
      <c r="BJ368" t="s">
        <v>7364</v>
      </c>
      <c r="BK368" t="s">
        <v>102</v>
      </c>
      <c r="BL368" t="s">
        <v>7365</v>
      </c>
      <c r="BM368" t="s">
        <v>7366</v>
      </c>
      <c r="BN368" t="s">
        <v>74</v>
      </c>
      <c r="BO368" t="s">
        <v>74</v>
      </c>
      <c r="BP368" t="s">
        <v>74</v>
      </c>
      <c r="BQ368" t="s">
        <v>74</v>
      </c>
      <c r="BR368" t="s">
        <v>106</v>
      </c>
      <c r="BS368" t="s">
        <v>7382</v>
      </c>
      <c r="BT368" t="str">
        <f>HYPERLINK("https%3A%2F%2Fwww.webofscience.com%2Fwos%2Fwoscc%2Ffull-record%2FWOS:000372521200003","View Full Record in Web of Science")</f>
        <v>View Full Record in Web of Science</v>
      </c>
    </row>
    <row r="369" spans="1:72" x14ac:dyDescent="0.15">
      <c r="A369" t="s">
        <v>72</v>
      </c>
      <c r="B369" t="s">
        <v>7383</v>
      </c>
      <c r="C369" t="s">
        <v>74</v>
      </c>
      <c r="D369" t="s">
        <v>74</v>
      </c>
      <c r="E369" t="s">
        <v>74</v>
      </c>
      <c r="F369" t="s">
        <v>7384</v>
      </c>
      <c r="G369" t="s">
        <v>74</v>
      </c>
      <c r="H369" t="s">
        <v>74</v>
      </c>
      <c r="I369" t="s">
        <v>7385</v>
      </c>
      <c r="J369" t="s">
        <v>7348</v>
      </c>
      <c r="K369" t="s">
        <v>74</v>
      </c>
      <c r="L369" t="s">
        <v>74</v>
      </c>
      <c r="M369" t="s">
        <v>78</v>
      </c>
      <c r="N369" t="s">
        <v>79</v>
      </c>
      <c r="O369" t="s">
        <v>74</v>
      </c>
      <c r="P369" t="s">
        <v>74</v>
      </c>
      <c r="Q369" t="s">
        <v>74</v>
      </c>
      <c r="R369" t="s">
        <v>74</v>
      </c>
      <c r="S369" t="s">
        <v>74</v>
      </c>
      <c r="T369" t="s">
        <v>7386</v>
      </c>
      <c r="U369" t="s">
        <v>7387</v>
      </c>
      <c r="V369" t="s">
        <v>7388</v>
      </c>
      <c r="W369" t="s">
        <v>7389</v>
      </c>
      <c r="X369" t="s">
        <v>7390</v>
      </c>
      <c r="Y369" t="s">
        <v>7391</v>
      </c>
      <c r="Z369" t="s">
        <v>7392</v>
      </c>
      <c r="AA369" t="s">
        <v>7393</v>
      </c>
      <c r="AB369" t="s">
        <v>7394</v>
      </c>
      <c r="AC369" t="s">
        <v>7395</v>
      </c>
      <c r="AD369" t="s">
        <v>7396</v>
      </c>
      <c r="AE369" t="s">
        <v>7397</v>
      </c>
      <c r="AF369" t="s">
        <v>74</v>
      </c>
      <c r="AG369">
        <v>37</v>
      </c>
      <c r="AH369">
        <v>10</v>
      </c>
      <c r="AI369">
        <v>11</v>
      </c>
      <c r="AJ369">
        <v>2</v>
      </c>
      <c r="AK369">
        <v>37</v>
      </c>
      <c r="AL369" t="s">
        <v>3662</v>
      </c>
      <c r="AM369" t="s">
        <v>262</v>
      </c>
      <c r="AN369" t="s">
        <v>3663</v>
      </c>
      <c r="AO369" t="s">
        <v>7359</v>
      </c>
      <c r="AP369" t="s">
        <v>7360</v>
      </c>
      <c r="AQ369" t="s">
        <v>74</v>
      </c>
      <c r="AR369" t="s">
        <v>7361</v>
      </c>
      <c r="AS369" t="s">
        <v>7362</v>
      </c>
      <c r="AT369" t="s">
        <v>6000</v>
      </c>
      <c r="AU369">
        <v>2016</v>
      </c>
      <c r="AV369">
        <v>28</v>
      </c>
      <c r="AW369">
        <v>2</v>
      </c>
      <c r="AX369" t="s">
        <v>74</v>
      </c>
      <c r="AY369" t="s">
        <v>74</v>
      </c>
      <c r="AZ369" t="s">
        <v>74</v>
      </c>
      <c r="BA369" t="s">
        <v>74</v>
      </c>
      <c r="BB369">
        <v>91</v>
      </c>
      <c r="BC369">
        <v>100</v>
      </c>
      <c r="BD369" t="s">
        <v>74</v>
      </c>
      <c r="BE369" t="s">
        <v>7398</v>
      </c>
      <c r="BF369" t="str">
        <f>HYPERLINK("http://dx.doi.org/10.1017/S0954102015000504","http://dx.doi.org/10.1017/S0954102015000504")</f>
        <v>http://dx.doi.org/10.1017/S0954102015000504</v>
      </c>
      <c r="BG369" t="s">
        <v>74</v>
      </c>
      <c r="BH369" t="s">
        <v>74</v>
      </c>
      <c r="BI369">
        <v>10</v>
      </c>
      <c r="BJ369" t="s">
        <v>7364</v>
      </c>
      <c r="BK369" t="s">
        <v>102</v>
      </c>
      <c r="BL369" t="s">
        <v>7365</v>
      </c>
      <c r="BM369" t="s">
        <v>7366</v>
      </c>
      <c r="BN369" t="s">
        <v>74</v>
      </c>
      <c r="BO369" t="s">
        <v>74</v>
      </c>
      <c r="BP369" t="s">
        <v>74</v>
      </c>
      <c r="BQ369" t="s">
        <v>74</v>
      </c>
      <c r="BR369" t="s">
        <v>106</v>
      </c>
      <c r="BS369" t="s">
        <v>7399</v>
      </c>
      <c r="BT369" t="str">
        <f>HYPERLINK("https%3A%2F%2Fwww.webofscience.com%2Fwos%2Fwoscc%2Ffull-record%2FWOS:000372521200004","View Full Record in Web of Science")</f>
        <v>View Full Record in Web of Science</v>
      </c>
    </row>
    <row r="370" spans="1:72" x14ac:dyDescent="0.15">
      <c r="A370" t="s">
        <v>72</v>
      </c>
      <c r="B370" t="s">
        <v>7400</v>
      </c>
      <c r="C370" t="s">
        <v>74</v>
      </c>
      <c r="D370" t="s">
        <v>74</v>
      </c>
      <c r="E370" t="s">
        <v>74</v>
      </c>
      <c r="F370" t="s">
        <v>7401</v>
      </c>
      <c r="G370" t="s">
        <v>74</v>
      </c>
      <c r="H370" t="s">
        <v>74</v>
      </c>
      <c r="I370" t="s">
        <v>7402</v>
      </c>
      <c r="J370" t="s">
        <v>7348</v>
      </c>
      <c r="K370" t="s">
        <v>74</v>
      </c>
      <c r="L370" t="s">
        <v>74</v>
      </c>
      <c r="M370" t="s">
        <v>78</v>
      </c>
      <c r="N370" t="s">
        <v>79</v>
      </c>
      <c r="O370" t="s">
        <v>74</v>
      </c>
      <c r="P370" t="s">
        <v>74</v>
      </c>
      <c r="Q370" t="s">
        <v>74</v>
      </c>
      <c r="R370" t="s">
        <v>74</v>
      </c>
      <c r="S370" t="s">
        <v>74</v>
      </c>
      <c r="T370" t="s">
        <v>74</v>
      </c>
      <c r="U370" t="s">
        <v>7403</v>
      </c>
      <c r="V370" t="s">
        <v>74</v>
      </c>
      <c r="W370" t="s">
        <v>7404</v>
      </c>
      <c r="X370" t="s">
        <v>7405</v>
      </c>
      <c r="Y370" t="s">
        <v>7406</v>
      </c>
      <c r="Z370" t="s">
        <v>7407</v>
      </c>
      <c r="AA370" t="s">
        <v>7408</v>
      </c>
      <c r="AB370" t="s">
        <v>7409</v>
      </c>
      <c r="AC370" t="s">
        <v>7410</v>
      </c>
      <c r="AD370" t="s">
        <v>7411</v>
      </c>
      <c r="AE370" t="s">
        <v>7412</v>
      </c>
      <c r="AF370" t="s">
        <v>74</v>
      </c>
      <c r="AG370">
        <v>7</v>
      </c>
      <c r="AH370">
        <v>1</v>
      </c>
      <c r="AI370">
        <v>1</v>
      </c>
      <c r="AJ370">
        <v>1</v>
      </c>
      <c r="AK370">
        <v>22</v>
      </c>
      <c r="AL370" t="s">
        <v>3662</v>
      </c>
      <c r="AM370" t="s">
        <v>262</v>
      </c>
      <c r="AN370" t="s">
        <v>3663</v>
      </c>
      <c r="AO370" t="s">
        <v>7359</v>
      </c>
      <c r="AP370" t="s">
        <v>7360</v>
      </c>
      <c r="AQ370" t="s">
        <v>74</v>
      </c>
      <c r="AR370" t="s">
        <v>7361</v>
      </c>
      <c r="AS370" t="s">
        <v>7362</v>
      </c>
      <c r="AT370" t="s">
        <v>6000</v>
      </c>
      <c r="AU370">
        <v>2016</v>
      </c>
      <c r="AV370">
        <v>28</v>
      </c>
      <c r="AW370">
        <v>2</v>
      </c>
      <c r="AX370" t="s">
        <v>74</v>
      </c>
      <c r="AY370" t="s">
        <v>74</v>
      </c>
      <c r="AZ370" t="s">
        <v>74</v>
      </c>
      <c r="BA370" t="s">
        <v>74</v>
      </c>
      <c r="BB370">
        <v>101</v>
      </c>
      <c r="BC370">
        <v>102</v>
      </c>
      <c r="BD370" t="s">
        <v>74</v>
      </c>
      <c r="BE370" t="s">
        <v>7413</v>
      </c>
      <c r="BF370" t="str">
        <f>HYPERLINK("http://dx.doi.org/10.1017/S0954102015000590","http://dx.doi.org/10.1017/S0954102015000590")</f>
        <v>http://dx.doi.org/10.1017/S0954102015000590</v>
      </c>
      <c r="BG370" t="s">
        <v>74</v>
      </c>
      <c r="BH370" t="s">
        <v>74</v>
      </c>
      <c r="BI370">
        <v>2</v>
      </c>
      <c r="BJ370" t="s">
        <v>7364</v>
      </c>
      <c r="BK370" t="s">
        <v>102</v>
      </c>
      <c r="BL370" t="s">
        <v>7365</v>
      </c>
      <c r="BM370" t="s">
        <v>7366</v>
      </c>
      <c r="BN370" t="s">
        <v>74</v>
      </c>
      <c r="BO370" t="s">
        <v>74</v>
      </c>
      <c r="BP370" t="s">
        <v>74</v>
      </c>
      <c r="BQ370" t="s">
        <v>74</v>
      </c>
      <c r="BR370" t="s">
        <v>106</v>
      </c>
      <c r="BS370" t="s">
        <v>7414</v>
      </c>
      <c r="BT370" t="str">
        <f>HYPERLINK("https%3A%2F%2Fwww.webofscience.com%2Fwos%2Fwoscc%2Ffull-record%2FWOS:000372521200005","View Full Record in Web of Science")</f>
        <v>View Full Record in Web of Science</v>
      </c>
    </row>
    <row r="371" spans="1:72" x14ac:dyDescent="0.15">
      <c r="A371" t="s">
        <v>72</v>
      </c>
      <c r="B371" t="s">
        <v>7415</v>
      </c>
      <c r="C371" t="s">
        <v>74</v>
      </c>
      <c r="D371" t="s">
        <v>74</v>
      </c>
      <c r="E371" t="s">
        <v>74</v>
      </c>
      <c r="F371" t="s">
        <v>7416</v>
      </c>
      <c r="G371" t="s">
        <v>74</v>
      </c>
      <c r="H371" t="s">
        <v>74</v>
      </c>
      <c r="I371" t="s">
        <v>7417</v>
      </c>
      <c r="J371" t="s">
        <v>7348</v>
      </c>
      <c r="K371" t="s">
        <v>74</v>
      </c>
      <c r="L371" t="s">
        <v>74</v>
      </c>
      <c r="M371" t="s">
        <v>78</v>
      </c>
      <c r="N371" t="s">
        <v>79</v>
      </c>
      <c r="O371" t="s">
        <v>74</v>
      </c>
      <c r="P371" t="s">
        <v>74</v>
      </c>
      <c r="Q371" t="s">
        <v>74</v>
      </c>
      <c r="R371" t="s">
        <v>74</v>
      </c>
      <c r="S371" t="s">
        <v>74</v>
      </c>
      <c r="T371" t="s">
        <v>7418</v>
      </c>
      <c r="U371" t="s">
        <v>7419</v>
      </c>
      <c r="V371" t="s">
        <v>7420</v>
      </c>
      <c r="W371" t="s">
        <v>7421</v>
      </c>
      <c r="X371" t="s">
        <v>7422</v>
      </c>
      <c r="Y371" t="s">
        <v>7423</v>
      </c>
      <c r="Z371" t="s">
        <v>7424</v>
      </c>
      <c r="AA371" t="s">
        <v>74</v>
      </c>
      <c r="AB371" t="s">
        <v>7425</v>
      </c>
      <c r="AC371" t="s">
        <v>7426</v>
      </c>
      <c r="AD371" t="s">
        <v>7427</v>
      </c>
      <c r="AE371" t="s">
        <v>7428</v>
      </c>
      <c r="AF371" t="s">
        <v>74</v>
      </c>
      <c r="AG371">
        <v>39</v>
      </c>
      <c r="AH371">
        <v>1</v>
      </c>
      <c r="AI371">
        <v>1</v>
      </c>
      <c r="AJ371">
        <v>0</v>
      </c>
      <c r="AK371">
        <v>3</v>
      </c>
      <c r="AL371" t="s">
        <v>3662</v>
      </c>
      <c r="AM371" t="s">
        <v>262</v>
      </c>
      <c r="AN371" t="s">
        <v>3663</v>
      </c>
      <c r="AO371" t="s">
        <v>7359</v>
      </c>
      <c r="AP371" t="s">
        <v>7360</v>
      </c>
      <c r="AQ371" t="s">
        <v>74</v>
      </c>
      <c r="AR371" t="s">
        <v>7361</v>
      </c>
      <c r="AS371" t="s">
        <v>7362</v>
      </c>
      <c r="AT371" t="s">
        <v>6000</v>
      </c>
      <c r="AU371">
        <v>2016</v>
      </c>
      <c r="AV371">
        <v>28</v>
      </c>
      <c r="AW371">
        <v>2</v>
      </c>
      <c r="AX371" t="s">
        <v>74</v>
      </c>
      <c r="AY371" t="s">
        <v>74</v>
      </c>
      <c r="AZ371" t="s">
        <v>74</v>
      </c>
      <c r="BA371" t="s">
        <v>74</v>
      </c>
      <c r="BB371">
        <v>115</v>
      </c>
      <c r="BC371">
        <v>126</v>
      </c>
      <c r="BD371" t="s">
        <v>74</v>
      </c>
      <c r="BE371" t="s">
        <v>7429</v>
      </c>
      <c r="BF371" t="str">
        <f>HYPERLINK("http://dx.doi.org/10.1017/S0954102015000565","http://dx.doi.org/10.1017/S0954102015000565")</f>
        <v>http://dx.doi.org/10.1017/S0954102015000565</v>
      </c>
      <c r="BG371" t="s">
        <v>74</v>
      </c>
      <c r="BH371" t="s">
        <v>74</v>
      </c>
      <c r="BI371">
        <v>12</v>
      </c>
      <c r="BJ371" t="s">
        <v>7364</v>
      </c>
      <c r="BK371" t="s">
        <v>102</v>
      </c>
      <c r="BL371" t="s">
        <v>7365</v>
      </c>
      <c r="BM371" t="s">
        <v>7366</v>
      </c>
      <c r="BN371" t="s">
        <v>74</v>
      </c>
      <c r="BO371" t="s">
        <v>74</v>
      </c>
      <c r="BP371" t="s">
        <v>74</v>
      </c>
      <c r="BQ371" t="s">
        <v>74</v>
      </c>
      <c r="BR371" t="s">
        <v>106</v>
      </c>
      <c r="BS371" t="s">
        <v>7430</v>
      </c>
      <c r="BT371" t="str">
        <f>HYPERLINK("https%3A%2F%2Fwww.webofscience.com%2Fwos%2Fwoscc%2Ffull-record%2FWOS:000372521200007","View Full Record in Web of Science")</f>
        <v>View Full Record in Web of Science</v>
      </c>
    </row>
    <row r="372" spans="1:72" x14ac:dyDescent="0.15">
      <c r="A372" t="s">
        <v>72</v>
      </c>
      <c r="B372" t="s">
        <v>7431</v>
      </c>
      <c r="C372" t="s">
        <v>74</v>
      </c>
      <c r="D372" t="s">
        <v>74</v>
      </c>
      <c r="E372" t="s">
        <v>74</v>
      </c>
      <c r="F372" t="s">
        <v>7432</v>
      </c>
      <c r="G372" t="s">
        <v>74</v>
      </c>
      <c r="H372" t="s">
        <v>74</v>
      </c>
      <c r="I372" t="s">
        <v>7433</v>
      </c>
      <c r="J372" t="s">
        <v>7348</v>
      </c>
      <c r="K372" t="s">
        <v>74</v>
      </c>
      <c r="L372" t="s">
        <v>74</v>
      </c>
      <c r="M372" t="s">
        <v>78</v>
      </c>
      <c r="N372" t="s">
        <v>79</v>
      </c>
      <c r="O372" t="s">
        <v>74</v>
      </c>
      <c r="P372" t="s">
        <v>74</v>
      </c>
      <c r="Q372" t="s">
        <v>74</v>
      </c>
      <c r="R372" t="s">
        <v>74</v>
      </c>
      <c r="S372" t="s">
        <v>74</v>
      </c>
      <c r="T372" t="s">
        <v>7434</v>
      </c>
      <c r="U372" t="s">
        <v>7435</v>
      </c>
      <c r="V372" t="s">
        <v>7436</v>
      </c>
      <c r="W372" t="s">
        <v>7437</v>
      </c>
      <c r="X372" t="s">
        <v>7438</v>
      </c>
      <c r="Y372" t="s">
        <v>7439</v>
      </c>
      <c r="Z372" t="s">
        <v>7440</v>
      </c>
      <c r="AA372" t="s">
        <v>7441</v>
      </c>
      <c r="AB372" t="s">
        <v>7442</v>
      </c>
      <c r="AC372" t="s">
        <v>7443</v>
      </c>
      <c r="AD372" t="s">
        <v>7444</v>
      </c>
      <c r="AE372" t="s">
        <v>7445</v>
      </c>
      <c r="AF372" t="s">
        <v>74</v>
      </c>
      <c r="AG372">
        <v>8</v>
      </c>
      <c r="AH372">
        <v>3</v>
      </c>
      <c r="AI372">
        <v>3</v>
      </c>
      <c r="AJ372">
        <v>2</v>
      </c>
      <c r="AK372">
        <v>16</v>
      </c>
      <c r="AL372" t="s">
        <v>3662</v>
      </c>
      <c r="AM372" t="s">
        <v>262</v>
      </c>
      <c r="AN372" t="s">
        <v>3663</v>
      </c>
      <c r="AO372" t="s">
        <v>7359</v>
      </c>
      <c r="AP372" t="s">
        <v>7360</v>
      </c>
      <c r="AQ372" t="s">
        <v>74</v>
      </c>
      <c r="AR372" t="s">
        <v>7361</v>
      </c>
      <c r="AS372" t="s">
        <v>7362</v>
      </c>
      <c r="AT372" t="s">
        <v>6000</v>
      </c>
      <c r="AU372">
        <v>2016</v>
      </c>
      <c r="AV372">
        <v>28</v>
      </c>
      <c r="AW372">
        <v>2</v>
      </c>
      <c r="AX372" t="s">
        <v>74</v>
      </c>
      <c r="AY372" t="s">
        <v>74</v>
      </c>
      <c r="AZ372" t="s">
        <v>74</v>
      </c>
      <c r="BA372" t="s">
        <v>74</v>
      </c>
      <c r="BB372">
        <v>127</v>
      </c>
      <c r="BC372">
        <v>134</v>
      </c>
      <c r="BD372" t="s">
        <v>74</v>
      </c>
      <c r="BE372" t="s">
        <v>7446</v>
      </c>
      <c r="BF372" t="str">
        <f>HYPERLINK("http://dx.doi.org/10.1017/S0954102015000516","http://dx.doi.org/10.1017/S0954102015000516")</f>
        <v>http://dx.doi.org/10.1017/S0954102015000516</v>
      </c>
      <c r="BG372" t="s">
        <v>74</v>
      </c>
      <c r="BH372" t="s">
        <v>74</v>
      </c>
      <c r="BI372">
        <v>8</v>
      </c>
      <c r="BJ372" t="s">
        <v>7364</v>
      </c>
      <c r="BK372" t="s">
        <v>102</v>
      </c>
      <c r="BL372" t="s">
        <v>7365</v>
      </c>
      <c r="BM372" t="s">
        <v>7366</v>
      </c>
      <c r="BN372" t="s">
        <v>74</v>
      </c>
      <c r="BO372" t="s">
        <v>1412</v>
      </c>
      <c r="BP372" t="s">
        <v>74</v>
      </c>
      <c r="BQ372" t="s">
        <v>74</v>
      </c>
      <c r="BR372" t="s">
        <v>106</v>
      </c>
      <c r="BS372" t="s">
        <v>7447</v>
      </c>
      <c r="BT372" t="str">
        <f>HYPERLINK("https%3A%2F%2Fwww.webofscience.com%2Fwos%2Fwoscc%2Ffull-record%2FWOS:000372521200008","View Full Record in Web of Science")</f>
        <v>View Full Record in Web of Science</v>
      </c>
    </row>
    <row r="373" spans="1:72" x14ac:dyDescent="0.15">
      <c r="A373" t="s">
        <v>72</v>
      </c>
      <c r="B373" t="s">
        <v>7448</v>
      </c>
      <c r="C373" t="s">
        <v>74</v>
      </c>
      <c r="D373" t="s">
        <v>74</v>
      </c>
      <c r="E373" t="s">
        <v>74</v>
      </c>
      <c r="F373" t="s">
        <v>7449</v>
      </c>
      <c r="G373" t="s">
        <v>74</v>
      </c>
      <c r="H373" t="s">
        <v>74</v>
      </c>
      <c r="I373" t="s">
        <v>7450</v>
      </c>
      <c r="J373" t="s">
        <v>7451</v>
      </c>
      <c r="K373" t="s">
        <v>74</v>
      </c>
      <c r="L373" t="s">
        <v>74</v>
      </c>
      <c r="M373" t="s">
        <v>78</v>
      </c>
      <c r="N373" t="s">
        <v>79</v>
      </c>
      <c r="O373" t="s">
        <v>74</v>
      </c>
      <c r="P373" t="s">
        <v>74</v>
      </c>
      <c r="Q373" t="s">
        <v>74</v>
      </c>
      <c r="R373" t="s">
        <v>74</v>
      </c>
      <c r="S373" t="s">
        <v>74</v>
      </c>
      <c r="T373" t="s">
        <v>7452</v>
      </c>
      <c r="U373" t="s">
        <v>7453</v>
      </c>
      <c r="V373" t="s">
        <v>7454</v>
      </c>
      <c r="W373" t="s">
        <v>7455</v>
      </c>
      <c r="X373" t="s">
        <v>7456</v>
      </c>
      <c r="Y373" t="s">
        <v>7457</v>
      </c>
      <c r="Z373" t="s">
        <v>7458</v>
      </c>
      <c r="AA373" t="s">
        <v>74</v>
      </c>
      <c r="AB373" t="s">
        <v>7459</v>
      </c>
      <c r="AC373" t="s">
        <v>7460</v>
      </c>
      <c r="AD373" t="s">
        <v>7461</v>
      </c>
      <c r="AE373" t="s">
        <v>7462</v>
      </c>
      <c r="AF373" t="s">
        <v>74</v>
      </c>
      <c r="AG373">
        <v>54</v>
      </c>
      <c r="AH373">
        <v>6</v>
      </c>
      <c r="AI373">
        <v>6</v>
      </c>
      <c r="AJ373">
        <v>0</v>
      </c>
      <c r="AK373">
        <v>45</v>
      </c>
      <c r="AL373" t="s">
        <v>678</v>
      </c>
      <c r="AM373" t="s">
        <v>679</v>
      </c>
      <c r="AN373" t="s">
        <v>680</v>
      </c>
      <c r="AO373" t="s">
        <v>7463</v>
      </c>
      <c r="AP373" t="s">
        <v>7464</v>
      </c>
      <c r="AQ373" t="s">
        <v>74</v>
      </c>
      <c r="AR373" t="s">
        <v>7465</v>
      </c>
      <c r="AS373" t="s">
        <v>7466</v>
      </c>
      <c r="AT373" t="s">
        <v>6000</v>
      </c>
      <c r="AU373">
        <v>2016</v>
      </c>
      <c r="AV373">
        <v>123</v>
      </c>
      <c r="AW373" t="s">
        <v>74</v>
      </c>
      <c r="AX373" t="s">
        <v>74</v>
      </c>
      <c r="AY373" t="s">
        <v>74</v>
      </c>
      <c r="AZ373" t="s">
        <v>74</v>
      </c>
      <c r="BA373" t="s">
        <v>74</v>
      </c>
      <c r="BB373">
        <v>74</v>
      </c>
      <c r="BC373">
        <v>83</v>
      </c>
      <c r="BD373" t="s">
        <v>74</v>
      </c>
      <c r="BE373" t="s">
        <v>7467</v>
      </c>
      <c r="BF373" t="str">
        <f>HYPERLINK("http://dx.doi.org/10.1016/j.ocecoaman.2016.02.002","http://dx.doi.org/10.1016/j.ocecoaman.2016.02.002")</f>
        <v>http://dx.doi.org/10.1016/j.ocecoaman.2016.02.002</v>
      </c>
      <c r="BG373" t="s">
        <v>74</v>
      </c>
      <c r="BH373" t="s">
        <v>74</v>
      </c>
      <c r="BI373">
        <v>10</v>
      </c>
      <c r="BJ373" t="s">
        <v>7468</v>
      </c>
      <c r="BK373" t="s">
        <v>102</v>
      </c>
      <c r="BL373" t="s">
        <v>7468</v>
      </c>
      <c r="BM373" t="s">
        <v>7469</v>
      </c>
      <c r="BN373" t="s">
        <v>74</v>
      </c>
      <c r="BO373" t="s">
        <v>74</v>
      </c>
      <c r="BP373" t="s">
        <v>74</v>
      </c>
      <c r="BQ373" t="s">
        <v>74</v>
      </c>
      <c r="BR373" t="s">
        <v>106</v>
      </c>
      <c r="BS373" t="s">
        <v>7470</v>
      </c>
      <c r="BT373" t="str">
        <f>HYPERLINK("https%3A%2F%2Fwww.webofscience.com%2Fwos%2Fwoscc%2Ffull-record%2FWOS:000372380800007","View Full Record in Web of Science")</f>
        <v>View Full Record in Web of Science</v>
      </c>
    </row>
    <row r="374" spans="1:72" x14ac:dyDescent="0.15">
      <c r="A374" t="s">
        <v>72</v>
      </c>
      <c r="B374" t="s">
        <v>7471</v>
      </c>
      <c r="C374" t="s">
        <v>74</v>
      </c>
      <c r="D374" t="s">
        <v>74</v>
      </c>
      <c r="E374" t="s">
        <v>74</v>
      </c>
      <c r="F374" t="s">
        <v>7472</v>
      </c>
      <c r="G374" t="s">
        <v>74</v>
      </c>
      <c r="H374" t="s">
        <v>74</v>
      </c>
      <c r="I374" t="s">
        <v>7473</v>
      </c>
      <c r="J374" t="s">
        <v>7474</v>
      </c>
      <c r="K374" t="s">
        <v>74</v>
      </c>
      <c r="L374" t="s">
        <v>74</v>
      </c>
      <c r="M374" t="s">
        <v>78</v>
      </c>
      <c r="N374" t="s">
        <v>79</v>
      </c>
      <c r="O374" t="s">
        <v>74</v>
      </c>
      <c r="P374" t="s">
        <v>74</v>
      </c>
      <c r="Q374" t="s">
        <v>74</v>
      </c>
      <c r="R374" t="s">
        <v>74</v>
      </c>
      <c r="S374" t="s">
        <v>74</v>
      </c>
      <c r="T374" t="s">
        <v>74</v>
      </c>
      <c r="U374" t="s">
        <v>7475</v>
      </c>
      <c r="V374" t="s">
        <v>7476</v>
      </c>
      <c r="W374" t="s">
        <v>7477</v>
      </c>
      <c r="X374" t="s">
        <v>1057</v>
      </c>
      <c r="Y374" t="s">
        <v>7478</v>
      </c>
      <c r="Z374" t="s">
        <v>7479</v>
      </c>
      <c r="AA374" t="s">
        <v>74</v>
      </c>
      <c r="AB374" t="s">
        <v>7480</v>
      </c>
      <c r="AC374" t="s">
        <v>74</v>
      </c>
      <c r="AD374" t="s">
        <v>74</v>
      </c>
      <c r="AE374" t="s">
        <v>74</v>
      </c>
      <c r="AF374" t="s">
        <v>74</v>
      </c>
      <c r="AG374">
        <v>48</v>
      </c>
      <c r="AH374">
        <v>7</v>
      </c>
      <c r="AI374">
        <v>7</v>
      </c>
      <c r="AJ374">
        <v>1</v>
      </c>
      <c r="AK374">
        <v>11</v>
      </c>
      <c r="AL374" t="s">
        <v>3662</v>
      </c>
      <c r="AM374" t="s">
        <v>1427</v>
      </c>
      <c r="AN374" t="s">
        <v>7481</v>
      </c>
      <c r="AO374" t="s">
        <v>7482</v>
      </c>
      <c r="AP374" t="s">
        <v>7483</v>
      </c>
      <c r="AQ374" t="s">
        <v>74</v>
      </c>
      <c r="AR374" t="s">
        <v>7484</v>
      </c>
      <c r="AS374" t="s">
        <v>7485</v>
      </c>
      <c r="AT374" t="s">
        <v>6000</v>
      </c>
      <c r="AU374">
        <v>2016</v>
      </c>
      <c r="AV374">
        <v>21</v>
      </c>
      <c r="AW374">
        <v>1</v>
      </c>
      <c r="AX374" t="s">
        <v>74</v>
      </c>
      <c r="AY374" t="s">
        <v>74</v>
      </c>
      <c r="AZ374" t="s">
        <v>589</v>
      </c>
      <c r="BA374" t="s">
        <v>74</v>
      </c>
      <c r="BB374">
        <v>83</v>
      </c>
      <c r="BC374">
        <v>93</v>
      </c>
      <c r="BD374" t="s">
        <v>74</v>
      </c>
      <c r="BE374" t="s">
        <v>7486</v>
      </c>
      <c r="BF374" t="str">
        <f>HYPERLINK("http://dx.doi.org/10.1017/S1355771815000400","http://dx.doi.org/10.1017/S1355771815000400")</f>
        <v>http://dx.doi.org/10.1017/S1355771815000400</v>
      </c>
      <c r="BG374" t="s">
        <v>74</v>
      </c>
      <c r="BH374" t="s">
        <v>74</v>
      </c>
      <c r="BI374">
        <v>11</v>
      </c>
      <c r="BJ374" t="s">
        <v>7487</v>
      </c>
      <c r="BK374" t="s">
        <v>2150</v>
      </c>
      <c r="BL374" t="s">
        <v>7487</v>
      </c>
      <c r="BM374" t="s">
        <v>7488</v>
      </c>
      <c r="BN374" t="s">
        <v>74</v>
      </c>
      <c r="BO374" t="s">
        <v>74</v>
      </c>
      <c r="BP374" t="s">
        <v>74</v>
      </c>
      <c r="BQ374" t="s">
        <v>74</v>
      </c>
      <c r="BR374" t="s">
        <v>106</v>
      </c>
      <c r="BS374" t="s">
        <v>7489</v>
      </c>
      <c r="BT374" t="str">
        <f>HYPERLINK("https%3A%2F%2Fwww.webofscience.com%2Fwos%2Fwoscc%2Ffull-record%2FWOS:000372519900009","View Full Record in Web of Science")</f>
        <v>View Full Record in Web of Science</v>
      </c>
    </row>
    <row r="375" spans="1:72" x14ac:dyDescent="0.15">
      <c r="A375" t="s">
        <v>72</v>
      </c>
      <c r="B375" t="s">
        <v>7490</v>
      </c>
      <c r="C375" t="s">
        <v>74</v>
      </c>
      <c r="D375" t="s">
        <v>74</v>
      </c>
      <c r="E375" t="s">
        <v>74</v>
      </c>
      <c r="F375" t="s">
        <v>7491</v>
      </c>
      <c r="G375" t="s">
        <v>74</v>
      </c>
      <c r="H375" t="s">
        <v>74</v>
      </c>
      <c r="I375" t="s">
        <v>7492</v>
      </c>
      <c r="J375" t="s">
        <v>7493</v>
      </c>
      <c r="K375" t="s">
        <v>74</v>
      </c>
      <c r="L375" t="s">
        <v>74</v>
      </c>
      <c r="M375" t="s">
        <v>78</v>
      </c>
      <c r="N375" t="s">
        <v>79</v>
      </c>
      <c r="O375" t="s">
        <v>74</v>
      </c>
      <c r="P375" t="s">
        <v>74</v>
      </c>
      <c r="Q375" t="s">
        <v>74</v>
      </c>
      <c r="R375" t="s">
        <v>74</v>
      </c>
      <c r="S375" t="s">
        <v>74</v>
      </c>
      <c r="T375" t="s">
        <v>7494</v>
      </c>
      <c r="U375" t="s">
        <v>7495</v>
      </c>
      <c r="V375" t="s">
        <v>7496</v>
      </c>
      <c r="W375" t="s">
        <v>7497</v>
      </c>
      <c r="X375" t="s">
        <v>7498</v>
      </c>
      <c r="Y375" t="s">
        <v>7499</v>
      </c>
      <c r="Z375" t="s">
        <v>7500</v>
      </c>
      <c r="AA375" t="s">
        <v>7501</v>
      </c>
      <c r="AB375" t="s">
        <v>7502</v>
      </c>
      <c r="AC375" t="s">
        <v>7503</v>
      </c>
      <c r="AD375" t="s">
        <v>7504</v>
      </c>
      <c r="AE375" t="s">
        <v>7505</v>
      </c>
      <c r="AF375" t="s">
        <v>74</v>
      </c>
      <c r="AG375">
        <v>164</v>
      </c>
      <c r="AH375">
        <v>13</v>
      </c>
      <c r="AI375">
        <v>13</v>
      </c>
      <c r="AJ375">
        <v>0</v>
      </c>
      <c r="AK375">
        <v>17</v>
      </c>
      <c r="AL375" t="s">
        <v>626</v>
      </c>
      <c r="AM375" t="s">
        <v>583</v>
      </c>
      <c r="AN375" t="s">
        <v>627</v>
      </c>
      <c r="AO375" t="s">
        <v>7506</v>
      </c>
      <c r="AP375" t="s">
        <v>7507</v>
      </c>
      <c r="AQ375" t="s">
        <v>74</v>
      </c>
      <c r="AR375" t="s">
        <v>7508</v>
      </c>
      <c r="AS375" t="s">
        <v>7509</v>
      </c>
      <c r="AT375" t="s">
        <v>6380</v>
      </c>
      <c r="AU375">
        <v>2016</v>
      </c>
      <c r="AV375">
        <v>334</v>
      </c>
      <c r="AW375" t="s">
        <v>74</v>
      </c>
      <c r="AX375" t="s">
        <v>74</v>
      </c>
      <c r="AY375" t="s">
        <v>74</v>
      </c>
      <c r="AZ375" t="s">
        <v>74</v>
      </c>
      <c r="BA375" t="s">
        <v>74</v>
      </c>
      <c r="BB375">
        <v>115</v>
      </c>
      <c r="BC375">
        <v>141</v>
      </c>
      <c r="BD375" t="s">
        <v>74</v>
      </c>
      <c r="BE375" t="s">
        <v>7510</v>
      </c>
      <c r="BF375" t="str">
        <f>HYPERLINK("http://dx.doi.org/10.1016/j.sedgeo.2016.01.014","http://dx.doi.org/10.1016/j.sedgeo.2016.01.014")</f>
        <v>http://dx.doi.org/10.1016/j.sedgeo.2016.01.014</v>
      </c>
      <c r="BG375" t="s">
        <v>74</v>
      </c>
      <c r="BH375" t="s">
        <v>74</v>
      </c>
      <c r="BI375">
        <v>27</v>
      </c>
      <c r="BJ375" t="s">
        <v>270</v>
      </c>
      <c r="BK375" t="s">
        <v>102</v>
      </c>
      <c r="BL375" t="s">
        <v>270</v>
      </c>
      <c r="BM375" t="s">
        <v>7511</v>
      </c>
      <c r="BN375" t="s">
        <v>74</v>
      </c>
      <c r="BO375" t="s">
        <v>74</v>
      </c>
      <c r="BP375" t="s">
        <v>74</v>
      </c>
      <c r="BQ375" t="s">
        <v>74</v>
      </c>
      <c r="BR375" t="s">
        <v>106</v>
      </c>
      <c r="BS375" t="s">
        <v>7512</v>
      </c>
      <c r="BT375" t="str">
        <f>HYPERLINK("https%3A%2F%2Fwww.webofscience.com%2Fwos%2Fwoscc%2Ffull-record%2FWOS:000372762900007","View Full Record in Web of Science")</f>
        <v>View Full Record in Web of Science</v>
      </c>
    </row>
    <row r="376" spans="1:72" x14ac:dyDescent="0.15">
      <c r="A376" t="s">
        <v>72</v>
      </c>
      <c r="B376" t="s">
        <v>7513</v>
      </c>
      <c r="C376" t="s">
        <v>74</v>
      </c>
      <c r="D376" t="s">
        <v>74</v>
      </c>
      <c r="E376" t="s">
        <v>74</v>
      </c>
      <c r="F376" t="s">
        <v>7514</v>
      </c>
      <c r="G376" t="s">
        <v>74</v>
      </c>
      <c r="H376" t="s">
        <v>74</v>
      </c>
      <c r="I376" t="s">
        <v>7515</v>
      </c>
      <c r="J376" t="s">
        <v>7516</v>
      </c>
      <c r="K376" t="s">
        <v>74</v>
      </c>
      <c r="L376" t="s">
        <v>74</v>
      </c>
      <c r="M376" t="s">
        <v>78</v>
      </c>
      <c r="N376" t="s">
        <v>79</v>
      </c>
      <c r="O376" t="s">
        <v>74</v>
      </c>
      <c r="P376" t="s">
        <v>74</v>
      </c>
      <c r="Q376" t="s">
        <v>74</v>
      </c>
      <c r="R376" t="s">
        <v>74</v>
      </c>
      <c r="S376" t="s">
        <v>74</v>
      </c>
      <c r="T376" t="s">
        <v>7517</v>
      </c>
      <c r="U376" t="s">
        <v>7518</v>
      </c>
      <c r="V376" t="s">
        <v>7519</v>
      </c>
      <c r="W376" t="s">
        <v>7520</v>
      </c>
      <c r="X376" t="s">
        <v>7521</v>
      </c>
      <c r="Y376" t="s">
        <v>7522</v>
      </c>
      <c r="Z376" t="s">
        <v>7523</v>
      </c>
      <c r="AA376" t="s">
        <v>7524</v>
      </c>
      <c r="AB376" t="s">
        <v>7525</v>
      </c>
      <c r="AC376" t="s">
        <v>7526</v>
      </c>
      <c r="AD376" t="s">
        <v>7527</v>
      </c>
      <c r="AE376" t="s">
        <v>7528</v>
      </c>
      <c r="AF376" t="s">
        <v>74</v>
      </c>
      <c r="AG376">
        <v>57</v>
      </c>
      <c r="AH376">
        <v>12</v>
      </c>
      <c r="AI376">
        <v>13</v>
      </c>
      <c r="AJ376">
        <v>4</v>
      </c>
      <c r="AK376">
        <v>72</v>
      </c>
      <c r="AL376" t="s">
        <v>5020</v>
      </c>
      <c r="AM376" t="s">
        <v>5021</v>
      </c>
      <c r="AN376" t="s">
        <v>5022</v>
      </c>
      <c r="AO376" t="s">
        <v>7529</v>
      </c>
      <c r="AP376" t="s">
        <v>7530</v>
      </c>
      <c r="AQ376" t="s">
        <v>74</v>
      </c>
      <c r="AR376" t="s">
        <v>7531</v>
      </c>
      <c r="AS376" t="s">
        <v>7532</v>
      </c>
      <c r="AT376" t="s">
        <v>6000</v>
      </c>
      <c r="AU376">
        <v>2016</v>
      </c>
      <c r="AV376">
        <v>31</v>
      </c>
      <c r="AW376">
        <v>2</v>
      </c>
      <c r="AX376" t="s">
        <v>74</v>
      </c>
      <c r="AY376" t="s">
        <v>74</v>
      </c>
      <c r="AZ376" t="s">
        <v>74</v>
      </c>
      <c r="BA376" t="s">
        <v>74</v>
      </c>
      <c r="BB376">
        <v>194</v>
      </c>
      <c r="BC376">
        <v>204</v>
      </c>
      <c r="BD376" t="s">
        <v>74</v>
      </c>
      <c r="BE376" t="s">
        <v>7533</v>
      </c>
      <c r="BF376" t="str">
        <f>HYPERLINK("http://dx.doi.org/10.1177/0748730415626010","http://dx.doi.org/10.1177/0748730415626010")</f>
        <v>http://dx.doi.org/10.1177/0748730415626010</v>
      </c>
      <c r="BG376" t="s">
        <v>74</v>
      </c>
      <c r="BH376" t="s">
        <v>74</v>
      </c>
      <c r="BI376">
        <v>11</v>
      </c>
      <c r="BJ376" t="s">
        <v>7534</v>
      </c>
      <c r="BK376" t="s">
        <v>102</v>
      </c>
      <c r="BL376" t="s">
        <v>7535</v>
      </c>
      <c r="BM376" t="s">
        <v>7536</v>
      </c>
      <c r="BN376">
        <v>26823445</v>
      </c>
      <c r="BO376" t="s">
        <v>3370</v>
      </c>
      <c r="BP376" t="s">
        <v>74</v>
      </c>
      <c r="BQ376" t="s">
        <v>74</v>
      </c>
      <c r="BR376" t="s">
        <v>106</v>
      </c>
      <c r="BS376" t="s">
        <v>7537</v>
      </c>
      <c r="BT376" t="str">
        <f>HYPERLINK("https%3A%2F%2Fwww.webofscience.com%2Fwos%2Fwoscc%2Ffull-record%2FWOS:000372275600007","View Full Record in Web of Science")</f>
        <v>View Full Record in Web of Science</v>
      </c>
    </row>
    <row r="377" spans="1:72" x14ac:dyDescent="0.15">
      <c r="A377" t="s">
        <v>72</v>
      </c>
      <c r="B377" t="s">
        <v>7538</v>
      </c>
      <c r="C377" t="s">
        <v>74</v>
      </c>
      <c r="D377" t="s">
        <v>74</v>
      </c>
      <c r="E377" t="s">
        <v>74</v>
      </c>
      <c r="F377" t="s">
        <v>7539</v>
      </c>
      <c r="G377" t="s">
        <v>74</v>
      </c>
      <c r="H377" t="s">
        <v>74</v>
      </c>
      <c r="I377" t="s">
        <v>7540</v>
      </c>
      <c r="J377" t="s">
        <v>4385</v>
      </c>
      <c r="K377" t="s">
        <v>74</v>
      </c>
      <c r="L377" t="s">
        <v>74</v>
      </c>
      <c r="M377" t="s">
        <v>78</v>
      </c>
      <c r="N377" t="s">
        <v>79</v>
      </c>
      <c r="O377" t="s">
        <v>74</v>
      </c>
      <c r="P377" t="s">
        <v>74</v>
      </c>
      <c r="Q377" t="s">
        <v>74</v>
      </c>
      <c r="R377" t="s">
        <v>74</v>
      </c>
      <c r="S377" t="s">
        <v>74</v>
      </c>
      <c r="T377" t="s">
        <v>7541</v>
      </c>
      <c r="U377" t="s">
        <v>7542</v>
      </c>
      <c r="V377" t="s">
        <v>7543</v>
      </c>
      <c r="W377" t="s">
        <v>7544</v>
      </c>
      <c r="X377" t="s">
        <v>7545</v>
      </c>
      <c r="Y377" t="s">
        <v>7546</v>
      </c>
      <c r="Z377" t="s">
        <v>7547</v>
      </c>
      <c r="AA377" t="s">
        <v>7548</v>
      </c>
      <c r="AB377" t="s">
        <v>7549</v>
      </c>
      <c r="AC377" t="s">
        <v>7550</v>
      </c>
      <c r="AD377" t="s">
        <v>7551</v>
      </c>
      <c r="AE377" t="s">
        <v>7552</v>
      </c>
      <c r="AF377" t="s">
        <v>74</v>
      </c>
      <c r="AG377">
        <v>35</v>
      </c>
      <c r="AH377">
        <v>4</v>
      </c>
      <c r="AI377">
        <v>5</v>
      </c>
      <c r="AJ377">
        <v>0</v>
      </c>
      <c r="AK377">
        <v>22</v>
      </c>
      <c r="AL377" t="s">
        <v>626</v>
      </c>
      <c r="AM377" t="s">
        <v>583</v>
      </c>
      <c r="AN377" t="s">
        <v>627</v>
      </c>
      <c r="AO377" t="s">
        <v>4395</v>
      </c>
      <c r="AP377" t="s">
        <v>4396</v>
      </c>
      <c r="AQ377" t="s">
        <v>74</v>
      </c>
      <c r="AR377" t="s">
        <v>4397</v>
      </c>
      <c r="AS377" t="s">
        <v>4398</v>
      </c>
      <c r="AT377" t="s">
        <v>6000</v>
      </c>
      <c r="AU377">
        <v>2016</v>
      </c>
      <c r="AV377">
        <v>477</v>
      </c>
      <c r="AW377" t="s">
        <v>74</v>
      </c>
      <c r="AX377" t="s">
        <v>74</v>
      </c>
      <c r="AY377" t="s">
        <v>74</v>
      </c>
      <c r="AZ377" t="s">
        <v>74</v>
      </c>
      <c r="BA377" t="s">
        <v>74</v>
      </c>
      <c r="BB377">
        <v>86</v>
      </c>
      <c r="BC377">
        <v>91</v>
      </c>
      <c r="BD377" t="s">
        <v>74</v>
      </c>
      <c r="BE377" t="s">
        <v>7553</v>
      </c>
      <c r="BF377" t="str">
        <f>HYPERLINK("http://dx.doi.org/10.1016/j.jembe.2016.01.011","http://dx.doi.org/10.1016/j.jembe.2016.01.011")</f>
        <v>http://dx.doi.org/10.1016/j.jembe.2016.01.011</v>
      </c>
      <c r="BG377" t="s">
        <v>74</v>
      </c>
      <c r="BH377" t="s">
        <v>74</v>
      </c>
      <c r="BI377">
        <v>6</v>
      </c>
      <c r="BJ377" t="s">
        <v>4400</v>
      </c>
      <c r="BK377" t="s">
        <v>102</v>
      </c>
      <c r="BL377" t="s">
        <v>1839</v>
      </c>
      <c r="BM377" t="s">
        <v>7554</v>
      </c>
      <c r="BN377" t="s">
        <v>74</v>
      </c>
      <c r="BO377" t="s">
        <v>222</v>
      </c>
      <c r="BP377" t="s">
        <v>74</v>
      </c>
      <c r="BQ377" t="s">
        <v>74</v>
      </c>
      <c r="BR377" t="s">
        <v>106</v>
      </c>
      <c r="BS377" t="s">
        <v>7555</v>
      </c>
      <c r="BT377" t="str">
        <f>HYPERLINK("https%3A%2F%2Fwww.webofscience.com%2Fwos%2Fwoscc%2Ffull-record%2FWOS:000371950600011","View Full Record in Web of Science")</f>
        <v>View Full Record in Web of Science</v>
      </c>
    </row>
    <row r="378" spans="1:72" x14ac:dyDescent="0.15">
      <c r="A378" t="s">
        <v>72</v>
      </c>
      <c r="B378" t="s">
        <v>7556</v>
      </c>
      <c r="C378" t="s">
        <v>74</v>
      </c>
      <c r="D378" t="s">
        <v>74</v>
      </c>
      <c r="E378" t="s">
        <v>74</v>
      </c>
      <c r="F378" t="s">
        <v>7557</v>
      </c>
      <c r="G378" t="s">
        <v>74</v>
      </c>
      <c r="H378" t="s">
        <v>74</v>
      </c>
      <c r="I378" t="s">
        <v>7558</v>
      </c>
      <c r="J378" t="s">
        <v>7559</v>
      </c>
      <c r="K378" t="s">
        <v>74</v>
      </c>
      <c r="L378" t="s">
        <v>74</v>
      </c>
      <c r="M378" t="s">
        <v>78</v>
      </c>
      <c r="N378" t="s">
        <v>79</v>
      </c>
      <c r="O378" t="s">
        <v>74</v>
      </c>
      <c r="P378" t="s">
        <v>74</v>
      </c>
      <c r="Q378" t="s">
        <v>74</v>
      </c>
      <c r="R378" t="s">
        <v>74</v>
      </c>
      <c r="S378" t="s">
        <v>74</v>
      </c>
      <c r="T378" t="s">
        <v>7560</v>
      </c>
      <c r="U378" t="s">
        <v>7561</v>
      </c>
      <c r="V378" t="s">
        <v>7562</v>
      </c>
      <c r="W378" t="s">
        <v>7563</v>
      </c>
      <c r="X378" t="s">
        <v>7564</v>
      </c>
      <c r="Y378" t="s">
        <v>7565</v>
      </c>
      <c r="Z378" t="s">
        <v>7566</v>
      </c>
      <c r="AA378" t="s">
        <v>7567</v>
      </c>
      <c r="AB378" t="s">
        <v>7568</v>
      </c>
      <c r="AC378" t="s">
        <v>7569</v>
      </c>
      <c r="AD378" t="s">
        <v>7569</v>
      </c>
      <c r="AE378" t="s">
        <v>7570</v>
      </c>
      <c r="AF378" t="s">
        <v>74</v>
      </c>
      <c r="AG378">
        <v>74</v>
      </c>
      <c r="AH378">
        <v>21</v>
      </c>
      <c r="AI378">
        <v>21</v>
      </c>
      <c r="AJ378">
        <v>0</v>
      </c>
      <c r="AK378">
        <v>35</v>
      </c>
      <c r="AL378" t="s">
        <v>721</v>
      </c>
      <c r="AM378" t="s">
        <v>125</v>
      </c>
      <c r="AN378" t="s">
        <v>126</v>
      </c>
      <c r="AO378" t="s">
        <v>7571</v>
      </c>
      <c r="AP378" t="s">
        <v>7572</v>
      </c>
      <c r="AQ378" t="s">
        <v>74</v>
      </c>
      <c r="AR378" t="s">
        <v>7573</v>
      </c>
      <c r="AS378" t="s">
        <v>7574</v>
      </c>
      <c r="AT378" t="s">
        <v>6000</v>
      </c>
      <c r="AU378">
        <v>2016</v>
      </c>
      <c r="AV378">
        <v>39</v>
      </c>
      <c r="AW378">
        <v>4</v>
      </c>
      <c r="AX378" t="s">
        <v>74</v>
      </c>
      <c r="AY378" t="s">
        <v>74</v>
      </c>
      <c r="AZ378" t="s">
        <v>74</v>
      </c>
      <c r="BA378" t="s">
        <v>74</v>
      </c>
      <c r="BB378">
        <v>449</v>
      </c>
      <c r="BC378">
        <v>466</v>
      </c>
      <c r="BD378" t="s">
        <v>74</v>
      </c>
      <c r="BE378" t="s">
        <v>7575</v>
      </c>
      <c r="BF378" t="str">
        <f>HYPERLINK("http://dx.doi.org/10.1111/jfd.12438","http://dx.doi.org/10.1111/jfd.12438")</f>
        <v>http://dx.doi.org/10.1111/jfd.12438</v>
      </c>
      <c r="BG378" t="s">
        <v>74</v>
      </c>
      <c r="BH378" t="s">
        <v>74</v>
      </c>
      <c r="BI378">
        <v>18</v>
      </c>
      <c r="BJ378" t="s">
        <v>7576</v>
      </c>
      <c r="BK378" t="s">
        <v>102</v>
      </c>
      <c r="BL378" t="s">
        <v>7576</v>
      </c>
      <c r="BM378" t="s">
        <v>7577</v>
      </c>
      <c r="BN378">
        <v>26763087</v>
      </c>
      <c r="BO378" t="s">
        <v>420</v>
      </c>
      <c r="BP378" t="s">
        <v>74</v>
      </c>
      <c r="BQ378" t="s">
        <v>74</v>
      </c>
      <c r="BR378" t="s">
        <v>106</v>
      </c>
      <c r="BS378" t="s">
        <v>7578</v>
      </c>
      <c r="BT378" t="str">
        <f>HYPERLINK("https%3A%2F%2Fwww.webofscience.com%2Fwos%2Fwoscc%2Ffull-record%2FWOS:000372334000006","View Full Record in Web of Science")</f>
        <v>View Full Record in Web of Science</v>
      </c>
    </row>
    <row r="379" spans="1:72" x14ac:dyDescent="0.15">
      <c r="A379" t="s">
        <v>72</v>
      </c>
      <c r="B379" t="s">
        <v>7579</v>
      </c>
      <c r="C379" t="s">
        <v>74</v>
      </c>
      <c r="D379" t="s">
        <v>74</v>
      </c>
      <c r="E379" t="s">
        <v>74</v>
      </c>
      <c r="F379" t="s">
        <v>7580</v>
      </c>
      <c r="G379" t="s">
        <v>74</v>
      </c>
      <c r="H379" t="s">
        <v>74</v>
      </c>
      <c r="I379" t="s">
        <v>7581</v>
      </c>
      <c r="J379" t="s">
        <v>7582</v>
      </c>
      <c r="K379" t="s">
        <v>74</v>
      </c>
      <c r="L379" t="s">
        <v>74</v>
      </c>
      <c r="M379" t="s">
        <v>78</v>
      </c>
      <c r="N379" t="s">
        <v>79</v>
      </c>
      <c r="O379" t="s">
        <v>74</v>
      </c>
      <c r="P379" t="s">
        <v>74</v>
      </c>
      <c r="Q379" t="s">
        <v>74</v>
      </c>
      <c r="R379" t="s">
        <v>74</v>
      </c>
      <c r="S379" t="s">
        <v>74</v>
      </c>
      <c r="T379" t="s">
        <v>7583</v>
      </c>
      <c r="U379" t="s">
        <v>7584</v>
      </c>
      <c r="V379" t="s">
        <v>7585</v>
      </c>
      <c r="W379" t="s">
        <v>7586</v>
      </c>
      <c r="X379" t="s">
        <v>7587</v>
      </c>
      <c r="Y379" t="s">
        <v>7588</v>
      </c>
      <c r="Z379" t="s">
        <v>7589</v>
      </c>
      <c r="AA379" t="s">
        <v>74</v>
      </c>
      <c r="AB379" t="s">
        <v>74</v>
      </c>
      <c r="AC379" t="s">
        <v>7590</v>
      </c>
      <c r="AD379" t="s">
        <v>7591</v>
      </c>
      <c r="AE379" t="s">
        <v>7592</v>
      </c>
      <c r="AF379" t="s">
        <v>74</v>
      </c>
      <c r="AG379">
        <v>39</v>
      </c>
      <c r="AH379">
        <v>19</v>
      </c>
      <c r="AI379">
        <v>23</v>
      </c>
      <c r="AJ379">
        <v>9</v>
      </c>
      <c r="AK379">
        <v>67</v>
      </c>
      <c r="AL379" t="s">
        <v>582</v>
      </c>
      <c r="AM379" t="s">
        <v>583</v>
      </c>
      <c r="AN379" t="s">
        <v>584</v>
      </c>
      <c r="AO379" t="s">
        <v>7593</v>
      </c>
      <c r="AP379" t="s">
        <v>7594</v>
      </c>
      <c r="AQ379" t="s">
        <v>74</v>
      </c>
      <c r="AR379" t="s">
        <v>7595</v>
      </c>
      <c r="AS379" t="s">
        <v>7596</v>
      </c>
      <c r="AT379" t="s">
        <v>6000</v>
      </c>
      <c r="AU379">
        <v>2016</v>
      </c>
      <c r="AV379">
        <v>126</v>
      </c>
      <c r="AW379" t="s">
        <v>74</v>
      </c>
      <c r="AX379" t="s">
        <v>74</v>
      </c>
      <c r="AY379" t="s">
        <v>74</v>
      </c>
      <c r="AZ379" t="s">
        <v>74</v>
      </c>
      <c r="BA379" t="s">
        <v>74</v>
      </c>
      <c r="BB379">
        <v>46</v>
      </c>
      <c r="BC379">
        <v>55</v>
      </c>
      <c r="BD379" t="s">
        <v>74</v>
      </c>
      <c r="BE379" t="s">
        <v>7597</v>
      </c>
      <c r="BF379" t="str">
        <f>HYPERLINK("http://dx.doi.org/10.1016/j.molcatb.2016.01.011","http://dx.doi.org/10.1016/j.molcatb.2016.01.011")</f>
        <v>http://dx.doi.org/10.1016/j.molcatb.2016.01.011</v>
      </c>
      <c r="BG379" t="s">
        <v>74</v>
      </c>
      <c r="BH379" t="s">
        <v>74</v>
      </c>
      <c r="BI379">
        <v>10</v>
      </c>
      <c r="BJ379" t="s">
        <v>7598</v>
      </c>
      <c r="BK379" t="s">
        <v>102</v>
      </c>
      <c r="BL379" t="s">
        <v>6694</v>
      </c>
      <c r="BM379" t="s">
        <v>7599</v>
      </c>
      <c r="BN379" t="s">
        <v>74</v>
      </c>
      <c r="BO379" t="s">
        <v>74</v>
      </c>
      <c r="BP379" t="s">
        <v>74</v>
      </c>
      <c r="BQ379" t="s">
        <v>74</v>
      </c>
      <c r="BR379" t="s">
        <v>106</v>
      </c>
      <c r="BS379" t="s">
        <v>7600</v>
      </c>
      <c r="BT379" t="str">
        <f>HYPERLINK("https%3A%2F%2Fwww.webofscience.com%2Fwos%2Fwoscc%2Ffull-record%2FWOS:000371915000007","View Full Record in Web of Science")</f>
        <v>View Full Record in Web of Science</v>
      </c>
    </row>
    <row r="380" spans="1:72" x14ac:dyDescent="0.15">
      <c r="A380" t="s">
        <v>72</v>
      </c>
      <c r="B380" t="s">
        <v>7601</v>
      </c>
      <c r="C380" t="s">
        <v>74</v>
      </c>
      <c r="D380" t="s">
        <v>74</v>
      </c>
      <c r="E380" t="s">
        <v>74</v>
      </c>
      <c r="F380" t="s">
        <v>7602</v>
      </c>
      <c r="G380" t="s">
        <v>74</v>
      </c>
      <c r="H380" t="s">
        <v>74</v>
      </c>
      <c r="I380" t="s">
        <v>7603</v>
      </c>
      <c r="J380" t="s">
        <v>4938</v>
      </c>
      <c r="K380" t="s">
        <v>74</v>
      </c>
      <c r="L380" t="s">
        <v>74</v>
      </c>
      <c r="M380" t="s">
        <v>78</v>
      </c>
      <c r="N380" t="s">
        <v>79</v>
      </c>
      <c r="O380" t="s">
        <v>74</v>
      </c>
      <c r="P380" t="s">
        <v>74</v>
      </c>
      <c r="Q380" t="s">
        <v>74</v>
      </c>
      <c r="R380" t="s">
        <v>74</v>
      </c>
      <c r="S380" t="s">
        <v>74</v>
      </c>
      <c r="T380" t="s">
        <v>7604</v>
      </c>
      <c r="U380" t="s">
        <v>7605</v>
      </c>
      <c r="V380" t="s">
        <v>7606</v>
      </c>
      <c r="W380" t="s">
        <v>7607</v>
      </c>
      <c r="X380" t="s">
        <v>7608</v>
      </c>
      <c r="Y380" t="s">
        <v>7609</v>
      </c>
      <c r="Z380" t="s">
        <v>7610</v>
      </c>
      <c r="AA380" t="s">
        <v>7611</v>
      </c>
      <c r="AB380" t="s">
        <v>7612</v>
      </c>
      <c r="AC380" t="s">
        <v>7613</v>
      </c>
      <c r="AD380" t="s">
        <v>7614</v>
      </c>
      <c r="AE380" t="s">
        <v>7615</v>
      </c>
      <c r="AF380" t="s">
        <v>74</v>
      </c>
      <c r="AG380">
        <v>48</v>
      </c>
      <c r="AH380">
        <v>36</v>
      </c>
      <c r="AI380">
        <v>40</v>
      </c>
      <c r="AJ380">
        <v>1</v>
      </c>
      <c r="AK380">
        <v>71</v>
      </c>
      <c r="AL380" t="s">
        <v>194</v>
      </c>
      <c r="AM380" t="s">
        <v>262</v>
      </c>
      <c r="AN380" t="s">
        <v>2836</v>
      </c>
      <c r="AO380" t="s">
        <v>4951</v>
      </c>
      <c r="AP380" t="s">
        <v>4952</v>
      </c>
      <c r="AQ380" t="s">
        <v>74</v>
      </c>
      <c r="AR380" t="s">
        <v>4953</v>
      </c>
      <c r="AS380" t="s">
        <v>4954</v>
      </c>
      <c r="AT380" t="s">
        <v>6000</v>
      </c>
      <c r="AU380">
        <v>2016</v>
      </c>
      <c r="AV380">
        <v>71</v>
      </c>
      <c r="AW380">
        <v>3</v>
      </c>
      <c r="AX380" t="s">
        <v>74</v>
      </c>
      <c r="AY380" t="s">
        <v>74</v>
      </c>
      <c r="AZ380" t="s">
        <v>74</v>
      </c>
      <c r="BA380" t="s">
        <v>74</v>
      </c>
      <c r="BB380">
        <v>543</v>
      </c>
      <c r="BC380">
        <v>554</v>
      </c>
      <c r="BD380" t="s">
        <v>74</v>
      </c>
      <c r="BE380" t="s">
        <v>7616</v>
      </c>
      <c r="BF380" t="str">
        <f>HYPERLINK("http://dx.doi.org/10.1007/s00248-015-0689-1","http://dx.doi.org/10.1007/s00248-015-0689-1")</f>
        <v>http://dx.doi.org/10.1007/s00248-015-0689-1</v>
      </c>
      <c r="BG380" t="s">
        <v>74</v>
      </c>
      <c r="BH380" t="s">
        <v>74</v>
      </c>
      <c r="BI380">
        <v>12</v>
      </c>
      <c r="BJ380" t="s">
        <v>4956</v>
      </c>
      <c r="BK380" t="s">
        <v>102</v>
      </c>
      <c r="BL380" t="s">
        <v>4957</v>
      </c>
      <c r="BM380" t="s">
        <v>7617</v>
      </c>
      <c r="BN380">
        <v>26492897</v>
      </c>
      <c r="BO380" t="s">
        <v>74</v>
      </c>
      <c r="BP380" t="s">
        <v>74</v>
      </c>
      <c r="BQ380" t="s">
        <v>74</v>
      </c>
      <c r="BR380" t="s">
        <v>106</v>
      </c>
      <c r="BS380" t="s">
        <v>7618</v>
      </c>
      <c r="BT380" t="str">
        <f>HYPERLINK("https%3A%2F%2Fwww.webofscience.com%2Fwos%2Fwoscc%2Ffull-record%2FWOS:000372266000004","View Full Record in Web of Science")</f>
        <v>View Full Record in Web of Science</v>
      </c>
    </row>
    <row r="381" spans="1:72" x14ac:dyDescent="0.15">
      <c r="A381" t="s">
        <v>72</v>
      </c>
      <c r="B381" t="s">
        <v>7619</v>
      </c>
      <c r="C381" t="s">
        <v>74</v>
      </c>
      <c r="D381" t="s">
        <v>74</v>
      </c>
      <c r="E381" t="s">
        <v>74</v>
      </c>
      <c r="F381" t="s">
        <v>7620</v>
      </c>
      <c r="G381" t="s">
        <v>74</v>
      </c>
      <c r="H381" t="s">
        <v>74</v>
      </c>
      <c r="I381" t="s">
        <v>7621</v>
      </c>
      <c r="J381" t="s">
        <v>7622</v>
      </c>
      <c r="K381" t="s">
        <v>74</v>
      </c>
      <c r="L381" t="s">
        <v>74</v>
      </c>
      <c r="M381" t="s">
        <v>78</v>
      </c>
      <c r="N381" t="s">
        <v>79</v>
      </c>
      <c r="O381" t="s">
        <v>74</v>
      </c>
      <c r="P381" t="s">
        <v>74</v>
      </c>
      <c r="Q381" t="s">
        <v>74</v>
      </c>
      <c r="R381" t="s">
        <v>74</v>
      </c>
      <c r="S381" t="s">
        <v>74</v>
      </c>
      <c r="T381" t="s">
        <v>7623</v>
      </c>
      <c r="U381" t="s">
        <v>7624</v>
      </c>
      <c r="V381" t="s">
        <v>7625</v>
      </c>
      <c r="W381" t="s">
        <v>7626</v>
      </c>
      <c r="X381" t="s">
        <v>7627</v>
      </c>
      <c r="Y381" t="s">
        <v>7628</v>
      </c>
      <c r="Z381" t="s">
        <v>7629</v>
      </c>
      <c r="AA381" t="s">
        <v>74</v>
      </c>
      <c r="AB381" t="s">
        <v>74</v>
      </c>
      <c r="AC381" t="s">
        <v>7630</v>
      </c>
      <c r="AD381" t="s">
        <v>7630</v>
      </c>
      <c r="AE381" t="s">
        <v>7631</v>
      </c>
      <c r="AF381" t="s">
        <v>74</v>
      </c>
      <c r="AG381">
        <v>20</v>
      </c>
      <c r="AH381">
        <v>14</v>
      </c>
      <c r="AI381">
        <v>14</v>
      </c>
      <c r="AJ381">
        <v>1</v>
      </c>
      <c r="AK381">
        <v>13</v>
      </c>
      <c r="AL381" t="s">
        <v>7632</v>
      </c>
      <c r="AM381" t="s">
        <v>7633</v>
      </c>
      <c r="AN381" t="s">
        <v>7634</v>
      </c>
      <c r="AO381" t="s">
        <v>7635</v>
      </c>
      <c r="AP381" t="s">
        <v>7636</v>
      </c>
      <c r="AQ381" t="s">
        <v>74</v>
      </c>
      <c r="AR381" t="s">
        <v>7637</v>
      </c>
      <c r="AS381" t="s">
        <v>7638</v>
      </c>
      <c r="AT381" t="s">
        <v>6000</v>
      </c>
      <c r="AU381">
        <v>2016</v>
      </c>
      <c r="AV381">
        <v>38</v>
      </c>
      <c r="AW381">
        <v>1</v>
      </c>
      <c r="AX381" t="s">
        <v>74</v>
      </c>
      <c r="AY381" t="s">
        <v>74</v>
      </c>
      <c r="AZ381" t="s">
        <v>74</v>
      </c>
      <c r="BA381" t="s">
        <v>74</v>
      </c>
      <c r="BB381">
        <v>119</v>
      </c>
      <c r="BC381">
        <v>127</v>
      </c>
      <c r="BD381" t="s">
        <v>74</v>
      </c>
      <c r="BE381" t="s">
        <v>7639</v>
      </c>
      <c r="BF381" t="str">
        <f>HYPERLINK("http://dx.doi.org/10.2989/1814232X.2016.1162750","http://dx.doi.org/10.2989/1814232X.2016.1162750")</f>
        <v>http://dx.doi.org/10.2989/1814232X.2016.1162750</v>
      </c>
      <c r="BG381" t="s">
        <v>74</v>
      </c>
      <c r="BH381" t="s">
        <v>74</v>
      </c>
      <c r="BI381">
        <v>9</v>
      </c>
      <c r="BJ381" t="s">
        <v>201</v>
      </c>
      <c r="BK381" t="s">
        <v>102</v>
      </c>
      <c r="BL381" t="s">
        <v>201</v>
      </c>
      <c r="BM381" t="s">
        <v>7640</v>
      </c>
      <c r="BN381" t="s">
        <v>74</v>
      </c>
      <c r="BO381" t="s">
        <v>74</v>
      </c>
      <c r="BP381" t="s">
        <v>74</v>
      </c>
      <c r="BQ381" t="s">
        <v>74</v>
      </c>
      <c r="BR381" t="s">
        <v>106</v>
      </c>
      <c r="BS381" t="s">
        <v>7641</v>
      </c>
      <c r="BT381" t="str">
        <f>HYPERLINK("https%3A%2F%2Fwww.webofscience.com%2Fwos%2Fwoscc%2Ffull-record%2FWOS:000375323000012","View Full Record in Web of Science")</f>
        <v>View Full Record in Web of Science</v>
      </c>
    </row>
    <row r="382" spans="1:72" x14ac:dyDescent="0.15">
      <c r="A382" t="s">
        <v>72</v>
      </c>
      <c r="B382" t="s">
        <v>7642</v>
      </c>
      <c r="C382" t="s">
        <v>74</v>
      </c>
      <c r="D382" t="s">
        <v>74</v>
      </c>
      <c r="E382" t="s">
        <v>74</v>
      </c>
      <c r="F382" t="s">
        <v>7643</v>
      </c>
      <c r="G382" t="s">
        <v>74</v>
      </c>
      <c r="H382" t="s">
        <v>74</v>
      </c>
      <c r="I382" t="s">
        <v>7644</v>
      </c>
      <c r="J382" t="s">
        <v>7645</v>
      </c>
      <c r="K382" t="s">
        <v>74</v>
      </c>
      <c r="L382" t="s">
        <v>74</v>
      </c>
      <c r="M382" t="s">
        <v>78</v>
      </c>
      <c r="N382" t="s">
        <v>79</v>
      </c>
      <c r="O382" t="s">
        <v>74</v>
      </c>
      <c r="P382" t="s">
        <v>74</v>
      </c>
      <c r="Q382" t="s">
        <v>74</v>
      </c>
      <c r="R382" t="s">
        <v>74</v>
      </c>
      <c r="S382" t="s">
        <v>74</v>
      </c>
      <c r="T382" t="s">
        <v>7646</v>
      </c>
      <c r="U382" t="s">
        <v>7647</v>
      </c>
      <c r="V382" t="s">
        <v>7648</v>
      </c>
      <c r="W382" t="s">
        <v>7649</v>
      </c>
      <c r="X382" t="s">
        <v>7650</v>
      </c>
      <c r="Y382" t="s">
        <v>7651</v>
      </c>
      <c r="Z382" t="s">
        <v>7652</v>
      </c>
      <c r="AA382" t="s">
        <v>7653</v>
      </c>
      <c r="AB382" t="s">
        <v>7654</v>
      </c>
      <c r="AC382" t="s">
        <v>7655</v>
      </c>
      <c r="AD382" t="s">
        <v>7656</v>
      </c>
      <c r="AE382" t="s">
        <v>7657</v>
      </c>
      <c r="AF382" t="s">
        <v>74</v>
      </c>
      <c r="AG382">
        <v>33</v>
      </c>
      <c r="AH382">
        <v>2</v>
      </c>
      <c r="AI382">
        <v>2</v>
      </c>
      <c r="AJ382">
        <v>1</v>
      </c>
      <c r="AK382">
        <v>18</v>
      </c>
      <c r="AL382" t="s">
        <v>5169</v>
      </c>
      <c r="AM382" t="s">
        <v>5170</v>
      </c>
      <c r="AN382" t="s">
        <v>5171</v>
      </c>
      <c r="AO382" t="s">
        <v>7658</v>
      </c>
      <c r="AP382" t="s">
        <v>7659</v>
      </c>
      <c r="AQ382" t="s">
        <v>74</v>
      </c>
      <c r="AR382" t="s">
        <v>7660</v>
      </c>
      <c r="AS382" t="s">
        <v>7661</v>
      </c>
      <c r="AT382" t="s">
        <v>6000</v>
      </c>
      <c r="AU382">
        <v>2016</v>
      </c>
      <c r="AV382">
        <v>187</v>
      </c>
      <c r="AW382">
        <v>4</v>
      </c>
      <c r="AX382" t="s">
        <v>74</v>
      </c>
      <c r="AY382" t="s">
        <v>74</v>
      </c>
      <c r="AZ382" t="s">
        <v>74</v>
      </c>
      <c r="BA382" t="s">
        <v>74</v>
      </c>
      <c r="BB382">
        <v>532</v>
      </c>
      <c r="BC382">
        <v>539</v>
      </c>
      <c r="BD382" t="s">
        <v>74</v>
      </c>
      <c r="BE382" t="s">
        <v>7662</v>
      </c>
      <c r="BF382" t="str">
        <f>HYPERLINK("http://dx.doi.org/10.1086/685282","http://dx.doi.org/10.1086/685282")</f>
        <v>http://dx.doi.org/10.1086/685282</v>
      </c>
      <c r="BG382" t="s">
        <v>74</v>
      </c>
      <c r="BH382" t="s">
        <v>74</v>
      </c>
      <c r="BI382">
        <v>8</v>
      </c>
      <c r="BJ382" t="s">
        <v>7663</v>
      </c>
      <c r="BK382" t="s">
        <v>102</v>
      </c>
      <c r="BL382" t="s">
        <v>7664</v>
      </c>
      <c r="BM382" t="s">
        <v>7665</v>
      </c>
      <c r="BN382">
        <v>27028080</v>
      </c>
      <c r="BO382" t="s">
        <v>1143</v>
      </c>
      <c r="BP382" t="s">
        <v>74</v>
      </c>
      <c r="BQ382" t="s">
        <v>74</v>
      </c>
      <c r="BR382" t="s">
        <v>106</v>
      </c>
      <c r="BS382" t="s">
        <v>7666</v>
      </c>
      <c r="BT382" t="str">
        <f>HYPERLINK("https%3A%2F%2Fwww.webofscience.com%2Fwos%2Fwoscc%2Ffull-record%2FWOS:000373127000015","View Full Record in Web of Science")</f>
        <v>View Full Record in Web of Science</v>
      </c>
    </row>
    <row r="383" spans="1:72" x14ac:dyDescent="0.15">
      <c r="A383" t="s">
        <v>72</v>
      </c>
      <c r="B383" t="s">
        <v>7667</v>
      </c>
      <c r="C383" t="s">
        <v>74</v>
      </c>
      <c r="D383" t="s">
        <v>74</v>
      </c>
      <c r="E383" t="s">
        <v>74</v>
      </c>
      <c r="F383" t="s">
        <v>7668</v>
      </c>
      <c r="G383" t="s">
        <v>74</v>
      </c>
      <c r="H383" t="s">
        <v>74</v>
      </c>
      <c r="I383" t="s">
        <v>7669</v>
      </c>
      <c r="J383" t="s">
        <v>7670</v>
      </c>
      <c r="K383" t="s">
        <v>74</v>
      </c>
      <c r="L383" t="s">
        <v>74</v>
      </c>
      <c r="M383" t="s">
        <v>78</v>
      </c>
      <c r="N383" t="s">
        <v>79</v>
      </c>
      <c r="O383" t="s">
        <v>74</v>
      </c>
      <c r="P383" t="s">
        <v>74</v>
      </c>
      <c r="Q383" t="s">
        <v>74</v>
      </c>
      <c r="R383" t="s">
        <v>74</v>
      </c>
      <c r="S383" t="s">
        <v>74</v>
      </c>
      <c r="T383" t="s">
        <v>7671</v>
      </c>
      <c r="U383" t="s">
        <v>7672</v>
      </c>
      <c r="V383" t="s">
        <v>7673</v>
      </c>
      <c r="W383" t="s">
        <v>7674</v>
      </c>
      <c r="X383" t="s">
        <v>7675</v>
      </c>
      <c r="Y383" t="s">
        <v>7676</v>
      </c>
      <c r="Z383" t="s">
        <v>7677</v>
      </c>
      <c r="AA383" t="s">
        <v>7678</v>
      </c>
      <c r="AB383" t="s">
        <v>7679</v>
      </c>
      <c r="AC383" t="s">
        <v>7680</v>
      </c>
      <c r="AD383" t="s">
        <v>7681</v>
      </c>
      <c r="AE383" t="s">
        <v>7682</v>
      </c>
      <c r="AF383" t="s">
        <v>74</v>
      </c>
      <c r="AG383">
        <v>65</v>
      </c>
      <c r="AH383">
        <v>24</v>
      </c>
      <c r="AI383">
        <v>27</v>
      </c>
      <c r="AJ383">
        <v>0</v>
      </c>
      <c r="AK383">
        <v>63</v>
      </c>
      <c r="AL383" t="s">
        <v>124</v>
      </c>
      <c r="AM383" t="s">
        <v>125</v>
      </c>
      <c r="AN383" t="s">
        <v>126</v>
      </c>
      <c r="AO383" t="s">
        <v>7683</v>
      </c>
      <c r="AP383" t="s">
        <v>7684</v>
      </c>
      <c r="AQ383" t="s">
        <v>74</v>
      </c>
      <c r="AR383" t="s">
        <v>7685</v>
      </c>
      <c r="AS383" t="s">
        <v>7686</v>
      </c>
      <c r="AT383" t="s">
        <v>6000</v>
      </c>
      <c r="AU383">
        <v>2016</v>
      </c>
      <c r="AV383">
        <v>19</v>
      </c>
      <c r="AW383">
        <v>2</v>
      </c>
      <c r="AX383" t="s">
        <v>74</v>
      </c>
      <c r="AY383" t="s">
        <v>74</v>
      </c>
      <c r="AZ383" t="s">
        <v>74</v>
      </c>
      <c r="BA383" t="s">
        <v>74</v>
      </c>
      <c r="BB383">
        <v>139</v>
      </c>
      <c r="BC383">
        <v>152</v>
      </c>
      <c r="BD383" t="s">
        <v>74</v>
      </c>
      <c r="BE383" t="s">
        <v>7687</v>
      </c>
      <c r="BF383" t="str">
        <f>HYPERLINK("http://dx.doi.org/10.1111/acv.12227","http://dx.doi.org/10.1111/acv.12227")</f>
        <v>http://dx.doi.org/10.1111/acv.12227</v>
      </c>
      <c r="BG383" t="s">
        <v>74</v>
      </c>
      <c r="BH383" t="s">
        <v>74</v>
      </c>
      <c r="BI383">
        <v>14</v>
      </c>
      <c r="BJ383" t="s">
        <v>291</v>
      </c>
      <c r="BK383" t="s">
        <v>102</v>
      </c>
      <c r="BL383" t="s">
        <v>133</v>
      </c>
      <c r="BM383" t="s">
        <v>7688</v>
      </c>
      <c r="BN383" t="s">
        <v>74</v>
      </c>
      <c r="BO383" t="s">
        <v>380</v>
      </c>
      <c r="BP383" t="s">
        <v>74</v>
      </c>
      <c r="BQ383" t="s">
        <v>74</v>
      </c>
      <c r="BR383" t="s">
        <v>106</v>
      </c>
      <c r="BS383" t="s">
        <v>7689</v>
      </c>
      <c r="BT383" t="str">
        <f>HYPERLINK("https%3A%2F%2Fwww.webofscience.com%2Fwos%2Fwoscc%2Ffull-record%2FWOS:000374563900009","View Full Record in Web of Science")</f>
        <v>View Full Record in Web of Science</v>
      </c>
    </row>
    <row r="384" spans="1:72" x14ac:dyDescent="0.15">
      <c r="A384" t="s">
        <v>72</v>
      </c>
      <c r="B384" t="s">
        <v>7690</v>
      </c>
      <c r="C384" t="s">
        <v>74</v>
      </c>
      <c r="D384" t="s">
        <v>74</v>
      </c>
      <c r="E384" t="s">
        <v>74</v>
      </c>
      <c r="F384" t="s">
        <v>7691</v>
      </c>
      <c r="G384" t="s">
        <v>74</v>
      </c>
      <c r="H384" t="s">
        <v>74</v>
      </c>
      <c r="I384" t="s">
        <v>7692</v>
      </c>
      <c r="J384" t="s">
        <v>7348</v>
      </c>
      <c r="K384" t="s">
        <v>74</v>
      </c>
      <c r="L384" t="s">
        <v>74</v>
      </c>
      <c r="M384" t="s">
        <v>78</v>
      </c>
      <c r="N384" t="s">
        <v>573</v>
      </c>
      <c r="O384" t="s">
        <v>74</v>
      </c>
      <c r="P384" t="s">
        <v>74</v>
      </c>
      <c r="Q384" t="s">
        <v>74</v>
      </c>
      <c r="R384" t="s">
        <v>74</v>
      </c>
      <c r="S384" t="s">
        <v>74</v>
      </c>
      <c r="T384" t="s">
        <v>74</v>
      </c>
      <c r="U384" t="s">
        <v>74</v>
      </c>
      <c r="V384" t="s">
        <v>74</v>
      </c>
      <c r="W384" t="s">
        <v>74</v>
      </c>
      <c r="X384" t="s">
        <v>74</v>
      </c>
      <c r="Y384" t="s">
        <v>74</v>
      </c>
      <c r="Z384" t="s">
        <v>74</v>
      </c>
      <c r="AA384" t="s">
        <v>74</v>
      </c>
      <c r="AB384" t="s">
        <v>74</v>
      </c>
      <c r="AC384" t="s">
        <v>74</v>
      </c>
      <c r="AD384" t="s">
        <v>74</v>
      </c>
      <c r="AE384" t="s">
        <v>74</v>
      </c>
      <c r="AF384" t="s">
        <v>74</v>
      </c>
      <c r="AG384">
        <v>0</v>
      </c>
      <c r="AH384">
        <v>1</v>
      </c>
      <c r="AI384">
        <v>1</v>
      </c>
      <c r="AJ384">
        <v>0</v>
      </c>
      <c r="AK384">
        <v>4</v>
      </c>
      <c r="AL384" t="s">
        <v>3662</v>
      </c>
      <c r="AM384" t="s">
        <v>262</v>
      </c>
      <c r="AN384" t="s">
        <v>3663</v>
      </c>
      <c r="AO384" t="s">
        <v>7359</v>
      </c>
      <c r="AP384" t="s">
        <v>7360</v>
      </c>
      <c r="AQ384" t="s">
        <v>74</v>
      </c>
      <c r="AR384" t="s">
        <v>7361</v>
      </c>
      <c r="AS384" t="s">
        <v>7362</v>
      </c>
      <c r="AT384" t="s">
        <v>6000</v>
      </c>
      <c r="AU384">
        <v>2016</v>
      </c>
      <c r="AV384">
        <v>28</v>
      </c>
      <c r="AW384">
        <v>2</v>
      </c>
      <c r="AX384" t="s">
        <v>74</v>
      </c>
      <c r="AY384" t="s">
        <v>74</v>
      </c>
      <c r="AZ384" t="s">
        <v>74</v>
      </c>
      <c r="BA384" t="s">
        <v>74</v>
      </c>
      <c r="BB384">
        <v>71</v>
      </c>
      <c r="BC384">
        <v>71</v>
      </c>
      <c r="BD384" t="s">
        <v>74</v>
      </c>
      <c r="BE384" t="s">
        <v>7693</v>
      </c>
      <c r="BF384" t="str">
        <f>HYPERLINK("http://dx.doi.org/10.1017/S0954102016000067","http://dx.doi.org/10.1017/S0954102016000067")</f>
        <v>http://dx.doi.org/10.1017/S0954102016000067</v>
      </c>
      <c r="BG384" t="s">
        <v>74</v>
      </c>
      <c r="BH384" t="s">
        <v>74</v>
      </c>
      <c r="BI384">
        <v>1</v>
      </c>
      <c r="BJ384" t="s">
        <v>7364</v>
      </c>
      <c r="BK384" t="s">
        <v>102</v>
      </c>
      <c r="BL384" t="s">
        <v>7365</v>
      </c>
      <c r="BM384" t="s">
        <v>7366</v>
      </c>
      <c r="BN384" t="s">
        <v>74</v>
      </c>
      <c r="BO384" t="s">
        <v>420</v>
      </c>
      <c r="BP384" t="s">
        <v>74</v>
      </c>
      <c r="BQ384" t="s">
        <v>74</v>
      </c>
      <c r="BR384" t="s">
        <v>106</v>
      </c>
      <c r="BS384" t="s">
        <v>7694</v>
      </c>
      <c r="BT384" t="str">
        <f>HYPERLINK("https%3A%2F%2Fwww.webofscience.com%2Fwos%2Fwoscc%2Ffull-record%2FWOS:000372521200001","View Full Record in Web of Science")</f>
        <v>View Full Record in Web of Science</v>
      </c>
    </row>
    <row r="385" spans="1:72" x14ac:dyDescent="0.15">
      <c r="A385" t="s">
        <v>72</v>
      </c>
      <c r="B385" t="s">
        <v>7695</v>
      </c>
      <c r="C385" t="s">
        <v>74</v>
      </c>
      <c r="D385" t="s">
        <v>74</v>
      </c>
      <c r="E385" t="s">
        <v>74</v>
      </c>
      <c r="F385" t="s">
        <v>7696</v>
      </c>
      <c r="G385" t="s">
        <v>74</v>
      </c>
      <c r="H385" t="s">
        <v>74</v>
      </c>
      <c r="I385" t="s">
        <v>7697</v>
      </c>
      <c r="J385" t="s">
        <v>7348</v>
      </c>
      <c r="K385" t="s">
        <v>74</v>
      </c>
      <c r="L385" t="s">
        <v>74</v>
      </c>
      <c r="M385" t="s">
        <v>78</v>
      </c>
      <c r="N385" t="s">
        <v>79</v>
      </c>
      <c r="O385" t="s">
        <v>74</v>
      </c>
      <c r="P385" t="s">
        <v>74</v>
      </c>
      <c r="Q385" t="s">
        <v>74</v>
      </c>
      <c r="R385" t="s">
        <v>74</v>
      </c>
      <c r="S385" t="s">
        <v>74</v>
      </c>
      <c r="T385" t="s">
        <v>7698</v>
      </c>
      <c r="U385" t="s">
        <v>7699</v>
      </c>
      <c r="V385" t="s">
        <v>7700</v>
      </c>
      <c r="W385" t="s">
        <v>7701</v>
      </c>
      <c r="X385" t="s">
        <v>7702</v>
      </c>
      <c r="Y385" t="s">
        <v>7703</v>
      </c>
      <c r="Z385" t="s">
        <v>7704</v>
      </c>
      <c r="AA385" t="s">
        <v>7705</v>
      </c>
      <c r="AB385" t="s">
        <v>74</v>
      </c>
      <c r="AC385" t="s">
        <v>7706</v>
      </c>
      <c r="AD385" t="s">
        <v>7707</v>
      </c>
      <c r="AE385" t="s">
        <v>7708</v>
      </c>
      <c r="AF385" t="s">
        <v>74</v>
      </c>
      <c r="AG385">
        <v>37</v>
      </c>
      <c r="AH385">
        <v>4</v>
      </c>
      <c r="AI385">
        <v>5</v>
      </c>
      <c r="AJ385">
        <v>2</v>
      </c>
      <c r="AK385">
        <v>16</v>
      </c>
      <c r="AL385" t="s">
        <v>3662</v>
      </c>
      <c r="AM385" t="s">
        <v>262</v>
      </c>
      <c r="AN385" t="s">
        <v>3663</v>
      </c>
      <c r="AO385" t="s">
        <v>7359</v>
      </c>
      <c r="AP385" t="s">
        <v>7360</v>
      </c>
      <c r="AQ385" t="s">
        <v>74</v>
      </c>
      <c r="AR385" t="s">
        <v>7361</v>
      </c>
      <c r="AS385" t="s">
        <v>7362</v>
      </c>
      <c r="AT385" t="s">
        <v>6000</v>
      </c>
      <c r="AU385">
        <v>2016</v>
      </c>
      <c r="AV385">
        <v>28</v>
      </c>
      <c r="AW385">
        <v>2</v>
      </c>
      <c r="AX385" t="s">
        <v>74</v>
      </c>
      <c r="AY385" t="s">
        <v>74</v>
      </c>
      <c r="AZ385" t="s">
        <v>74</v>
      </c>
      <c r="BA385" t="s">
        <v>74</v>
      </c>
      <c r="BB385">
        <v>103</v>
      </c>
      <c r="BC385">
        <v>114</v>
      </c>
      <c r="BD385" t="s">
        <v>74</v>
      </c>
      <c r="BE385" t="s">
        <v>7709</v>
      </c>
      <c r="BF385" t="str">
        <f>HYPERLINK("http://dx.doi.org/10.1017/S0954102015000498","http://dx.doi.org/10.1017/S0954102015000498")</f>
        <v>http://dx.doi.org/10.1017/S0954102015000498</v>
      </c>
      <c r="BG385" t="s">
        <v>74</v>
      </c>
      <c r="BH385" t="s">
        <v>74</v>
      </c>
      <c r="BI385">
        <v>12</v>
      </c>
      <c r="BJ385" t="s">
        <v>7364</v>
      </c>
      <c r="BK385" t="s">
        <v>102</v>
      </c>
      <c r="BL385" t="s">
        <v>7365</v>
      </c>
      <c r="BM385" t="s">
        <v>7366</v>
      </c>
      <c r="BN385" t="s">
        <v>74</v>
      </c>
      <c r="BO385" t="s">
        <v>74</v>
      </c>
      <c r="BP385" t="s">
        <v>74</v>
      </c>
      <c r="BQ385" t="s">
        <v>74</v>
      </c>
      <c r="BR385" t="s">
        <v>106</v>
      </c>
      <c r="BS385" t="s">
        <v>7710</v>
      </c>
      <c r="BT385" t="str">
        <f>HYPERLINK("https%3A%2F%2Fwww.webofscience.com%2Fwos%2Fwoscc%2Ffull-record%2FWOS:000372521200006","View Full Record in Web of Science")</f>
        <v>View Full Record in Web of Science</v>
      </c>
    </row>
    <row r="386" spans="1:72" x14ac:dyDescent="0.15">
      <c r="A386" t="s">
        <v>72</v>
      </c>
      <c r="B386" t="s">
        <v>7711</v>
      </c>
      <c r="C386" t="s">
        <v>74</v>
      </c>
      <c r="D386" t="s">
        <v>74</v>
      </c>
      <c r="E386" t="s">
        <v>74</v>
      </c>
      <c r="F386" t="s">
        <v>7712</v>
      </c>
      <c r="G386" t="s">
        <v>74</v>
      </c>
      <c r="H386" t="s">
        <v>74</v>
      </c>
      <c r="I386" t="s">
        <v>7713</v>
      </c>
      <c r="J386" t="s">
        <v>7348</v>
      </c>
      <c r="K386" t="s">
        <v>74</v>
      </c>
      <c r="L386" t="s">
        <v>74</v>
      </c>
      <c r="M386" t="s">
        <v>78</v>
      </c>
      <c r="N386" t="s">
        <v>79</v>
      </c>
      <c r="O386" t="s">
        <v>74</v>
      </c>
      <c r="P386" t="s">
        <v>74</v>
      </c>
      <c r="Q386" t="s">
        <v>74</v>
      </c>
      <c r="R386" t="s">
        <v>74</v>
      </c>
      <c r="S386" t="s">
        <v>74</v>
      </c>
      <c r="T386" t="s">
        <v>7714</v>
      </c>
      <c r="U386" t="s">
        <v>7715</v>
      </c>
      <c r="V386" t="s">
        <v>7716</v>
      </c>
      <c r="W386" t="s">
        <v>7717</v>
      </c>
      <c r="X386" t="s">
        <v>7718</v>
      </c>
      <c r="Y386" t="s">
        <v>7719</v>
      </c>
      <c r="Z386" t="s">
        <v>7720</v>
      </c>
      <c r="AA386" t="s">
        <v>7721</v>
      </c>
      <c r="AB386" t="s">
        <v>7722</v>
      </c>
      <c r="AC386" t="s">
        <v>7723</v>
      </c>
      <c r="AD386" t="s">
        <v>7724</v>
      </c>
      <c r="AE386" t="s">
        <v>7725</v>
      </c>
      <c r="AF386" t="s">
        <v>74</v>
      </c>
      <c r="AG386">
        <v>38</v>
      </c>
      <c r="AH386">
        <v>19</v>
      </c>
      <c r="AI386">
        <v>19</v>
      </c>
      <c r="AJ386">
        <v>0</v>
      </c>
      <c r="AK386">
        <v>21</v>
      </c>
      <c r="AL386" t="s">
        <v>3662</v>
      </c>
      <c r="AM386" t="s">
        <v>262</v>
      </c>
      <c r="AN386" t="s">
        <v>3663</v>
      </c>
      <c r="AO386" t="s">
        <v>7359</v>
      </c>
      <c r="AP386" t="s">
        <v>7360</v>
      </c>
      <c r="AQ386" t="s">
        <v>74</v>
      </c>
      <c r="AR386" t="s">
        <v>7361</v>
      </c>
      <c r="AS386" t="s">
        <v>7362</v>
      </c>
      <c r="AT386" t="s">
        <v>6000</v>
      </c>
      <c r="AU386">
        <v>2016</v>
      </c>
      <c r="AV386">
        <v>28</v>
      </c>
      <c r="AW386">
        <v>2</v>
      </c>
      <c r="AX386" t="s">
        <v>74</v>
      </c>
      <c r="AY386" t="s">
        <v>74</v>
      </c>
      <c r="AZ386" t="s">
        <v>74</v>
      </c>
      <c r="BA386" t="s">
        <v>74</v>
      </c>
      <c r="BB386">
        <v>135</v>
      </c>
      <c r="BC386">
        <v>149</v>
      </c>
      <c r="BD386" t="s">
        <v>74</v>
      </c>
      <c r="BE386" t="s">
        <v>7726</v>
      </c>
      <c r="BF386" t="str">
        <f>HYPERLINK("http://dx.doi.org/10.1017/S0954102015000577","http://dx.doi.org/10.1017/S0954102015000577")</f>
        <v>http://dx.doi.org/10.1017/S0954102015000577</v>
      </c>
      <c r="BG386" t="s">
        <v>74</v>
      </c>
      <c r="BH386" t="s">
        <v>74</v>
      </c>
      <c r="BI386">
        <v>15</v>
      </c>
      <c r="BJ386" t="s">
        <v>7364</v>
      </c>
      <c r="BK386" t="s">
        <v>102</v>
      </c>
      <c r="BL386" t="s">
        <v>7365</v>
      </c>
      <c r="BM386" t="s">
        <v>7366</v>
      </c>
      <c r="BN386" t="s">
        <v>74</v>
      </c>
      <c r="BO386" t="s">
        <v>74</v>
      </c>
      <c r="BP386" t="s">
        <v>74</v>
      </c>
      <c r="BQ386" t="s">
        <v>74</v>
      </c>
      <c r="BR386" t="s">
        <v>106</v>
      </c>
      <c r="BS386" t="s">
        <v>7727</v>
      </c>
      <c r="BT386" t="str">
        <f>HYPERLINK("https%3A%2F%2Fwww.webofscience.com%2Fwos%2Fwoscc%2Ffull-record%2FWOS:000372521200009","View Full Record in Web of Science")</f>
        <v>View Full Record in Web of Science</v>
      </c>
    </row>
    <row r="387" spans="1:72" x14ac:dyDescent="0.15">
      <c r="A387" t="s">
        <v>72</v>
      </c>
      <c r="B387" t="s">
        <v>7728</v>
      </c>
      <c r="C387" t="s">
        <v>74</v>
      </c>
      <c r="D387" t="s">
        <v>74</v>
      </c>
      <c r="E387" t="s">
        <v>74</v>
      </c>
      <c r="F387" t="s">
        <v>7729</v>
      </c>
      <c r="G387" t="s">
        <v>74</v>
      </c>
      <c r="H387" t="s">
        <v>74</v>
      </c>
      <c r="I387" t="s">
        <v>7730</v>
      </c>
      <c r="J387" t="s">
        <v>7731</v>
      </c>
      <c r="K387" t="s">
        <v>74</v>
      </c>
      <c r="L387" t="s">
        <v>74</v>
      </c>
      <c r="M387" t="s">
        <v>78</v>
      </c>
      <c r="N387" t="s">
        <v>573</v>
      </c>
      <c r="O387" t="s">
        <v>74</v>
      </c>
      <c r="P387" t="s">
        <v>74</v>
      </c>
      <c r="Q387" t="s">
        <v>74</v>
      </c>
      <c r="R387" t="s">
        <v>74</v>
      </c>
      <c r="S387" t="s">
        <v>74</v>
      </c>
      <c r="T387" t="s">
        <v>74</v>
      </c>
      <c r="U387" t="s">
        <v>7732</v>
      </c>
      <c r="V387" t="s">
        <v>74</v>
      </c>
      <c r="W387" t="s">
        <v>7733</v>
      </c>
      <c r="X387" t="s">
        <v>1057</v>
      </c>
      <c r="Y387" t="s">
        <v>7734</v>
      </c>
      <c r="Z387" t="s">
        <v>7735</v>
      </c>
      <c r="AA387" t="s">
        <v>74</v>
      </c>
      <c r="AB387" t="s">
        <v>7736</v>
      </c>
      <c r="AC387" t="s">
        <v>74</v>
      </c>
      <c r="AD387" t="s">
        <v>74</v>
      </c>
      <c r="AE387" t="s">
        <v>74</v>
      </c>
      <c r="AF387" t="s">
        <v>74</v>
      </c>
      <c r="AG387">
        <v>6</v>
      </c>
      <c r="AH387">
        <v>1</v>
      </c>
      <c r="AI387">
        <v>1</v>
      </c>
      <c r="AJ387">
        <v>0</v>
      </c>
      <c r="AK387">
        <v>4</v>
      </c>
      <c r="AL387" t="s">
        <v>124</v>
      </c>
      <c r="AM387" t="s">
        <v>125</v>
      </c>
      <c r="AN387" t="s">
        <v>126</v>
      </c>
      <c r="AO387" t="s">
        <v>7737</v>
      </c>
      <c r="AP387" t="s">
        <v>7738</v>
      </c>
      <c r="AQ387" t="s">
        <v>74</v>
      </c>
      <c r="AR387" t="s">
        <v>7739</v>
      </c>
      <c r="AS387" t="s">
        <v>7740</v>
      </c>
      <c r="AT387" t="s">
        <v>6000</v>
      </c>
      <c r="AU387">
        <v>2016</v>
      </c>
      <c r="AV387">
        <v>26</v>
      </c>
      <c r="AW387">
        <v>2</v>
      </c>
      <c r="AX387" t="s">
        <v>74</v>
      </c>
      <c r="AY387" t="s">
        <v>74</v>
      </c>
      <c r="AZ387" t="s">
        <v>74</v>
      </c>
      <c r="BA387" t="s">
        <v>74</v>
      </c>
      <c r="BB387">
        <v>233</v>
      </c>
      <c r="BC387">
        <v>235</v>
      </c>
      <c r="BD387" t="s">
        <v>74</v>
      </c>
      <c r="BE387" t="s">
        <v>7741</v>
      </c>
      <c r="BF387" t="str">
        <f>HYPERLINK("http://dx.doi.org/10.1002/aqc.2634","http://dx.doi.org/10.1002/aqc.2634")</f>
        <v>http://dx.doi.org/10.1002/aqc.2634</v>
      </c>
      <c r="BG387" t="s">
        <v>74</v>
      </c>
      <c r="BH387" t="s">
        <v>74</v>
      </c>
      <c r="BI387">
        <v>3</v>
      </c>
      <c r="BJ387" t="s">
        <v>7742</v>
      </c>
      <c r="BK387" t="s">
        <v>102</v>
      </c>
      <c r="BL387" t="s">
        <v>7743</v>
      </c>
      <c r="BM387" t="s">
        <v>7744</v>
      </c>
      <c r="BN387" t="s">
        <v>74</v>
      </c>
      <c r="BO387" t="s">
        <v>74</v>
      </c>
      <c r="BP387" t="s">
        <v>74</v>
      </c>
      <c r="BQ387" t="s">
        <v>74</v>
      </c>
      <c r="BR387" t="s">
        <v>106</v>
      </c>
      <c r="BS387" t="s">
        <v>7745</v>
      </c>
      <c r="BT387" t="str">
        <f>HYPERLINK("https%3A%2F%2Fwww.webofscience.com%2Fwos%2Fwoscc%2Ffull-record%2FWOS:000373957200002","View Full Record in Web of Science")</f>
        <v>View Full Record in Web of Science</v>
      </c>
    </row>
    <row r="388" spans="1:72" x14ac:dyDescent="0.15">
      <c r="A388" t="s">
        <v>72</v>
      </c>
      <c r="B388" t="s">
        <v>7746</v>
      </c>
      <c r="C388" t="s">
        <v>74</v>
      </c>
      <c r="D388" t="s">
        <v>74</v>
      </c>
      <c r="E388" t="s">
        <v>74</v>
      </c>
      <c r="F388" t="s">
        <v>7747</v>
      </c>
      <c r="G388" t="s">
        <v>74</v>
      </c>
      <c r="H388" t="s">
        <v>74</v>
      </c>
      <c r="I388" t="s">
        <v>7748</v>
      </c>
      <c r="J388" t="s">
        <v>7749</v>
      </c>
      <c r="K388" t="s">
        <v>74</v>
      </c>
      <c r="L388" t="s">
        <v>74</v>
      </c>
      <c r="M388" t="s">
        <v>78</v>
      </c>
      <c r="N388" t="s">
        <v>79</v>
      </c>
      <c r="O388" t="s">
        <v>74</v>
      </c>
      <c r="P388" t="s">
        <v>74</v>
      </c>
      <c r="Q388" t="s">
        <v>74</v>
      </c>
      <c r="R388" t="s">
        <v>74</v>
      </c>
      <c r="S388" t="s">
        <v>74</v>
      </c>
      <c r="T388" t="s">
        <v>7750</v>
      </c>
      <c r="U388" t="s">
        <v>7751</v>
      </c>
      <c r="V388" t="s">
        <v>7752</v>
      </c>
      <c r="W388" t="s">
        <v>7753</v>
      </c>
      <c r="X388" t="s">
        <v>7754</v>
      </c>
      <c r="Y388" t="s">
        <v>7755</v>
      </c>
      <c r="Z388" t="s">
        <v>7756</v>
      </c>
      <c r="AA388" t="s">
        <v>7757</v>
      </c>
      <c r="AB388" t="s">
        <v>7758</v>
      </c>
      <c r="AC388" t="s">
        <v>7759</v>
      </c>
      <c r="AD388" t="s">
        <v>7760</v>
      </c>
      <c r="AE388" t="s">
        <v>7761</v>
      </c>
      <c r="AF388" t="s">
        <v>74</v>
      </c>
      <c r="AG388">
        <v>39</v>
      </c>
      <c r="AH388">
        <v>62</v>
      </c>
      <c r="AI388">
        <v>72</v>
      </c>
      <c r="AJ388">
        <v>0</v>
      </c>
      <c r="AK388">
        <v>10</v>
      </c>
      <c r="AL388" t="s">
        <v>582</v>
      </c>
      <c r="AM388" t="s">
        <v>583</v>
      </c>
      <c r="AN388" t="s">
        <v>584</v>
      </c>
      <c r="AO388" t="s">
        <v>7762</v>
      </c>
      <c r="AP388" t="s">
        <v>7763</v>
      </c>
      <c r="AQ388" t="s">
        <v>74</v>
      </c>
      <c r="AR388" t="s">
        <v>7764</v>
      </c>
      <c r="AS388" t="s">
        <v>7765</v>
      </c>
      <c r="AT388" t="s">
        <v>6000</v>
      </c>
      <c r="AU388">
        <v>2016</v>
      </c>
      <c r="AV388">
        <v>77</v>
      </c>
      <c r="AW388" t="s">
        <v>74</v>
      </c>
      <c r="AX388" t="s">
        <v>74</v>
      </c>
      <c r="AY388" t="s">
        <v>74</v>
      </c>
      <c r="AZ388" t="s">
        <v>74</v>
      </c>
      <c r="BA388" t="s">
        <v>74</v>
      </c>
      <c r="BB388">
        <v>32</v>
      </c>
      <c r="BC388">
        <v>43</v>
      </c>
      <c r="BD388" t="s">
        <v>74</v>
      </c>
      <c r="BE388" t="s">
        <v>7766</v>
      </c>
      <c r="BF388" t="str">
        <f>HYPERLINK("http://dx.doi.org/10.1016/j.astropartphys.2016.01.001","http://dx.doi.org/10.1016/j.astropartphys.2016.01.001")</f>
        <v>http://dx.doi.org/10.1016/j.astropartphys.2016.01.001</v>
      </c>
      <c r="BG388" t="s">
        <v>74</v>
      </c>
      <c r="BH388" t="s">
        <v>74</v>
      </c>
      <c r="BI388">
        <v>12</v>
      </c>
      <c r="BJ388" t="s">
        <v>5329</v>
      </c>
      <c r="BK388" t="s">
        <v>102</v>
      </c>
      <c r="BL388" t="s">
        <v>5330</v>
      </c>
      <c r="BM388" t="s">
        <v>7767</v>
      </c>
      <c r="BN388" t="s">
        <v>74</v>
      </c>
      <c r="BO388" t="s">
        <v>1440</v>
      </c>
      <c r="BP388" t="s">
        <v>74</v>
      </c>
      <c r="BQ388" t="s">
        <v>74</v>
      </c>
      <c r="BR388" t="s">
        <v>106</v>
      </c>
      <c r="BS388" t="s">
        <v>7768</v>
      </c>
      <c r="BT388" t="str">
        <f>HYPERLINK("https%3A%2F%2Fwww.webofscience.com%2Fwos%2Fwoscc%2Ffull-record%2FWOS:000372675000003","View Full Record in Web of Science")</f>
        <v>View Full Record in Web of Science</v>
      </c>
    </row>
    <row r="389" spans="1:72" x14ac:dyDescent="0.15">
      <c r="A389" t="s">
        <v>72</v>
      </c>
      <c r="B389" t="s">
        <v>7769</v>
      </c>
      <c r="C389" t="s">
        <v>74</v>
      </c>
      <c r="D389" t="s">
        <v>74</v>
      </c>
      <c r="E389" t="s">
        <v>74</v>
      </c>
      <c r="F389" t="s">
        <v>7770</v>
      </c>
      <c r="G389" t="s">
        <v>74</v>
      </c>
      <c r="H389" t="s">
        <v>74</v>
      </c>
      <c r="I389" t="s">
        <v>7771</v>
      </c>
      <c r="J389" t="s">
        <v>3164</v>
      </c>
      <c r="K389" t="s">
        <v>74</v>
      </c>
      <c r="L389" t="s">
        <v>74</v>
      </c>
      <c r="M389" t="s">
        <v>78</v>
      </c>
      <c r="N389" t="s">
        <v>79</v>
      </c>
      <c r="O389" t="s">
        <v>74</v>
      </c>
      <c r="P389" t="s">
        <v>74</v>
      </c>
      <c r="Q389" t="s">
        <v>74</v>
      </c>
      <c r="R389" t="s">
        <v>74</v>
      </c>
      <c r="S389" t="s">
        <v>74</v>
      </c>
      <c r="T389" t="s">
        <v>7772</v>
      </c>
      <c r="U389" t="s">
        <v>7773</v>
      </c>
      <c r="V389" t="s">
        <v>7774</v>
      </c>
      <c r="W389" t="s">
        <v>7775</v>
      </c>
      <c r="X389" t="s">
        <v>7776</v>
      </c>
      <c r="Y389" t="s">
        <v>7777</v>
      </c>
      <c r="Z389" t="s">
        <v>7778</v>
      </c>
      <c r="AA389" t="s">
        <v>7779</v>
      </c>
      <c r="AB389" t="s">
        <v>7780</v>
      </c>
      <c r="AC389" t="s">
        <v>7781</v>
      </c>
      <c r="AD389" t="s">
        <v>7782</v>
      </c>
      <c r="AE389" t="s">
        <v>7783</v>
      </c>
      <c r="AF389" t="s">
        <v>74</v>
      </c>
      <c r="AG389">
        <v>78</v>
      </c>
      <c r="AH389">
        <v>48</v>
      </c>
      <c r="AI389">
        <v>52</v>
      </c>
      <c r="AJ389">
        <v>1</v>
      </c>
      <c r="AK389">
        <v>61</v>
      </c>
      <c r="AL389" t="s">
        <v>194</v>
      </c>
      <c r="AM389" t="s">
        <v>195</v>
      </c>
      <c r="AN389" t="s">
        <v>196</v>
      </c>
      <c r="AO389" t="s">
        <v>3177</v>
      </c>
      <c r="AP389" t="s">
        <v>3178</v>
      </c>
      <c r="AQ389" t="s">
        <v>74</v>
      </c>
      <c r="AR389" t="s">
        <v>3179</v>
      </c>
      <c r="AS389" t="s">
        <v>3180</v>
      </c>
      <c r="AT389" t="s">
        <v>6000</v>
      </c>
      <c r="AU389">
        <v>2016</v>
      </c>
      <c r="AV389">
        <v>18</v>
      </c>
      <c r="AW389">
        <v>4</v>
      </c>
      <c r="AX389" t="s">
        <v>74</v>
      </c>
      <c r="AY389" t="s">
        <v>74</v>
      </c>
      <c r="AZ389" t="s">
        <v>74</v>
      </c>
      <c r="BA389" t="s">
        <v>74</v>
      </c>
      <c r="BB389">
        <v>893</v>
      </c>
      <c r="BC389">
        <v>905</v>
      </c>
      <c r="BD389" t="s">
        <v>74</v>
      </c>
      <c r="BE389" t="s">
        <v>7784</v>
      </c>
      <c r="BF389" t="str">
        <f>HYPERLINK("http://dx.doi.org/10.1007/s10530-016-1079-4","http://dx.doi.org/10.1007/s10530-016-1079-4")</f>
        <v>http://dx.doi.org/10.1007/s10530-016-1079-4</v>
      </c>
      <c r="BG389" t="s">
        <v>74</v>
      </c>
      <c r="BH389" t="s">
        <v>74</v>
      </c>
      <c r="BI389">
        <v>13</v>
      </c>
      <c r="BJ389" t="s">
        <v>291</v>
      </c>
      <c r="BK389" t="s">
        <v>102</v>
      </c>
      <c r="BL389" t="s">
        <v>133</v>
      </c>
      <c r="BM389" t="s">
        <v>7785</v>
      </c>
      <c r="BN389" t="s">
        <v>74</v>
      </c>
      <c r="BO389" t="s">
        <v>1412</v>
      </c>
      <c r="BP389" t="s">
        <v>74</v>
      </c>
      <c r="BQ389" t="s">
        <v>74</v>
      </c>
      <c r="BR389" t="s">
        <v>106</v>
      </c>
      <c r="BS389" t="s">
        <v>7786</v>
      </c>
      <c r="BT389" t="str">
        <f>HYPERLINK("https%3A%2F%2Fwww.webofscience.com%2Fwos%2Fwoscc%2Ffull-record%2FWOS:000373225700002","View Full Record in Web of Science")</f>
        <v>View Full Record in Web of Science</v>
      </c>
    </row>
    <row r="390" spans="1:72" x14ac:dyDescent="0.15">
      <c r="A390" t="s">
        <v>72</v>
      </c>
      <c r="B390" t="s">
        <v>7787</v>
      </c>
      <c r="C390" t="s">
        <v>74</v>
      </c>
      <c r="D390" t="s">
        <v>74</v>
      </c>
      <c r="E390" t="s">
        <v>74</v>
      </c>
      <c r="F390" t="s">
        <v>7788</v>
      </c>
      <c r="G390" t="s">
        <v>74</v>
      </c>
      <c r="H390" t="s">
        <v>74</v>
      </c>
      <c r="I390" t="s">
        <v>7789</v>
      </c>
      <c r="J390" t="s">
        <v>7790</v>
      </c>
      <c r="K390" t="s">
        <v>74</v>
      </c>
      <c r="L390" t="s">
        <v>74</v>
      </c>
      <c r="M390" t="s">
        <v>78</v>
      </c>
      <c r="N390" t="s">
        <v>573</v>
      </c>
      <c r="O390" t="s">
        <v>74</v>
      </c>
      <c r="P390" t="s">
        <v>74</v>
      </c>
      <c r="Q390" t="s">
        <v>74</v>
      </c>
      <c r="R390" t="s">
        <v>74</v>
      </c>
      <c r="S390" t="s">
        <v>74</v>
      </c>
      <c r="T390" t="s">
        <v>74</v>
      </c>
      <c r="U390" t="s">
        <v>74</v>
      </c>
      <c r="V390" t="s">
        <v>74</v>
      </c>
      <c r="W390" t="s">
        <v>7791</v>
      </c>
      <c r="X390" t="s">
        <v>7792</v>
      </c>
      <c r="Y390" t="s">
        <v>7793</v>
      </c>
      <c r="Z390" t="s">
        <v>7794</v>
      </c>
      <c r="AA390" t="s">
        <v>7795</v>
      </c>
      <c r="AB390" t="s">
        <v>7796</v>
      </c>
      <c r="AC390" t="s">
        <v>74</v>
      </c>
      <c r="AD390" t="s">
        <v>74</v>
      </c>
      <c r="AE390" t="s">
        <v>74</v>
      </c>
      <c r="AF390" t="s">
        <v>74</v>
      </c>
      <c r="AG390">
        <v>0</v>
      </c>
      <c r="AH390">
        <v>20</v>
      </c>
      <c r="AI390">
        <v>22</v>
      </c>
      <c r="AJ390">
        <v>1</v>
      </c>
      <c r="AK390">
        <v>8</v>
      </c>
      <c r="AL390" t="s">
        <v>511</v>
      </c>
      <c r="AM390" t="s">
        <v>512</v>
      </c>
      <c r="AN390" t="s">
        <v>513</v>
      </c>
      <c r="AO390" t="s">
        <v>7797</v>
      </c>
      <c r="AP390" t="s">
        <v>7798</v>
      </c>
      <c r="AQ390" t="s">
        <v>74</v>
      </c>
      <c r="AR390" t="s">
        <v>7799</v>
      </c>
      <c r="AS390" t="s">
        <v>7800</v>
      </c>
      <c r="AT390" t="s">
        <v>6000</v>
      </c>
      <c r="AU390">
        <v>2016</v>
      </c>
      <c r="AV390">
        <v>97</v>
      </c>
      <c r="AW390">
        <v>4</v>
      </c>
      <c r="AX390" t="s">
        <v>74</v>
      </c>
      <c r="AY390" t="s">
        <v>74</v>
      </c>
      <c r="AZ390" t="s">
        <v>74</v>
      </c>
      <c r="BA390" t="s">
        <v>74</v>
      </c>
      <c r="BB390" t="s">
        <v>7801</v>
      </c>
      <c r="BC390" t="s">
        <v>7802</v>
      </c>
      <c r="BD390" t="s">
        <v>74</v>
      </c>
      <c r="BE390" t="s">
        <v>7803</v>
      </c>
      <c r="BF390" t="str">
        <f>HYPERLINK("http://dx.doi.org/10.1175/BAMS-D-15-00270.1","http://dx.doi.org/10.1175/BAMS-D-15-00270.1")</f>
        <v>http://dx.doi.org/10.1175/BAMS-D-15-00270.1</v>
      </c>
      <c r="BG390" t="s">
        <v>74</v>
      </c>
      <c r="BH390" t="s">
        <v>74</v>
      </c>
      <c r="BI390">
        <v>4</v>
      </c>
      <c r="BJ390" t="s">
        <v>1726</v>
      </c>
      <c r="BK390" t="s">
        <v>102</v>
      </c>
      <c r="BL390" t="s">
        <v>1726</v>
      </c>
      <c r="BM390" t="s">
        <v>7804</v>
      </c>
      <c r="BN390" t="s">
        <v>74</v>
      </c>
      <c r="BO390" t="s">
        <v>3908</v>
      </c>
      <c r="BP390" t="s">
        <v>74</v>
      </c>
      <c r="BQ390" t="s">
        <v>74</v>
      </c>
      <c r="BR390" t="s">
        <v>106</v>
      </c>
      <c r="BS390" t="s">
        <v>7805</v>
      </c>
      <c r="BT390" t="str">
        <f>HYPERLINK("https%3A%2F%2Fwww.webofscience.com%2Fwos%2Fwoscc%2Ffull-record%2FWOS:000375951600001","View Full Record in Web of Science")</f>
        <v>View Full Record in Web of Science</v>
      </c>
    </row>
    <row r="391" spans="1:72" x14ac:dyDescent="0.15">
      <c r="A391" t="s">
        <v>72</v>
      </c>
      <c r="B391" t="s">
        <v>7806</v>
      </c>
      <c r="C391" t="s">
        <v>74</v>
      </c>
      <c r="D391" t="s">
        <v>74</v>
      </c>
      <c r="E391" t="s">
        <v>74</v>
      </c>
      <c r="F391" t="s">
        <v>7807</v>
      </c>
      <c r="G391" t="s">
        <v>74</v>
      </c>
      <c r="H391" t="s">
        <v>74</v>
      </c>
      <c r="I391" t="s">
        <v>7808</v>
      </c>
      <c r="J391" t="s">
        <v>6389</v>
      </c>
      <c r="K391" t="s">
        <v>74</v>
      </c>
      <c r="L391" t="s">
        <v>74</v>
      </c>
      <c r="M391" t="s">
        <v>78</v>
      </c>
      <c r="N391" t="s">
        <v>3736</v>
      </c>
      <c r="O391" t="s">
        <v>6390</v>
      </c>
      <c r="P391" t="s">
        <v>6391</v>
      </c>
      <c r="Q391" t="s">
        <v>6392</v>
      </c>
      <c r="R391" t="s">
        <v>74</v>
      </c>
      <c r="S391" t="s">
        <v>74</v>
      </c>
      <c r="T391" t="s">
        <v>74</v>
      </c>
      <c r="U391" t="s">
        <v>7809</v>
      </c>
      <c r="V391" t="s">
        <v>7810</v>
      </c>
      <c r="W391" t="s">
        <v>7811</v>
      </c>
      <c r="X391" t="s">
        <v>7812</v>
      </c>
      <c r="Y391" t="s">
        <v>7813</v>
      </c>
      <c r="Z391" t="s">
        <v>7814</v>
      </c>
      <c r="AA391" t="s">
        <v>7815</v>
      </c>
      <c r="AB391" t="s">
        <v>6400</v>
      </c>
      <c r="AC391" t="s">
        <v>7816</v>
      </c>
      <c r="AD391" t="s">
        <v>7817</v>
      </c>
      <c r="AE391" t="s">
        <v>7818</v>
      </c>
      <c r="AF391" t="s">
        <v>74</v>
      </c>
      <c r="AG391">
        <v>41</v>
      </c>
      <c r="AH391">
        <v>19</v>
      </c>
      <c r="AI391">
        <v>22</v>
      </c>
      <c r="AJ391">
        <v>1</v>
      </c>
      <c r="AK391">
        <v>17</v>
      </c>
      <c r="AL391" t="s">
        <v>6404</v>
      </c>
      <c r="AM391" t="s">
        <v>6405</v>
      </c>
      <c r="AN391" t="s">
        <v>6406</v>
      </c>
      <c r="AO391" t="s">
        <v>6407</v>
      </c>
      <c r="AP391" t="s">
        <v>6408</v>
      </c>
      <c r="AQ391" t="s">
        <v>74</v>
      </c>
      <c r="AR391" t="s">
        <v>6409</v>
      </c>
      <c r="AS391" t="s">
        <v>6410</v>
      </c>
      <c r="AT391" t="s">
        <v>6000</v>
      </c>
      <c r="AU391">
        <v>2016</v>
      </c>
      <c r="AV391">
        <v>73</v>
      </c>
      <c r="AW391">
        <v>4</v>
      </c>
      <c r="AX391" t="s">
        <v>74</v>
      </c>
      <c r="AY391" t="s">
        <v>74</v>
      </c>
      <c r="AZ391" t="s">
        <v>74</v>
      </c>
      <c r="BA391" t="s">
        <v>74</v>
      </c>
      <c r="BB391">
        <v>589</v>
      </c>
      <c r="BC391">
        <v>597</v>
      </c>
      <c r="BD391" t="s">
        <v>74</v>
      </c>
      <c r="BE391" t="s">
        <v>7819</v>
      </c>
      <c r="BF391" t="str">
        <f>HYPERLINK("http://dx.doi.org/10.1139/cjfas-2015-0022","http://dx.doi.org/10.1139/cjfas-2015-0022")</f>
        <v>http://dx.doi.org/10.1139/cjfas-2015-0022</v>
      </c>
      <c r="BG391" t="s">
        <v>74</v>
      </c>
      <c r="BH391" t="s">
        <v>74</v>
      </c>
      <c r="BI391">
        <v>9</v>
      </c>
      <c r="BJ391" t="s">
        <v>3049</v>
      </c>
      <c r="BK391" t="s">
        <v>6412</v>
      </c>
      <c r="BL391" t="s">
        <v>3049</v>
      </c>
      <c r="BM391" t="s">
        <v>6413</v>
      </c>
      <c r="BN391" t="s">
        <v>74</v>
      </c>
      <c r="BO391" t="s">
        <v>7199</v>
      </c>
      <c r="BP391" t="s">
        <v>74</v>
      </c>
      <c r="BQ391" t="s">
        <v>74</v>
      </c>
      <c r="BR391" t="s">
        <v>106</v>
      </c>
      <c r="BS391" t="s">
        <v>7820</v>
      </c>
      <c r="BT391" t="str">
        <f>HYPERLINK("https%3A%2F%2Fwww.webofscience.com%2Fwos%2Fwoscc%2Ffull-record%2FWOS:000375424700012","View Full Record in Web of Science")</f>
        <v>View Full Record in Web of Science</v>
      </c>
    </row>
    <row r="392" spans="1:72" x14ac:dyDescent="0.15">
      <c r="A392" t="s">
        <v>72</v>
      </c>
      <c r="B392" t="s">
        <v>7821</v>
      </c>
      <c r="C392" t="s">
        <v>74</v>
      </c>
      <c r="D392" t="s">
        <v>74</v>
      </c>
      <c r="E392" t="s">
        <v>74</v>
      </c>
      <c r="F392" t="s">
        <v>7822</v>
      </c>
      <c r="G392" t="s">
        <v>74</v>
      </c>
      <c r="H392" t="s">
        <v>74</v>
      </c>
      <c r="I392" t="s">
        <v>7823</v>
      </c>
      <c r="J392" t="s">
        <v>6389</v>
      </c>
      <c r="K392" t="s">
        <v>74</v>
      </c>
      <c r="L392" t="s">
        <v>74</v>
      </c>
      <c r="M392" t="s">
        <v>78</v>
      </c>
      <c r="N392" t="s">
        <v>3736</v>
      </c>
      <c r="O392" t="s">
        <v>6390</v>
      </c>
      <c r="P392" t="s">
        <v>6391</v>
      </c>
      <c r="Q392" t="s">
        <v>6392</v>
      </c>
      <c r="R392" t="s">
        <v>74</v>
      </c>
      <c r="S392" t="s">
        <v>74</v>
      </c>
      <c r="T392" t="s">
        <v>74</v>
      </c>
      <c r="U392" t="s">
        <v>7824</v>
      </c>
      <c r="V392" t="s">
        <v>7825</v>
      </c>
      <c r="W392" t="s">
        <v>7826</v>
      </c>
      <c r="X392" t="s">
        <v>7827</v>
      </c>
      <c r="Y392" t="s">
        <v>7828</v>
      </c>
      <c r="Z392" t="s">
        <v>7829</v>
      </c>
      <c r="AA392" t="s">
        <v>7830</v>
      </c>
      <c r="AB392" t="s">
        <v>7831</v>
      </c>
      <c r="AC392" t="s">
        <v>7832</v>
      </c>
      <c r="AD392" t="s">
        <v>7833</v>
      </c>
      <c r="AE392" t="s">
        <v>7834</v>
      </c>
      <c r="AF392" t="s">
        <v>74</v>
      </c>
      <c r="AG392">
        <v>85</v>
      </c>
      <c r="AH392">
        <v>24</v>
      </c>
      <c r="AI392">
        <v>25</v>
      </c>
      <c r="AJ392">
        <v>1</v>
      </c>
      <c r="AK392">
        <v>29</v>
      </c>
      <c r="AL392" t="s">
        <v>7835</v>
      </c>
      <c r="AM392" t="s">
        <v>6405</v>
      </c>
      <c r="AN392" t="s">
        <v>6406</v>
      </c>
      <c r="AO392" t="s">
        <v>6407</v>
      </c>
      <c r="AP392" t="s">
        <v>6408</v>
      </c>
      <c r="AQ392" t="s">
        <v>74</v>
      </c>
      <c r="AR392" t="s">
        <v>6409</v>
      </c>
      <c r="AS392" t="s">
        <v>6410</v>
      </c>
      <c r="AT392" t="s">
        <v>6000</v>
      </c>
      <c r="AU392">
        <v>2016</v>
      </c>
      <c r="AV392">
        <v>73</v>
      </c>
      <c r="AW392">
        <v>4</v>
      </c>
      <c r="AX392" t="s">
        <v>74</v>
      </c>
      <c r="AY392" t="s">
        <v>74</v>
      </c>
      <c r="AZ392" t="s">
        <v>74</v>
      </c>
      <c r="BA392" t="s">
        <v>74</v>
      </c>
      <c r="BB392">
        <v>598</v>
      </c>
      <c r="BC392">
        <v>610</v>
      </c>
      <c r="BD392" t="s">
        <v>74</v>
      </c>
      <c r="BE392" t="s">
        <v>7836</v>
      </c>
      <c r="BF392" t="str">
        <f>HYPERLINK("http://dx.doi.org/10.1139/cjfas-2015-0468","http://dx.doi.org/10.1139/cjfas-2015-0468")</f>
        <v>http://dx.doi.org/10.1139/cjfas-2015-0468</v>
      </c>
      <c r="BG392" t="s">
        <v>74</v>
      </c>
      <c r="BH392" t="s">
        <v>74</v>
      </c>
      <c r="BI392">
        <v>13</v>
      </c>
      <c r="BJ392" t="s">
        <v>3049</v>
      </c>
      <c r="BK392" t="s">
        <v>6412</v>
      </c>
      <c r="BL392" t="s">
        <v>3049</v>
      </c>
      <c r="BM392" t="s">
        <v>6413</v>
      </c>
      <c r="BN392" t="s">
        <v>74</v>
      </c>
      <c r="BO392" t="s">
        <v>7199</v>
      </c>
      <c r="BP392" t="s">
        <v>74</v>
      </c>
      <c r="BQ392" t="s">
        <v>74</v>
      </c>
      <c r="BR392" t="s">
        <v>106</v>
      </c>
      <c r="BS392" t="s">
        <v>7837</v>
      </c>
      <c r="BT392" t="str">
        <f>HYPERLINK("https%3A%2F%2Fwww.webofscience.com%2Fwos%2Fwoscc%2Ffull-record%2FWOS:000375424700013","View Full Record in Web of Science")</f>
        <v>View Full Record in Web of Science</v>
      </c>
    </row>
    <row r="393" spans="1:72" x14ac:dyDescent="0.15">
      <c r="A393" t="s">
        <v>72</v>
      </c>
      <c r="B393" t="s">
        <v>7838</v>
      </c>
      <c r="C393" t="s">
        <v>74</v>
      </c>
      <c r="D393" t="s">
        <v>74</v>
      </c>
      <c r="E393" t="s">
        <v>74</v>
      </c>
      <c r="F393" t="s">
        <v>7839</v>
      </c>
      <c r="G393" t="s">
        <v>74</v>
      </c>
      <c r="H393" t="s">
        <v>74</v>
      </c>
      <c r="I393" t="s">
        <v>7840</v>
      </c>
      <c r="J393" t="s">
        <v>7841</v>
      </c>
      <c r="K393" t="s">
        <v>74</v>
      </c>
      <c r="L393" t="s">
        <v>74</v>
      </c>
      <c r="M393" t="s">
        <v>78</v>
      </c>
      <c r="N393" t="s">
        <v>79</v>
      </c>
      <c r="O393" t="s">
        <v>74</v>
      </c>
      <c r="P393" t="s">
        <v>74</v>
      </c>
      <c r="Q393" t="s">
        <v>74</v>
      </c>
      <c r="R393" t="s">
        <v>74</v>
      </c>
      <c r="S393" t="s">
        <v>74</v>
      </c>
      <c r="T393" t="s">
        <v>7842</v>
      </c>
      <c r="U393" t="s">
        <v>7843</v>
      </c>
      <c r="V393" t="s">
        <v>7844</v>
      </c>
      <c r="W393" t="s">
        <v>7845</v>
      </c>
      <c r="X393" t="s">
        <v>145</v>
      </c>
      <c r="Y393" t="s">
        <v>7846</v>
      </c>
      <c r="Z393" t="s">
        <v>7847</v>
      </c>
      <c r="AA393" t="s">
        <v>7848</v>
      </c>
      <c r="AB393" t="s">
        <v>7849</v>
      </c>
      <c r="AC393" t="s">
        <v>7850</v>
      </c>
      <c r="AD393" t="s">
        <v>4462</v>
      </c>
      <c r="AE393" t="s">
        <v>7851</v>
      </c>
      <c r="AF393" t="s">
        <v>74</v>
      </c>
      <c r="AG393">
        <v>44</v>
      </c>
      <c r="AH393">
        <v>100</v>
      </c>
      <c r="AI393">
        <v>110</v>
      </c>
      <c r="AJ393">
        <v>4</v>
      </c>
      <c r="AK393">
        <v>57</v>
      </c>
      <c r="AL393" t="s">
        <v>194</v>
      </c>
      <c r="AM393" t="s">
        <v>262</v>
      </c>
      <c r="AN393" t="s">
        <v>263</v>
      </c>
      <c r="AO393" t="s">
        <v>7852</v>
      </c>
      <c r="AP393" t="s">
        <v>7853</v>
      </c>
      <c r="AQ393" t="s">
        <v>74</v>
      </c>
      <c r="AR393" t="s">
        <v>7854</v>
      </c>
      <c r="AS393" t="s">
        <v>7855</v>
      </c>
      <c r="AT393" t="s">
        <v>6000</v>
      </c>
      <c r="AU393">
        <v>2016</v>
      </c>
      <c r="AV393">
        <v>46</v>
      </c>
      <c r="AW393" t="s">
        <v>7856</v>
      </c>
      <c r="AX393" t="s">
        <v>74</v>
      </c>
      <c r="AY393" t="s">
        <v>74</v>
      </c>
      <c r="AZ393" t="s">
        <v>74</v>
      </c>
      <c r="BA393" t="s">
        <v>74</v>
      </c>
      <c r="BB393">
        <v>2391</v>
      </c>
      <c r="BC393">
        <v>2402</v>
      </c>
      <c r="BD393" t="s">
        <v>74</v>
      </c>
      <c r="BE393" t="s">
        <v>7857</v>
      </c>
      <c r="BF393" t="str">
        <f>HYPERLINK("http://dx.doi.org/10.1007/s00382-015-2708-9","http://dx.doi.org/10.1007/s00382-015-2708-9")</f>
        <v>http://dx.doi.org/10.1007/s00382-015-2708-9</v>
      </c>
      <c r="BG393" t="s">
        <v>74</v>
      </c>
      <c r="BH393" t="s">
        <v>74</v>
      </c>
      <c r="BI393">
        <v>12</v>
      </c>
      <c r="BJ393" t="s">
        <v>1726</v>
      </c>
      <c r="BK393" t="s">
        <v>102</v>
      </c>
      <c r="BL393" t="s">
        <v>1726</v>
      </c>
      <c r="BM393" t="s">
        <v>7858</v>
      </c>
      <c r="BN393" t="s">
        <v>74</v>
      </c>
      <c r="BO393" t="s">
        <v>646</v>
      </c>
      <c r="BP393" t="s">
        <v>74</v>
      </c>
      <c r="BQ393" t="s">
        <v>74</v>
      </c>
      <c r="BR393" t="s">
        <v>106</v>
      </c>
      <c r="BS393" t="s">
        <v>7859</v>
      </c>
      <c r="BT393" t="str">
        <f>HYPERLINK("https%3A%2F%2Fwww.webofscience.com%2Fwos%2Fwoscc%2Ffull-record%2FWOS:000373442900022","View Full Record in Web of Science")</f>
        <v>View Full Record in Web of Science</v>
      </c>
    </row>
    <row r="394" spans="1:72" x14ac:dyDescent="0.15">
      <c r="A394" t="s">
        <v>72</v>
      </c>
      <c r="B394" t="s">
        <v>7860</v>
      </c>
      <c r="C394" t="s">
        <v>74</v>
      </c>
      <c r="D394" t="s">
        <v>74</v>
      </c>
      <c r="E394" t="s">
        <v>74</v>
      </c>
      <c r="F394" t="s">
        <v>7861</v>
      </c>
      <c r="G394" t="s">
        <v>74</v>
      </c>
      <c r="H394" t="s">
        <v>74</v>
      </c>
      <c r="I394" t="s">
        <v>7862</v>
      </c>
      <c r="J394" t="s">
        <v>7841</v>
      </c>
      <c r="K394" t="s">
        <v>74</v>
      </c>
      <c r="L394" t="s">
        <v>74</v>
      </c>
      <c r="M394" t="s">
        <v>78</v>
      </c>
      <c r="N394" t="s">
        <v>79</v>
      </c>
      <c r="O394" t="s">
        <v>74</v>
      </c>
      <c r="P394" t="s">
        <v>74</v>
      </c>
      <c r="Q394" t="s">
        <v>74</v>
      </c>
      <c r="R394" t="s">
        <v>74</v>
      </c>
      <c r="S394" t="s">
        <v>74</v>
      </c>
      <c r="T394" t="s">
        <v>7863</v>
      </c>
      <c r="U394" t="s">
        <v>7864</v>
      </c>
      <c r="V394" t="s">
        <v>7865</v>
      </c>
      <c r="W394" t="s">
        <v>7866</v>
      </c>
      <c r="X394" t="s">
        <v>7867</v>
      </c>
      <c r="Y394" t="s">
        <v>7868</v>
      </c>
      <c r="Z394" t="s">
        <v>7869</v>
      </c>
      <c r="AA394" t="s">
        <v>7870</v>
      </c>
      <c r="AB394" t="s">
        <v>74</v>
      </c>
      <c r="AC394" t="s">
        <v>7871</v>
      </c>
      <c r="AD394" t="s">
        <v>7872</v>
      </c>
      <c r="AE394" t="s">
        <v>7873</v>
      </c>
      <c r="AF394" t="s">
        <v>74</v>
      </c>
      <c r="AG394">
        <v>34</v>
      </c>
      <c r="AH394">
        <v>12</v>
      </c>
      <c r="AI394">
        <v>13</v>
      </c>
      <c r="AJ394">
        <v>0</v>
      </c>
      <c r="AK394">
        <v>8</v>
      </c>
      <c r="AL394" t="s">
        <v>194</v>
      </c>
      <c r="AM394" t="s">
        <v>262</v>
      </c>
      <c r="AN394" t="s">
        <v>2836</v>
      </c>
      <c r="AO394" t="s">
        <v>7852</v>
      </c>
      <c r="AP394" t="s">
        <v>7853</v>
      </c>
      <c r="AQ394" t="s">
        <v>74</v>
      </c>
      <c r="AR394" t="s">
        <v>7854</v>
      </c>
      <c r="AS394" t="s">
        <v>7855</v>
      </c>
      <c r="AT394" t="s">
        <v>6000</v>
      </c>
      <c r="AU394">
        <v>2016</v>
      </c>
      <c r="AV394">
        <v>46</v>
      </c>
      <c r="AW394" t="s">
        <v>7856</v>
      </c>
      <c r="AX394" t="s">
        <v>74</v>
      </c>
      <c r="AY394" t="s">
        <v>74</v>
      </c>
      <c r="AZ394" t="s">
        <v>74</v>
      </c>
      <c r="BA394" t="s">
        <v>74</v>
      </c>
      <c r="BB394">
        <v>2593</v>
      </c>
      <c r="BC394">
        <v>2610</v>
      </c>
      <c r="BD394" t="s">
        <v>74</v>
      </c>
      <c r="BE394" t="s">
        <v>7874</v>
      </c>
      <c r="BF394" t="str">
        <f>HYPERLINK("http://dx.doi.org/10.1007/s00382-015-2719-6","http://dx.doi.org/10.1007/s00382-015-2719-6")</f>
        <v>http://dx.doi.org/10.1007/s00382-015-2719-6</v>
      </c>
      <c r="BG394" t="s">
        <v>74</v>
      </c>
      <c r="BH394" t="s">
        <v>74</v>
      </c>
      <c r="BI394">
        <v>18</v>
      </c>
      <c r="BJ394" t="s">
        <v>1726</v>
      </c>
      <c r="BK394" t="s">
        <v>102</v>
      </c>
      <c r="BL394" t="s">
        <v>1726</v>
      </c>
      <c r="BM394" t="s">
        <v>7858</v>
      </c>
      <c r="BN394" t="s">
        <v>74</v>
      </c>
      <c r="BO394" t="s">
        <v>74</v>
      </c>
      <c r="BP394" t="s">
        <v>74</v>
      </c>
      <c r="BQ394" t="s">
        <v>74</v>
      </c>
      <c r="BR394" t="s">
        <v>106</v>
      </c>
      <c r="BS394" t="s">
        <v>7875</v>
      </c>
      <c r="BT394" t="str">
        <f>HYPERLINK("https%3A%2F%2Fwww.webofscience.com%2Fwos%2Fwoscc%2Ffull-record%2FWOS:000373442900033","View Full Record in Web of Science")</f>
        <v>View Full Record in Web of Science</v>
      </c>
    </row>
    <row r="395" spans="1:72" x14ac:dyDescent="0.15">
      <c r="A395" t="s">
        <v>72</v>
      </c>
      <c r="B395" t="s">
        <v>7876</v>
      </c>
      <c r="C395" t="s">
        <v>74</v>
      </c>
      <c r="D395" t="s">
        <v>74</v>
      </c>
      <c r="E395" t="s">
        <v>74</v>
      </c>
      <c r="F395" t="s">
        <v>7877</v>
      </c>
      <c r="G395" t="s">
        <v>74</v>
      </c>
      <c r="H395" t="s">
        <v>74</v>
      </c>
      <c r="I395" t="s">
        <v>7878</v>
      </c>
      <c r="J395" t="s">
        <v>7879</v>
      </c>
      <c r="K395" t="s">
        <v>74</v>
      </c>
      <c r="L395" t="s">
        <v>74</v>
      </c>
      <c r="M395" t="s">
        <v>78</v>
      </c>
      <c r="N395" t="s">
        <v>949</v>
      </c>
      <c r="O395" t="s">
        <v>74</v>
      </c>
      <c r="P395" t="s">
        <v>74</v>
      </c>
      <c r="Q395" t="s">
        <v>74</v>
      </c>
      <c r="R395" t="s">
        <v>74</v>
      </c>
      <c r="S395" t="s">
        <v>74</v>
      </c>
      <c r="T395" t="s">
        <v>74</v>
      </c>
      <c r="U395" t="s">
        <v>7880</v>
      </c>
      <c r="V395" t="s">
        <v>7881</v>
      </c>
      <c r="W395" t="s">
        <v>7882</v>
      </c>
      <c r="X395" t="s">
        <v>7883</v>
      </c>
      <c r="Y395" t="s">
        <v>7884</v>
      </c>
      <c r="Z395" t="s">
        <v>7885</v>
      </c>
      <c r="AA395" t="s">
        <v>7886</v>
      </c>
      <c r="AB395" t="s">
        <v>7887</v>
      </c>
      <c r="AC395" t="s">
        <v>7888</v>
      </c>
      <c r="AD395" t="s">
        <v>7889</v>
      </c>
      <c r="AE395" t="s">
        <v>7890</v>
      </c>
      <c r="AF395" t="s">
        <v>74</v>
      </c>
      <c r="AG395">
        <v>54</v>
      </c>
      <c r="AH395">
        <v>63</v>
      </c>
      <c r="AI395">
        <v>75</v>
      </c>
      <c r="AJ395">
        <v>4</v>
      </c>
      <c r="AK395">
        <v>97</v>
      </c>
      <c r="AL395" t="s">
        <v>678</v>
      </c>
      <c r="AM395" t="s">
        <v>679</v>
      </c>
      <c r="AN395" t="s">
        <v>680</v>
      </c>
      <c r="AO395" t="s">
        <v>7891</v>
      </c>
      <c r="AP395" t="s">
        <v>7892</v>
      </c>
      <c r="AQ395" t="s">
        <v>74</v>
      </c>
      <c r="AR395" t="s">
        <v>7893</v>
      </c>
      <c r="AS395" t="s">
        <v>7894</v>
      </c>
      <c r="AT395" t="s">
        <v>6000</v>
      </c>
      <c r="AU395">
        <v>2016</v>
      </c>
      <c r="AV395">
        <v>38</v>
      </c>
      <c r="AW395" t="s">
        <v>74</v>
      </c>
      <c r="AX395" t="s">
        <v>74</v>
      </c>
      <c r="AY395" t="s">
        <v>74</v>
      </c>
      <c r="AZ395" t="s">
        <v>74</v>
      </c>
      <c r="BA395" t="s">
        <v>74</v>
      </c>
      <c r="BB395">
        <v>143</v>
      </c>
      <c r="BC395">
        <v>149</v>
      </c>
      <c r="BD395" t="s">
        <v>74</v>
      </c>
      <c r="BE395" t="s">
        <v>7895</v>
      </c>
      <c r="BF395" t="str">
        <f>HYPERLINK("http://dx.doi.org/10.1016/j.copbio.2016.01.017","http://dx.doi.org/10.1016/j.copbio.2016.01.017")</f>
        <v>http://dx.doi.org/10.1016/j.copbio.2016.01.017</v>
      </c>
      <c r="BG395" t="s">
        <v>74</v>
      </c>
      <c r="BH395" t="s">
        <v>74</v>
      </c>
      <c r="BI395">
        <v>7</v>
      </c>
      <c r="BJ395" t="s">
        <v>7896</v>
      </c>
      <c r="BK395" t="s">
        <v>102</v>
      </c>
      <c r="BL395" t="s">
        <v>6355</v>
      </c>
      <c r="BM395" t="s">
        <v>7897</v>
      </c>
      <c r="BN395">
        <v>26901403</v>
      </c>
      <c r="BO395" t="s">
        <v>74</v>
      </c>
      <c r="BP395" t="s">
        <v>74</v>
      </c>
      <c r="BQ395" t="s">
        <v>74</v>
      </c>
      <c r="BR395" t="s">
        <v>106</v>
      </c>
      <c r="BS395" t="s">
        <v>7898</v>
      </c>
      <c r="BT395" t="str">
        <f>HYPERLINK("https%3A%2F%2Fwww.webofscience.com%2Fwos%2Fwoscc%2Ffull-record%2FWOS:000374807900022","View Full Record in Web of Science")</f>
        <v>View Full Record in Web of Science</v>
      </c>
    </row>
    <row r="396" spans="1:72" x14ac:dyDescent="0.15">
      <c r="A396" t="s">
        <v>72</v>
      </c>
      <c r="B396" t="s">
        <v>7899</v>
      </c>
      <c r="C396" t="s">
        <v>74</v>
      </c>
      <c r="D396" t="s">
        <v>74</v>
      </c>
      <c r="E396" t="s">
        <v>74</v>
      </c>
      <c r="F396" t="s">
        <v>7900</v>
      </c>
      <c r="G396" t="s">
        <v>74</v>
      </c>
      <c r="H396" t="s">
        <v>74</v>
      </c>
      <c r="I396" t="s">
        <v>7901</v>
      </c>
      <c r="J396" t="s">
        <v>7879</v>
      </c>
      <c r="K396" t="s">
        <v>74</v>
      </c>
      <c r="L396" t="s">
        <v>74</v>
      </c>
      <c r="M396" t="s">
        <v>78</v>
      </c>
      <c r="N396" t="s">
        <v>949</v>
      </c>
      <c r="O396" t="s">
        <v>74</v>
      </c>
      <c r="P396" t="s">
        <v>74</v>
      </c>
      <c r="Q396" t="s">
        <v>74</v>
      </c>
      <c r="R396" t="s">
        <v>74</v>
      </c>
      <c r="S396" t="s">
        <v>74</v>
      </c>
      <c r="T396" t="s">
        <v>74</v>
      </c>
      <c r="U396" t="s">
        <v>7902</v>
      </c>
      <c r="V396" t="s">
        <v>7903</v>
      </c>
      <c r="W396" t="s">
        <v>7904</v>
      </c>
      <c r="X396" t="s">
        <v>7124</v>
      </c>
      <c r="Y396" t="s">
        <v>7905</v>
      </c>
      <c r="Z396" t="s">
        <v>7906</v>
      </c>
      <c r="AA396" t="s">
        <v>7907</v>
      </c>
      <c r="AB396" t="s">
        <v>7908</v>
      </c>
      <c r="AC396" t="s">
        <v>7909</v>
      </c>
      <c r="AD396" t="s">
        <v>7910</v>
      </c>
      <c r="AE396" t="s">
        <v>7911</v>
      </c>
      <c r="AF396" t="s">
        <v>74</v>
      </c>
      <c r="AG396">
        <v>83</v>
      </c>
      <c r="AH396">
        <v>32</v>
      </c>
      <c r="AI396">
        <v>35</v>
      </c>
      <c r="AJ396">
        <v>5</v>
      </c>
      <c r="AK396">
        <v>143</v>
      </c>
      <c r="AL396" t="s">
        <v>678</v>
      </c>
      <c r="AM396" t="s">
        <v>679</v>
      </c>
      <c r="AN396" t="s">
        <v>680</v>
      </c>
      <c r="AO396" t="s">
        <v>7891</v>
      </c>
      <c r="AP396" t="s">
        <v>7892</v>
      </c>
      <c r="AQ396" t="s">
        <v>74</v>
      </c>
      <c r="AR396" t="s">
        <v>7893</v>
      </c>
      <c r="AS396" t="s">
        <v>7894</v>
      </c>
      <c r="AT396" t="s">
        <v>6000</v>
      </c>
      <c r="AU396">
        <v>2016</v>
      </c>
      <c r="AV396">
        <v>38</v>
      </c>
      <c r="AW396" t="s">
        <v>74</v>
      </c>
      <c r="AX396" t="s">
        <v>74</v>
      </c>
      <c r="AY396" t="s">
        <v>74</v>
      </c>
      <c r="AZ396" t="s">
        <v>74</v>
      </c>
      <c r="BA396" t="s">
        <v>74</v>
      </c>
      <c r="BB396">
        <v>159</v>
      </c>
      <c r="BC396">
        <v>166</v>
      </c>
      <c r="BD396" t="s">
        <v>74</v>
      </c>
      <c r="BE396" t="s">
        <v>7912</v>
      </c>
      <c r="BF396" t="str">
        <f>HYPERLINK("http://dx.doi.org/10.1016/j.copbio.2016.01.011","http://dx.doi.org/10.1016/j.copbio.2016.01.011")</f>
        <v>http://dx.doi.org/10.1016/j.copbio.2016.01.011</v>
      </c>
      <c r="BG396" t="s">
        <v>74</v>
      </c>
      <c r="BH396" t="s">
        <v>74</v>
      </c>
      <c r="BI396">
        <v>8</v>
      </c>
      <c r="BJ396" t="s">
        <v>7896</v>
      </c>
      <c r="BK396" t="s">
        <v>102</v>
      </c>
      <c r="BL396" t="s">
        <v>6355</v>
      </c>
      <c r="BM396" t="s">
        <v>7897</v>
      </c>
      <c r="BN396">
        <v>26921734</v>
      </c>
      <c r="BO396" t="s">
        <v>2559</v>
      </c>
      <c r="BP396" t="s">
        <v>74</v>
      </c>
      <c r="BQ396" t="s">
        <v>74</v>
      </c>
      <c r="BR396" t="s">
        <v>106</v>
      </c>
      <c r="BS396" t="s">
        <v>7913</v>
      </c>
      <c r="BT396" t="str">
        <f>HYPERLINK("https%3A%2F%2Fwww.webofscience.com%2Fwos%2Fwoscc%2Ffull-record%2FWOS:000374807900024","View Full Record in Web of Science")</f>
        <v>View Full Record in Web of Science</v>
      </c>
    </row>
    <row r="397" spans="1:72" x14ac:dyDescent="0.15">
      <c r="A397" t="s">
        <v>72</v>
      </c>
      <c r="B397" t="s">
        <v>7914</v>
      </c>
      <c r="C397" t="s">
        <v>74</v>
      </c>
      <c r="D397" t="s">
        <v>74</v>
      </c>
      <c r="E397" t="s">
        <v>74</v>
      </c>
      <c r="F397" t="s">
        <v>7915</v>
      </c>
      <c r="G397" t="s">
        <v>74</v>
      </c>
      <c r="H397" t="s">
        <v>74</v>
      </c>
      <c r="I397" t="s">
        <v>7916</v>
      </c>
      <c r="J397" t="s">
        <v>3891</v>
      </c>
      <c r="K397" t="s">
        <v>74</v>
      </c>
      <c r="L397" t="s">
        <v>74</v>
      </c>
      <c r="M397" t="s">
        <v>78</v>
      </c>
      <c r="N397" t="s">
        <v>79</v>
      </c>
      <c r="O397" t="s">
        <v>74</v>
      </c>
      <c r="P397" t="s">
        <v>74</v>
      </c>
      <c r="Q397" t="s">
        <v>74</v>
      </c>
      <c r="R397" t="s">
        <v>74</v>
      </c>
      <c r="S397" t="s">
        <v>74</v>
      </c>
      <c r="T397" t="s">
        <v>7917</v>
      </c>
      <c r="U397" t="s">
        <v>7918</v>
      </c>
      <c r="V397" t="s">
        <v>7919</v>
      </c>
      <c r="W397" t="s">
        <v>7920</v>
      </c>
      <c r="X397" t="s">
        <v>7921</v>
      </c>
      <c r="Y397" t="s">
        <v>7922</v>
      </c>
      <c r="Z397" t="s">
        <v>7923</v>
      </c>
      <c r="AA397" t="s">
        <v>7924</v>
      </c>
      <c r="AB397" t="s">
        <v>7925</v>
      </c>
      <c r="AC397" t="s">
        <v>7926</v>
      </c>
      <c r="AD397" t="s">
        <v>7927</v>
      </c>
      <c r="AE397" t="s">
        <v>7928</v>
      </c>
      <c r="AF397" t="s">
        <v>74</v>
      </c>
      <c r="AG397">
        <v>91</v>
      </c>
      <c r="AH397">
        <v>27</v>
      </c>
      <c r="AI397">
        <v>28</v>
      </c>
      <c r="AJ397">
        <v>0</v>
      </c>
      <c r="AK397">
        <v>31</v>
      </c>
      <c r="AL397" t="s">
        <v>1829</v>
      </c>
      <c r="AM397" t="s">
        <v>679</v>
      </c>
      <c r="AN397" t="s">
        <v>1830</v>
      </c>
      <c r="AO397" t="s">
        <v>3902</v>
      </c>
      <c r="AP397" t="s">
        <v>3903</v>
      </c>
      <c r="AQ397" t="s">
        <v>74</v>
      </c>
      <c r="AR397" t="s">
        <v>3904</v>
      </c>
      <c r="AS397" t="s">
        <v>3905</v>
      </c>
      <c r="AT397" t="s">
        <v>6000</v>
      </c>
      <c r="AU397">
        <v>2016</v>
      </c>
      <c r="AV397">
        <v>110</v>
      </c>
      <c r="AW397" t="s">
        <v>74</v>
      </c>
      <c r="AX397" t="s">
        <v>74</v>
      </c>
      <c r="AY397" t="s">
        <v>74</v>
      </c>
      <c r="AZ397" t="s">
        <v>74</v>
      </c>
      <c r="BA397" t="s">
        <v>74</v>
      </c>
      <c r="BB397">
        <v>20</v>
      </c>
      <c r="BC397">
        <v>32</v>
      </c>
      <c r="BD397" t="s">
        <v>74</v>
      </c>
      <c r="BE397" t="s">
        <v>7929</v>
      </c>
      <c r="BF397" t="str">
        <f>HYPERLINK("http://dx.doi.org/10.1016/j.dsr.2015.12.007","http://dx.doi.org/10.1016/j.dsr.2015.12.007")</f>
        <v>http://dx.doi.org/10.1016/j.dsr.2015.12.007</v>
      </c>
      <c r="BG397" t="s">
        <v>74</v>
      </c>
      <c r="BH397" t="s">
        <v>74</v>
      </c>
      <c r="BI397">
        <v>13</v>
      </c>
      <c r="BJ397" t="s">
        <v>361</v>
      </c>
      <c r="BK397" t="s">
        <v>102</v>
      </c>
      <c r="BL397" t="s">
        <v>361</v>
      </c>
      <c r="BM397" t="s">
        <v>7047</v>
      </c>
      <c r="BN397" t="s">
        <v>74</v>
      </c>
      <c r="BO397" t="s">
        <v>74</v>
      </c>
      <c r="BP397" t="s">
        <v>74</v>
      </c>
      <c r="BQ397" t="s">
        <v>74</v>
      </c>
      <c r="BR397" t="s">
        <v>106</v>
      </c>
      <c r="BS397" t="s">
        <v>7930</v>
      </c>
      <c r="BT397" t="str">
        <f>HYPERLINK("https%3A%2F%2Fwww.webofscience.com%2Fwos%2Fwoscc%2Ffull-record%2FWOS:000373544500002","View Full Record in Web of Science")</f>
        <v>View Full Record in Web of Science</v>
      </c>
    </row>
    <row r="398" spans="1:72" x14ac:dyDescent="0.15">
      <c r="A398" t="s">
        <v>72</v>
      </c>
      <c r="B398" t="s">
        <v>7931</v>
      </c>
      <c r="C398" t="s">
        <v>74</v>
      </c>
      <c r="D398" t="s">
        <v>74</v>
      </c>
      <c r="E398" t="s">
        <v>74</v>
      </c>
      <c r="F398" t="s">
        <v>7932</v>
      </c>
      <c r="G398" t="s">
        <v>74</v>
      </c>
      <c r="H398" t="s">
        <v>74</v>
      </c>
      <c r="I398" t="s">
        <v>7933</v>
      </c>
      <c r="J398" t="s">
        <v>7934</v>
      </c>
      <c r="K398" t="s">
        <v>74</v>
      </c>
      <c r="L398" t="s">
        <v>74</v>
      </c>
      <c r="M398" t="s">
        <v>78</v>
      </c>
      <c r="N398" t="s">
        <v>79</v>
      </c>
      <c r="O398" t="s">
        <v>74</v>
      </c>
      <c r="P398" t="s">
        <v>74</v>
      </c>
      <c r="Q398" t="s">
        <v>74</v>
      </c>
      <c r="R398" t="s">
        <v>74</v>
      </c>
      <c r="S398" t="s">
        <v>74</v>
      </c>
      <c r="T398" t="s">
        <v>7935</v>
      </c>
      <c r="U398" t="s">
        <v>7936</v>
      </c>
      <c r="V398" t="s">
        <v>7937</v>
      </c>
      <c r="W398" t="s">
        <v>7938</v>
      </c>
      <c r="X398" t="s">
        <v>7939</v>
      </c>
      <c r="Y398" t="s">
        <v>7940</v>
      </c>
      <c r="Z398" t="s">
        <v>7941</v>
      </c>
      <c r="AA398" t="s">
        <v>7942</v>
      </c>
      <c r="AB398" t="s">
        <v>7943</v>
      </c>
      <c r="AC398" t="s">
        <v>7944</v>
      </c>
      <c r="AD398" t="s">
        <v>7945</v>
      </c>
      <c r="AE398" t="s">
        <v>7946</v>
      </c>
      <c r="AF398" t="s">
        <v>74</v>
      </c>
      <c r="AG398">
        <v>44</v>
      </c>
      <c r="AH398">
        <v>172</v>
      </c>
      <c r="AI398">
        <v>185</v>
      </c>
      <c r="AJ398">
        <v>1</v>
      </c>
      <c r="AK398">
        <v>64</v>
      </c>
      <c r="AL398" t="s">
        <v>124</v>
      </c>
      <c r="AM398" t="s">
        <v>125</v>
      </c>
      <c r="AN398" t="s">
        <v>126</v>
      </c>
      <c r="AO398" t="s">
        <v>7947</v>
      </c>
      <c r="AP398" t="s">
        <v>7948</v>
      </c>
      <c r="AQ398" t="s">
        <v>74</v>
      </c>
      <c r="AR398" t="s">
        <v>7949</v>
      </c>
      <c r="AS398" t="s">
        <v>7950</v>
      </c>
      <c r="AT398" t="s">
        <v>6000</v>
      </c>
      <c r="AU398">
        <v>2016</v>
      </c>
      <c r="AV398">
        <v>22</v>
      </c>
      <c r="AW398">
        <v>4</v>
      </c>
      <c r="AX398" t="s">
        <v>74</v>
      </c>
      <c r="AY398" t="s">
        <v>74</v>
      </c>
      <c r="AZ398" t="s">
        <v>74</v>
      </c>
      <c r="BA398" t="s">
        <v>74</v>
      </c>
      <c r="BB398">
        <v>422</v>
      </c>
      <c r="BC398">
        <v>431</v>
      </c>
      <c r="BD398" t="s">
        <v>74</v>
      </c>
      <c r="BE398" t="s">
        <v>7951</v>
      </c>
      <c r="BF398" t="str">
        <f>HYPERLINK("http://dx.doi.org/10.1111/ddi.12411","http://dx.doi.org/10.1111/ddi.12411")</f>
        <v>http://dx.doi.org/10.1111/ddi.12411</v>
      </c>
      <c r="BG398" t="s">
        <v>74</v>
      </c>
      <c r="BH398" t="s">
        <v>74</v>
      </c>
      <c r="BI398">
        <v>10</v>
      </c>
      <c r="BJ398" t="s">
        <v>291</v>
      </c>
      <c r="BK398" t="s">
        <v>102</v>
      </c>
      <c r="BL398" t="s">
        <v>133</v>
      </c>
      <c r="BM398" t="s">
        <v>7952</v>
      </c>
      <c r="BN398" t="s">
        <v>74</v>
      </c>
      <c r="BO398" t="s">
        <v>7953</v>
      </c>
      <c r="BP398" t="s">
        <v>74</v>
      </c>
      <c r="BQ398" t="s">
        <v>74</v>
      </c>
      <c r="BR398" t="s">
        <v>106</v>
      </c>
      <c r="BS398" t="s">
        <v>7954</v>
      </c>
      <c r="BT398" t="str">
        <f>HYPERLINK("https%3A%2F%2Fwww.webofscience.com%2Fwos%2Fwoscc%2Ffull-record%2FWOS:000372883000005","View Full Record in Web of Science")</f>
        <v>View Full Record in Web of Science</v>
      </c>
    </row>
    <row r="399" spans="1:72" x14ac:dyDescent="0.15">
      <c r="A399" t="s">
        <v>72</v>
      </c>
      <c r="B399" t="s">
        <v>7955</v>
      </c>
      <c r="C399" t="s">
        <v>74</v>
      </c>
      <c r="D399" t="s">
        <v>74</v>
      </c>
      <c r="E399" t="s">
        <v>74</v>
      </c>
      <c r="F399" t="s">
        <v>7956</v>
      </c>
      <c r="G399" t="s">
        <v>74</v>
      </c>
      <c r="H399" t="s">
        <v>74</v>
      </c>
      <c r="I399" t="s">
        <v>7957</v>
      </c>
      <c r="J399" t="s">
        <v>5624</v>
      </c>
      <c r="K399" t="s">
        <v>74</v>
      </c>
      <c r="L399" t="s">
        <v>74</v>
      </c>
      <c r="M399" t="s">
        <v>78</v>
      </c>
      <c r="N399" t="s">
        <v>79</v>
      </c>
      <c r="O399" t="s">
        <v>74</v>
      </c>
      <c r="P399" t="s">
        <v>74</v>
      </c>
      <c r="Q399" t="s">
        <v>74</v>
      </c>
      <c r="R399" t="s">
        <v>74</v>
      </c>
      <c r="S399" t="s">
        <v>74</v>
      </c>
      <c r="T399" t="s">
        <v>7958</v>
      </c>
      <c r="U399" t="s">
        <v>7959</v>
      </c>
      <c r="V399" t="s">
        <v>7960</v>
      </c>
      <c r="W399" t="s">
        <v>7961</v>
      </c>
      <c r="X399" t="s">
        <v>7962</v>
      </c>
      <c r="Y399" t="s">
        <v>7963</v>
      </c>
      <c r="Z399" t="s">
        <v>7964</v>
      </c>
      <c r="AA399" t="s">
        <v>7965</v>
      </c>
      <c r="AB399" t="s">
        <v>7966</v>
      </c>
      <c r="AC399" t="s">
        <v>7967</v>
      </c>
      <c r="AD399" t="s">
        <v>7968</v>
      </c>
      <c r="AE399" t="s">
        <v>7969</v>
      </c>
      <c r="AF399" t="s">
        <v>74</v>
      </c>
      <c r="AG399">
        <v>50</v>
      </c>
      <c r="AH399">
        <v>54</v>
      </c>
      <c r="AI399">
        <v>60</v>
      </c>
      <c r="AJ399">
        <v>6</v>
      </c>
      <c r="AK399">
        <v>87</v>
      </c>
      <c r="AL399" t="s">
        <v>582</v>
      </c>
      <c r="AM399" t="s">
        <v>583</v>
      </c>
      <c r="AN399" t="s">
        <v>584</v>
      </c>
      <c r="AO399" t="s">
        <v>5637</v>
      </c>
      <c r="AP399" t="s">
        <v>5638</v>
      </c>
      <c r="AQ399" t="s">
        <v>74</v>
      </c>
      <c r="AR399" t="s">
        <v>5639</v>
      </c>
      <c r="AS399" t="s">
        <v>5640</v>
      </c>
      <c r="AT399" t="s">
        <v>6380</v>
      </c>
      <c r="AU399">
        <v>2016</v>
      </c>
      <c r="AV399">
        <v>439</v>
      </c>
      <c r="AW399" t="s">
        <v>74</v>
      </c>
      <c r="AX399" t="s">
        <v>74</v>
      </c>
      <c r="AY399" t="s">
        <v>74</v>
      </c>
      <c r="AZ399" t="s">
        <v>74</v>
      </c>
      <c r="BA399" t="s">
        <v>74</v>
      </c>
      <c r="BB399">
        <v>1</v>
      </c>
      <c r="BC399">
        <v>10</v>
      </c>
      <c r="BD399" t="s">
        <v>74</v>
      </c>
      <c r="BE399" t="s">
        <v>7970</v>
      </c>
      <c r="BF399" t="str">
        <f>HYPERLINK("http://dx.doi.org/10.1016/j.epsl.2016.01.022","http://dx.doi.org/10.1016/j.epsl.2016.01.022")</f>
        <v>http://dx.doi.org/10.1016/j.epsl.2016.01.022</v>
      </c>
      <c r="BG399" t="s">
        <v>74</v>
      </c>
      <c r="BH399" t="s">
        <v>74</v>
      </c>
      <c r="BI399">
        <v>10</v>
      </c>
      <c r="BJ399" t="s">
        <v>727</v>
      </c>
      <c r="BK399" t="s">
        <v>102</v>
      </c>
      <c r="BL399" t="s">
        <v>727</v>
      </c>
      <c r="BM399" t="s">
        <v>7971</v>
      </c>
      <c r="BN399" t="s">
        <v>74</v>
      </c>
      <c r="BO399" t="s">
        <v>7972</v>
      </c>
      <c r="BP399" t="s">
        <v>74</v>
      </c>
      <c r="BQ399" t="s">
        <v>74</v>
      </c>
      <c r="BR399" t="s">
        <v>106</v>
      </c>
      <c r="BS399" t="s">
        <v>7973</v>
      </c>
      <c r="BT399" t="str">
        <f>HYPERLINK("https%3A%2F%2Fwww.webofscience.com%2Fwos%2Fwoscc%2Ffull-record%2FWOS:000371843700001","View Full Record in Web of Science")</f>
        <v>View Full Record in Web of Science</v>
      </c>
    </row>
    <row r="400" spans="1:72" x14ac:dyDescent="0.15">
      <c r="A400" t="s">
        <v>72</v>
      </c>
      <c r="B400" t="s">
        <v>7974</v>
      </c>
      <c r="C400" t="s">
        <v>74</v>
      </c>
      <c r="D400" t="s">
        <v>74</v>
      </c>
      <c r="E400" t="s">
        <v>74</v>
      </c>
      <c r="F400" t="s">
        <v>7975</v>
      </c>
      <c r="G400" t="s">
        <v>74</v>
      </c>
      <c r="H400" t="s">
        <v>74</v>
      </c>
      <c r="I400" t="s">
        <v>7976</v>
      </c>
      <c r="J400" t="s">
        <v>7977</v>
      </c>
      <c r="K400" t="s">
        <v>74</v>
      </c>
      <c r="L400" t="s">
        <v>74</v>
      </c>
      <c r="M400" t="s">
        <v>78</v>
      </c>
      <c r="N400" t="s">
        <v>79</v>
      </c>
      <c r="O400" t="s">
        <v>74</v>
      </c>
      <c r="P400" t="s">
        <v>74</v>
      </c>
      <c r="Q400" t="s">
        <v>74</v>
      </c>
      <c r="R400" t="s">
        <v>74</v>
      </c>
      <c r="S400" t="s">
        <v>74</v>
      </c>
      <c r="T400" t="s">
        <v>7978</v>
      </c>
      <c r="U400" t="s">
        <v>7979</v>
      </c>
      <c r="V400" t="s">
        <v>7980</v>
      </c>
      <c r="W400" t="s">
        <v>7981</v>
      </c>
      <c r="X400" t="s">
        <v>7982</v>
      </c>
      <c r="Y400" t="s">
        <v>7983</v>
      </c>
      <c r="Z400" t="s">
        <v>7984</v>
      </c>
      <c r="AA400" t="s">
        <v>7985</v>
      </c>
      <c r="AB400" t="s">
        <v>7986</v>
      </c>
      <c r="AC400" t="s">
        <v>7987</v>
      </c>
      <c r="AD400" t="s">
        <v>7988</v>
      </c>
      <c r="AE400" t="s">
        <v>7989</v>
      </c>
      <c r="AF400" t="s">
        <v>74</v>
      </c>
      <c r="AG400">
        <v>198</v>
      </c>
      <c r="AH400">
        <v>257</v>
      </c>
      <c r="AI400">
        <v>258</v>
      </c>
      <c r="AJ400">
        <v>5</v>
      </c>
      <c r="AK400">
        <v>66</v>
      </c>
      <c r="AL400" t="s">
        <v>626</v>
      </c>
      <c r="AM400" t="s">
        <v>583</v>
      </c>
      <c r="AN400" t="s">
        <v>627</v>
      </c>
      <c r="AO400" t="s">
        <v>7990</v>
      </c>
      <c r="AP400" t="s">
        <v>7991</v>
      </c>
      <c r="AQ400" t="s">
        <v>74</v>
      </c>
      <c r="AR400" t="s">
        <v>7992</v>
      </c>
      <c r="AS400" t="s">
        <v>7993</v>
      </c>
      <c r="AT400" t="s">
        <v>6000</v>
      </c>
      <c r="AU400">
        <v>2016</v>
      </c>
      <c r="AV400">
        <v>155</v>
      </c>
      <c r="AW400" t="s">
        <v>74</v>
      </c>
      <c r="AX400" t="s">
        <v>74</v>
      </c>
      <c r="AY400" t="s">
        <v>74</v>
      </c>
      <c r="AZ400" t="s">
        <v>74</v>
      </c>
      <c r="BA400" t="s">
        <v>74</v>
      </c>
      <c r="BB400">
        <v>172</v>
      </c>
      <c r="BC400">
        <v>197</v>
      </c>
      <c r="BD400" t="s">
        <v>74</v>
      </c>
      <c r="BE400" t="s">
        <v>7994</v>
      </c>
      <c r="BF400" t="str">
        <f>HYPERLINK("http://dx.doi.org/10.1016/j.earscirev.2016.02.002","http://dx.doi.org/10.1016/j.earscirev.2016.02.002")</f>
        <v>http://dx.doi.org/10.1016/j.earscirev.2016.02.002</v>
      </c>
      <c r="BG400" t="s">
        <v>74</v>
      </c>
      <c r="BH400" t="s">
        <v>74</v>
      </c>
      <c r="BI400">
        <v>26</v>
      </c>
      <c r="BJ400" t="s">
        <v>269</v>
      </c>
      <c r="BK400" t="s">
        <v>102</v>
      </c>
      <c r="BL400" t="s">
        <v>270</v>
      </c>
      <c r="BM400" t="s">
        <v>7995</v>
      </c>
      <c r="BN400" t="s">
        <v>74</v>
      </c>
      <c r="BO400" t="s">
        <v>1412</v>
      </c>
      <c r="BP400" t="s">
        <v>1046</v>
      </c>
      <c r="BQ400" t="s">
        <v>1047</v>
      </c>
      <c r="BR400" t="s">
        <v>106</v>
      </c>
      <c r="BS400" t="s">
        <v>7996</v>
      </c>
      <c r="BT400" t="str">
        <f>HYPERLINK("https%3A%2F%2Fwww.webofscience.com%2Fwos%2Fwoscc%2Ffull-record%2FWOS:000374624800010","View Full Record in Web of Science")</f>
        <v>View Full Record in Web of Science</v>
      </c>
    </row>
    <row r="401" spans="1:72" x14ac:dyDescent="0.15">
      <c r="A401" t="s">
        <v>72</v>
      </c>
      <c r="B401" t="s">
        <v>7997</v>
      </c>
      <c r="C401" t="s">
        <v>74</v>
      </c>
      <c r="D401" t="s">
        <v>74</v>
      </c>
      <c r="E401" t="s">
        <v>74</v>
      </c>
      <c r="F401" t="s">
        <v>7998</v>
      </c>
      <c r="G401" t="s">
        <v>74</v>
      </c>
      <c r="H401" t="s">
        <v>74</v>
      </c>
      <c r="I401" t="s">
        <v>7999</v>
      </c>
      <c r="J401" t="s">
        <v>8000</v>
      </c>
      <c r="K401" t="s">
        <v>74</v>
      </c>
      <c r="L401" t="s">
        <v>74</v>
      </c>
      <c r="M401" t="s">
        <v>78</v>
      </c>
      <c r="N401" t="s">
        <v>52</v>
      </c>
      <c r="O401" t="s">
        <v>8001</v>
      </c>
      <c r="P401" t="s">
        <v>8002</v>
      </c>
      <c r="Q401" t="s">
        <v>8003</v>
      </c>
      <c r="R401" t="s">
        <v>74</v>
      </c>
      <c r="S401" t="s">
        <v>74</v>
      </c>
      <c r="T401" t="s">
        <v>74</v>
      </c>
      <c r="U401" t="s">
        <v>74</v>
      </c>
      <c r="V401" t="s">
        <v>74</v>
      </c>
      <c r="W401" t="s">
        <v>8004</v>
      </c>
      <c r="X401" t="s">
        <v>8005</v>
      </c>
      <c r="Y401" t="s">
        <v>74</v>
      </c>
      <c r="Z401" t="s">
        <v>74</v>
      </c>
      <c r="AA401" t="s">
        <v>74</v>
      </c>
      <c r="AB401" t="s">
        <v>74</v>
      </c>
      <c r="AC401" t="s">
        <v>8006</v>
      </c>
      <c r="AD401" t="s">
        <v>8007</v>
      </c>
      <c r="AE401" t="s">
        <v>8008</v>
      </c>
      <c r="AF401" t="s">
        <v>74</v>
      </c>
      <c r="AG401">
        <v>0</v>
      </c>
      <c r="AH401">
        <v>0</v>
      </c>
      <c r="AI401">
        <v>0</v>
      </c>
      <c r="AJ401">
        <v>0</v>
      </c>
      <c r="AK401">
        <v>4</v>
      </c>
      <c r="AL401" t="s">
        <v>8009</v>
      </c>
      <c r="AM401" t="s">
        <v>8010</v>
      </c>
      <c r="AN401" t="s">
        <v>8011</v>
      </c>
      <c r="AO401" t="s">
        <v>8012</v>
      </c>
      <c r="AP401" t="s">
        <v>8013</v>
      </c>
      <c r="AQ401" t="s">
        <v>74</v>
      </c>
      <c r="AR401" t="s">
        <v>8014</v>
      </c>
      <c r="AS401" t="s">
        <v>8015</v>
      </c>
      <c r="AT401" t="s">
        <v>6000</v>
      </c>
      <c r="AU401">
        <v>2016</v>
      </c>
      <c r="AV401">
        <v>30</v>
      </c>
      <c r="AW401" t="s">
        <v>74</v>
      </c>
      <c r="AX401" t="s">
        <v>74</v>
      </c>
      <c r="AY401">
        <v>1</v>
      </c>
      <c r="AZ401" t="s">
        <v>74</v>
      </c>
      <c r="BA401">
        <v>1229.8</v>
      </c>
      <c r="BB401" t="s">
        <v>74</v>
      </c>
      <c r="BC401" t="s">
        <v>74</v>
      </c>
      <c r="BD401" t="s">
        <v>74</v>
      </c>
      <c r="BE401" t="s">
        <v>74</v>
      </c>
      <c r="BF401" t="s">
        <v>74</v>
      </c>
      <c r="BG401" t="s">
        <v>74</v>
      </c>
      <c r="BH401" t="s">
        <v>74</v>
      </c>
      <c r="BI401">
        <v>1</v>
      </c>
      <c r="BJ401" t="s">
        <v>1437</v>
      </c>
      <c r="BK401" t="s">
        <v>6412</v>
      </c>
      <c r="BL401" t="s">
        <v>1438</v>
      </c>
      <c r="BM401" t="s">
        <v>8016</v>
      </c>
      <c r="BN401" t="s">
        <v>74</v>
      </c>
      <c r="BO401" t="s">
        <v>74</v>
      </c>
      <c r="BP401" t="s">
        <v>74</v>
      </c>
      <c r="BQ401" t="s">
        <v>74</v>
      </c>
      <c r="BR401" t="s">
        <v>106</v>
      </c>
      <c r="BS401" t="s">
        <v>8017</v>
      </c>
      <c r="BT401" t="str">
        <f>HYPERLINK("https%3A%2F%2Fwww.webofscience.com%2Fwos%2Fwoscc%2Ffull-record%2FWOS:000406444705527","View Full Record in Web of Science")</f>
        <v>View Full Record in Web of Science</v>
      </c>
    </row>
    <row r="402" spans="1:72" x14ac:dyDescent="0.15">
      <c r="A402" t="s">
        <v>72</v>
      </c>
      <c r="B402" t="s">
        <v>8018</v>
      </c>
      <c r="C402" t="s">
        <v>74</v>
      </c>
      <c r="D402" t="s">
        <v>74</v>
      </c>
      <c r="E402" t="s">
        <v>74</v>
      </c>
      <c r="F402" t="s">
        <v>8019</v>
      </c>
      <c r="G402" t="s">
        <v>74</v>
      </c>
      <c r="H402" t="s">
        <v>74</v>
      </c>
      <c r="I402" t="s">
        <v>8020</v>
      </c>
      <c r="J402" t="s">
        <v>8000</v>
      </c>
      <c r="K402" t="s">
        <v>74</v>
      </c>
      <c r="L402" t="s">
        <v>74</v>
      </c>
      <c r="M402" t="s">
        <v>78</v>
      </c>
      <c r="N402" t="s">
        <v>52</v>
      </c>
      <c r="O402" t="s">
        <v>8001</v>
      </c>
      <c r="P402" t="s">
        <v>8002</v>
      </c>
      <c r="Q402" t="s">
        <v>8003</v>
      </c>
      <c r="R402" t="s">
        <v>74</v>
      </c>
      <c r="S402" t="s">
        <v>74</v>
      </c>
      <c r="T402" t="s">
        <v>74</v>
      </c>
      <c r="U402" t="s">
        <v>74</v>
      </c>
      <c r="V402" t="s">
        <v>74</v>
      </c>
      <c r="W402" t="s">
        <v>8021</v>
      </c>
      <c r="X402" t="s">
        <v>8022</v>
      </c>
      <c r="Y402" t="s">
        <v>74</v>
      </c>
      <c r="Z402" t="s">
        <v>74</v>
      </c>
      <c r="AA402" t="s">
        <v>74</v>
      </c>
      <c r="AB402" t="s">
        <v>74</v>
      </c>
      <c r="AC402" t="s">
        <v>8023</v>
      </c>
      <c r="AD402" t="s">
        <v>1398</v>
      </c>
      <c r="AE402" t="s">
        <v>8024</v>
      </c>
      <c r="AF402" t="s">
        <v>74</v>
      </c>
      <c r="AG402">
        <v>0</v>
      </c>
      <c r="AH402">
        <v>0</v>
      </c>
      <c r="AI402">
        <v>0</v>
      </c>
      <c r="AJ402">
        <v>0</v>
      </c>
      <c r="AK402">
        <v>8</v>
      </c>
      <c r="AL402" t="s">
        <v>8009</v>
      </c>
      <c r="AM402" t="s">
        <v>8010</v>
      </c>
      <c r="AN402" t="s">
        <v>8011</v>
      </c>
      <c r="AO402" t="s">
        <v>8012</v>
      </c>
      <c r="AP402" t="s">
        <v>8013</v>
      </c>
      <c r="AQ402" t="s">
        <v>74</v>
      </c>
      <c r="AR402" t="s">
        <v>8014</v>
      </c>
      <c r="AS402" t="s">
        <v>8015</v>
      </c>
      <c r="AT402" t="s">
        <v>6000</v>
      </c>
      <c r="AU402">
        <v>2016</v>
      </c>
      <c r="AV402">
        <v>30</v>
      </c>
      <c r="AW402" t="s">
        <v>74</v>
      </c>
      <c r="AX402" t="s">
        <v>74</v>
      </c>
      <c r="AY402">
        <v>1</v>
      </c>
      <c r="AZ402" t="s">
        <v>74</v>
      </c>
      <c r="BA402">
        <v>1230.0999999999999</v>
      </c>
      <c r="BB402" t="s">
        <v>74</v>
      </c>
      <c r="BC402" t="s">
        <v>74</v>
      </c>
      <c r="BD402" t="s">
        <v>74</v>
      </c>
      <c r="BE402" t="s">
        <v>74</v>
      </c>
      <c r="BF402" t="s">
        <v>74</v>
      </c>
      <c r="BG402" t="s">
        <v>74</v>
      </c>
      <c r="BH402" t="s">
        <v>74</v>
      </c>
      <c r="BI402">
        <v>2</v>
      </c>
      <c r="BJ402" t="s">
        <v>1437</v>
      </c>
      <c r="BK402" t="s">
        <v>6412</v>
      </c>
      <c r="BL402" t="s">
        <v>1438</v>
      </c>
      <c r="BM402" t="s">
        <v>8016</v>
      </c>
      <c r="BN402" t="s">
        <v>74</v>
      </c>
      <c r="BO402" t="s">
        <v>74</v>
      </c>
      <c r="BP402" t="s">
        <v>74</v>
      </c>
      <c r="BQ402" t="s">
        <v>74</v>
      </c>
      <c r="BR402" t="s">
        <v>106</v>
      </c>
      <c r="BS402" t="s">
        <v>8025</v>
      </c>
      <c r="BT402" t="str">
        <f>HYPERLINK("https%3A%2F%2Fwww.webofscience.com%2Fwos%2Fwoscc%2Ffull-record%2FWOS:000406444705514","View Full Record in Web of Science")</f>
        <v>View Full Record in Web of Science</v>
      </c>
    </row>
    <row r="403" spans="1:72" x14ac:dyDescent="0.15">
      <c r="A403" t="s">
        <v>72</v>
      </c>
      <c r="B403" t="s">
        <v>8026</v>
      </c>
      <c r="C403" t="s">
        <v>74</v>
      </c>
      <c r="D403" t="s">
        <v>74</v>
      </c>
      <c r="E403" t="s">
        <v>74</v>
      </c>
      <c r="F403" t="s">
        <v>8027</v>
      </c>
      <c r="G403" t="s">
        <v>74</v>
      </c>
      <c r="H403" t="s">
        <v>74</v>
      </c>
      <c r="I403" t="s">
        <v>8028</v>
      </c>
      <c r="J403" t="s">
        <v>6444</v>
      </c>
      <c r="K403" t="s">
        <v>74</v>
      </c>
      <c r="L403" t="s">
        <v>74</v>
      </c>
      <c r="M403" t="s">
        <v>78</v>
      </c>
      <c r="N403" t="s">
        <v>79</v>
      </c>
      <c r="O403" t="s">
        <v>74</v>
      </c>
      <c r="P403" t="s">
        <v>74</v>
      </c>
      <c r="Q403" t="s">
        <v>74</v>
      </c>
      <c r="R403" t="s">
        <v>74</v>
      </c>
      <c r="S403" t="s">
        <v>74</v>
      </c>
      <c r="T403" t="s">
        <v>8029</v>
      </c>
      <c r="U403" t="s">
        <v>8030</v>
      </c>
      <c r="V403" t="s">
        <v>8031</v>
      </c>
      <c r="W403" t="s">
        <v>8032</v>
      </c>
      <c r="X403" t="s">
        <v>8033</v>
      </c>
      <c r="Y403" t="s">
        <v>8034</v>
      </c>
      <c r="Z403" t="s">
        <v>7906</v>
      </c>
      <c r="AA403" t="s">
        <v>8035</v>
      </c>
      <c r="AB403" t="s">
        <v>8036</v>
      </c>
      <c r="AC403" t="s">
        <v>8037</v>
      </c>
      <c r="AD403" t="s">
        <v>8038</v>
      </c>
      <c r="AE403" t="s">
        <v>8039</v>
      </c>
      <c r="AF403" t="s">
        <v>74</v>
      </c>
      <c r="AG403">
        <v>111</v>
      </c>
      <c r="AH403">
        <v>26</v>
      </c>
      <c r="AI403">
        <v>31</v>
      </c>
      <c r="AJ403">
        <v>0</v>
      </c>
      <c r="AK403">
        <v>30</v>
      </c>
      <c r="AL403" t="s">
        <v>1657</v>
      </c>
      <c r="AM403" t="s">
        <v>679</v>
      </c>
      <c r="AN403" t="s">
        <v>1658</v>
      </c>
      <c r="AO403" t="s">
        <v>6457</v>
      </c>
      <c r="AP403" t="s">
        <v>6458</v>
      </c>
      <c r="AQ403" t="s">
        <v>74</v>
      </c>
      <c r="AR403" t="s">
        <v>6459</v>
      </c>
      <c r="AS403" t="s">
        <v>6460</v>
      </c>
      <c r="AT403" t="s">
        <v>6000</v>
      </c>
      <c r="AU403">
        <v>2016</v>
      </c>
      <c r="AV403">
        <v>92</v>
      </c>
      <c r="AW403">
        <v>4</v>
      </c>
      <c r="AX403" t="s">
        <v>74</v>
      </c>
      <c r="AY403" t="s">
        <v>74</v>
      </c>
      <c r="AZ403" t="s">
        <v>74</v>
      </c>
      <c r="BA403" t="s">
        <v>74</v>
      </c>
      <c r="BB403" t="s">
        <v>74</v>
      </c>
      <c r="BC403" t="s">
        <v>74</v>
      </c>
      <c r="BD403" t="s">
        <v>8040</v>
      </c>
      <c r="BE403" t="s">
        <v>8041</v>
      </c>
      <c r="BF403" t="str">
        <f>HYPERLINK("http://dx.doi.org/10.1093/femsec/fiw032","http://dx.doi.org/10.1093/femsec/fiw032")</f>
        <v>http://dx.doi.org/10.1093/femsec/fiw032</v>
      </c>
      <c r="BG403" t="s">
        <v>74</v>
      </c>
      <c r="BH403" t="s">
        <v>74</v>
      </c>
      <c r="BI403">
        <v>11</v>
      </c>
      <c r="BJ403" t="s">
        <v>2538</v>
      </c>
      <c r="BK403" t="s">
        <v>102</v>
      </c>
      <c r="BL403" t="s">
        <v>2538</v>
      </c>
      <c r="BM403" t="s">
        <v>6463</v>
      </c>
      <c r="BN403">
        <v>26884466</v>
      </c>
      <c r="BO403" t="s">
        <v>3370</v>
      </c>
      <c r="BP403" t="s">
        <v>74</v>
      </c>
      <c r="BQ403" t="s">
        <v>74</v>
      </c>
      <c r="BR403" t="s">
        <v>106</v>
      </c>
      <c r="BS403" t="s">
        <v>8042</v>
      </c>
      <c r="BT403" t="str">
        <f>HYPERLINK("https%3A%2F%2Fwww.webofscience.com%2Fwos%2Fwoscc%2Ffull-record%2FWOS:000374479400005","View Full Record in Web of Science")</f>
        <v>View Full Record in Web of Science</v>
      </c>
    </row>
    <row r="404" spans="1:72" x14ac:dyDescent="0.15">
      <c r="A404" t="s">
        <v>72</v>
      </c>
      <c r="B404" t="s">
        <v>8043</v>
      </c>
      <c r="C404" t="s">
        <v>74</v>
      </c>
      <c r="D404" t="s">
        <v>74</v>
      </c>
      <c r="E404" t="s">
        <v>74</v>
      </c>
      <c r="F404" t="s">
        <v>8044</v>
      </c>
      <c r="G404" t="s">
        <v>74</v>
      </c>
      <c r="H404" t="s">
        <v>74</v>
      </c>
      <c r="I404" t="s">
        <v>8045</v>
      </c>
      <c r="J404" t="s">
        <v>6444</v>
      </c>
      <c r="K404" t="s">
        <v>74</v>
      </c>
      <c r="L404" t="s">
        <v>74</v>
      </c>
      <c r="M404" t="s">
        <v>78</v>
      </c>
      <c r="N404" t="s">
        <v>79</v>
      </c>
      <c r="O404" t="s">
        <v>74</v>
      </c>
      <c r="P404" t="s">
        <v>74</v>
      </c>
      <c r="Q404" t="s">
        <v>74</v>
      </c>
      <c r="R404" t="s">
        <v>74</v>
      </c>
      <c r="S404" t="s">
        <v>74</v>
      </c>
      <c r="T404" t="s">
        <v>8046</v>
      </c>
      <c r="U404" t="s">
        <v>8047</v>
      </c>
      <c r="V404" t="s">
        <v>8048</v>
      </c>
      <c r="W404" t="s">
        <v>8049</v>
      </c>
      <c r="X404" t="s">
        <v>8050</v>
      </c>
      <c r="Y404" t="s">
        <v>8051</v>
      </c>
      <c r="Z404" t="s">
        <v>8052</v>
      </c>
      <c r="AA404" t="s">
        <v>8053</v>
      </c>
      <c r="AB404" t="s">
        <v>8054</v>
      </c>
      <c r="AC404" t="s">
        <v>8055</v>
      </c>
      <c r="AD404" t="s">
        <v>8056</v>
      </c>
      <c r="AE404" t="s">
        <v>8057</v>
      </c>
      <c r="AF404" t="s">
        <v>74</v>
      </c>
      <c r="AG404">
        <v>106</v>
      </c>
      <c r="AH404">
        <v>14</v>
      </c>
      <c r="AI404">
        <v>14</v>
      </c>
      <c r="AJ404">
        <v>1</v>
      </c>
      <c r="AK404">
        <v>30</v>
      </c>
      <c r="AL404" t="s">
        <v>1657</v>
      </c>
      <c r="AM404" t="s">
        <v>679</v>
      </c>
      <c r="AN404" t="s">
        <v>1658</v>
      </c>
      <c r="AO404" t="s">
        <v>6457</v>
      </c>
      <c r="AP404" t="s">
        <v>6458</v>
      </c>
      <c r="AQ404" t="s">
        <v>74</v>
      </c>
      <c r="AR404" t="s">
        <v>6459</v>
      </c>
      <c r="AS404" t="s">
        <v>6460</v>
      </c>
      <c r="AT404" t="s">
        <v>6000</v>
      </c>
      <c r="AU404">
        <v>2016</v>
      </c>
      <c r="AV404">
        <v>92</v>
      </c>
      <c r="AW404">
        <v>4</v>
      </c>
      <c r="AX404" t="s">
        <v>74</v>
      </c>
      <c r="AY404" t="s">
        <v>74</v>
      </c>
      <c r="AZ404" t="s">
        <v>74</v>
      </c>
      <c r="BA404" t="s">
        <v>74</v>
      </c>
      <c r="BB404" t="s">
        <v>74</v>
      </c>
      <c r="BC404" t="s">
        <v>74</v>
      </c>
      <c r="BD404" t="s">
        <v>8058</v>
      </c>
      <c r="BE404" t="s">
        <v>8059</v>
      </c>
      <c r="BF404" t="str">
        <f>HYPERLINK("http://dx.doi.org/10.1093/femsec/fiw039","http://dx.doi.org/10.1093/femsec/fiw039")</f>
        <v>http://dx.doi.org/10.1093/femsec/fiw039</v>
      </c>
      <c r="BG404" t="s">
        <v>74</v>
      </c>
      <c r="BH404" t="s">
        <v>74</v>
      </c>
      <c r="BI404">
        <v>9</v>
      </c>
      <c r="BJ404" t="s">
        <v>2538</v>
      </c>
      <c r="BK404" t="s">
        <v>102</v>
      </c>
      <c r="BL404" t="s">
        <v>2538</v>
      </c>
      <c r="BM404" t="s">
        <v>6463</v>
      </c>
      <c r="BN404">
        <v>26906099</v>
      </c>
      <c r="BO404" t="s">
        <v>420</v>
      </c>
      <c r="BP404" t="s">
        <v>74</v>
      </c>
      <c r="BQ404" t="s">
        <v>74</v>
      </c>
      <c r="BR404" t="s">
        <v>106</v>
      </c>
      <c r="BS404" t="s">
        <v>8060</v>
      </c>
      <c r="BT404" t="str">
        <f>HYPERLINK("https%3A%2F%2Fwww.webofscience.com%2Fwos%2Fwoscc%2Ffull-record%2FWOS:000374479400009","View Full Record in Web of Science")</f>
        <v>View Full Record in Web of Science</v>
      </c>
    </row>
    <row r="405" spans="1:72" x14ac:dyDescent="0.15">
      <c r="A405" t="s">
        <v>72</v>
      </c>
      <c r="B405" t="s">
        <v>8061</v>
      </c>
      <c r="C405" t="s">
        <v>74</v>
      </c>
      <c r="D405" t="s">
        <v>74</v>
      </c>
      <c r="E405" t="s">
        <v>74</v>
      </c>
      <c r="F405" t="s">
        <v>8062</v>
      </c>
      <c r="G405" t="s">
        <v>74</v>
      </c>
      <c r="H405" t="s">
        <v>74</v>
      </c>
      <c r="I405" t="s">
        <v>8063</v>
      </c>
      <c r="J405" t="s">
        <v>6444</v>
      </c>
      <c r="K405" t="s">
        <v>74</v>
      </c>
      <c r="L405" t="s">
        <v>74</v>
      </c>
      <c r="M405" t="s">
        <v>78</v>
      </c>
      <c r="N405" t="s">
        <v>79</v>
      </c>
      <c r="O405" t="s">
        <v>74</v>
      </c>
      <c r="P405" t="s">
        <v>74</v>
      </c>
      <c r="Q405" t="s">
        <v>74</v>
      </c>
      <c r="R405" t="s">
        <v>74</v>
      </c>
      <c r="S405" t="s">
        <v>74</v>
      </c>
      <c r="T405" t="s">
        <v>8064</v>
      </c>
      <c r="U405" t="s">
        <v>8065</v>
      </c>
      <c r="V405" t="s">
        <v>8066</v>
      </c>
      <c r="W405" t="s">
        <v>8067</v>
      </c>
      <c r="X405" t="s">
        <v>8068</v>
      </c>
      <c r="Y405" t="s">
        <v>8069</v>
      </c>
      <c r="Z405" t="s">
        <v>7906</v>
      </c>
      <c r="AA405" t="s">
        <v>8070</v>
      </c>
      <c r="AB405" t="s">
        <v>8071</v>
      </c>
      <c r="AC405" t="s">
        <v>8072</v>
      </c>
      <c r="AD405" t="s">
        <v>8073</v>
      </c>
      <c r="AE405" t="s">
        <v>8074</v>
      </c>
      <c r="AF405" t="s">
        <v>74</v>
      </c>
      <c r="AG405">
        <v>67</v>
      </c>
      <c r="AH405">
        <v>37</v>
      </c>
      <c r="AI405">
        <v>42</v>
      </c>
      <c r="AJ405">
        <v>2</v>
      </c>
      <c r="AK405">
        <v>44</v>
      </c>
      <c r="AL405" t="s">
        <v>1657</v>
      </c>
      <c r="AM405" t="s">
        <v>679</v>
      </c>
      <c r="AN405" t="s">
        <v>1658</v>
      </c>
      <c r="AO405" t="s">
        <v>6457</v>
      </c>
      <c r="AP405" t="s">
        <v>6458</v>
      </c>
      <c r="AQ405" t="s">
        <v>74</v>
      </c>
      <c r="AR405" t="s">
        <v>6459</v>
      </c>
      <c r="AS405" t="s">
        <v>6460</v>
      </c>
      <c r="AT405" t="s">
        <v>6000</v>
      </c>
      <c r="AU405">
        <v>2016</v>
      </c>
      <c r="AV405">
        <v>92</v>
      </c>
      <c r="AW405">
        <v>4</v>
      </c>
      <c r="AX405" t="s">
        <v>74</v>
      </c>
      <c r="AY405" t="s">
        <v>74</v>
      </c>
      <c r="AZ405" t="s">
        <v>74</v>
      </c>
      <c r="BA405" t="s">
        <v>74</v>
      </c>
      <c r="BB405" t="s">
        <v>74</v>
      </c>
      <c r="BC405" t="s">
        <v>74</v>
      </c>
      <c r="BD405" t="s">
        <v>8075</v>
      </c>
      <c r="BE405" t="s">
        <v>8076</v>
      </c>
      <c r="BF405" t="str">
        <f>HYPERLINK("http://dx.doi.org/10.1093/femsec/fiw051","http://dx.doi.org/10.1093/femsec/fiw051")</f>
        <v>http://dx.doi.org/10.1093/femsec/fiw051</v>
      </c>
      <c r="BG405" t="s">
        <v>74</v>
      </c>
      <c r="BH405" t="s">
        <v>74</v>
      </c>
      <c r="BI405">
        <v>10</v>
      </c>
      <c r="BJ405" t="s">
        <v>2538</v>
      </c>
      <c r="BK405" t="s">
        <v>102</v>
      </c>
      <c r="BL405" t="s">
        <v>2538</v>
      </c>
      <c r="BM405" t="s">
        <v>6463</v>
      </c>
      <c r="BN405">
        <v>26946500</v>
      </c>
      <c r="BO405" t="s">
        <v>8077</v>
      </c>
      <c r="BP405" t="s">
        <v>74</v>
      </c>
      <c r="BQ405" t="s">
        <v>74</v>
      </c>
      <c r="BR405" t="s">
        <v>106</v>
      </c>
      <c r="BS405" t="s">
        <v>8078</v>
      </c>
      <c r="BT405" t="str">
        <f>HYPERLINK("https%3A%2F%2Fwww.webofscience.com%2Fwos%2Fwoscc%2Ffull-record%2FWOS:000374479400016","View Full Record in Web of Science")</f>
        <v>View Full Record in Web of Science</v>
      </c>
    </row>
    <row r="406" spans="1:72" x14ac:dyDescent="0.15">
      <c r="A406" t="s">
        <v>72</v>
      </c>
      <c r="B406" t="s">
        <v>8079</v>
      </c>
      <c r="C406" t="s">
        <v>74</v>
      </c>
      <c r="D406" t="s">
        <v>74</v>
      </c>
      <c r="E406" t="s">
        <v>74</v>
      </c>
      <c r="F406" t="s">
        <v>8080</v>
      </c>
      <c r="G406" t="s">
        <v>74</v>
      </c>
      <c r="H406" t="s">
        <v>74</v>
      </c>
      <c r="I406" t="s">
        <v>8081</v>
      </c>
      <c r="J406" t="s">
        <v>8082</v>
      </c>
      <c r="K406" t="s">
        <v>74</v>
      </c>
      <c r="L406" t="s">
        <v>74</v>
      </c>
      <c r="M406" t="s">
        <v>78</v>
      </c>
      <c r="N406" t="s">
        <v>79</v>
      </c>
      <c r="O406" t="s">
        <v>74</v>
      </c>
      <c r="P406" t="s">
        <v>74</v>
      </c>
      <c r="Q406" t="s">
        <v>74</v>
      </c>
      <c r="R406" t="s">
        <v>74</v>
      </c>
      <c r="S406" t="s">
        <v>74</v>
      </c>
      <c r="T406" t="s">
        <v>8083</v>
      </c>
      <c r="U406" t="s">
        <v>8084</v>
      </c>
      <c r="V406" t="s">
        <v>8085</v>
      </c>
      <c r="W406" t="s">
        <v>8086</v>
      </c>
      <c r="X406" t="s">
        <v>8087</v>
      </c>
      <c r="Y406" t="s">
        <v>8088</v>
      </c>
      <c r="Z406" t="s">
        <v>8089</v>
      </c>
      <c r="AA406" t="s">
        <v>74</v>
      </c>
      <c r="AB406" t="s">
        <v>8090</v>
      </c>
      <c r="AC406" t="s">
        <v>74</v>
      </c>
      <c r="AD406" t="s">
        <v>74</v>
      </c>
      <c r="AE406" t="s">
        <v>74</v>
      </c>
      <c r="AF406" t="s">
        <v>74</v>
      </c>
      <c r="AG406">
        <v>54</v>
      </c>
      <c r="AH406">
        <v>3</v>
      </c>
      <c r="AI406">
        <v>3</v>
      </c>
      <c r="AJ406">
        <v>0</v>
      </c>
      <c r="AK406">
        <v>15</v>
      </c>
      <c r="AL406" t="s">
        <v>5677</v>
      </c>
      <c r="AM406" t="s">
        <v>773</v>
      </c>
      <c r="AN406" t="s">
        <v>5678</v>
      </c>
      <c r="AO406" t="s">
        <v>8091</v>
      </c>
      <c r="AP406" t="s">
        <v>8092</v>
      </c>
      <c r="AQ406" t="s">
        <v>74</v>
      </c>
      <c r="AR406" t="s">
        <v>8093</v>
      </c>
      <c r="AS406" t="s">
        <v>8094</v>
      </c>
      <c r="AT406" t="s">
        <v>6000</v>
      </c>
      <c r="AU406">
        <v>2016</v>
      </c>
      <c r="AV406">
        <v>51</v>
      </c>
      <c r="AW406" t="s">
        <v>74</v>
      </c>
      <c r="AX406" t="s">
        <v>74</v>
      </c>
      <c r="AY406" t="s">
        <v>74</v>
      </c>
      <c r="AZ406" t="s">
        <v>74</v>
      </c>
      <c r="BA406" t="s">
        <v>74</v>
      </c>
      <c r="BB406">
        <v>64</v>
      </c>
      <c r="BC406">
        <v>69</v>
      </c>
      <c r="BD406" t="s">
        <v>74</v>
      </c>
      <c r="BE406" t="s">
        <v>8095</v>
      </c>
      <c r="BF406" t="str">
        <f>HYPERLINK("http://dx.doi.org/10.1016/j.fsi.2016.02.006","http://dx.doi.org/10.1016/j.fsi.2016.02.006")</f>
        <v>http://dx.doi.org/10.1016/j.fsi.2016.02.006</v>
      </c>
      <c r="BG406" t="s">
        <v>74</v>
      </c>
      <c r="BH406" t="s">
        <v>74</v>
      </c>
      <c r="BI406">
        <v>6</v>
      </c>
      <c r="BJ406" t="s">
        <v>8096</v>
      </c>
      <c r="BK406" t="s">
        <v>102</v>
      </c>
      <c r="BL406" t="s">
        <v>8096</v>
      </c>
      <c r="BM406" t="s">
        <v>8097</v>
      </c>
      <c r="BN406">
        <v>26873875</v>
      </c>
      <c r="BO406" t="s">
        <v>74</v>
      </c>
      <c r="BP406" t="s">
        <v>74</v>
      </c>
      <c r="BQ406" t="s">
        <v>74</v>
      </c>
      <c r="BR406" t="s">
        <v>106</v>
      </c>
      <c r="BS406" t="s">
        <v>8098</v>
      </c>
      <c r="BT406" t="str">
        <f>HYPERLINK("https%3A%2F%2Fwww.webofscience.com%2Fwos%2Fwoscc%2Ffull-record%2FWOS:000374617700009","View Full Record in Web of Science")</f>
        <v>View Full Record in Web of Science</v>
      </c>
    </row>
    <row r="407" spans="1:72" x14ac:dyDescent="0.15">
      <c r="A407" t="s">
        <v>72</v>
      </c>
      <c r="B407" t="s">
        <v>8099</v>
      </c>
      <c r="C407" t="s">
        <v>74</v>
      </c>
      <c r="D407" t="s">
        <v>74</v>
      </c>
      <c r="E407" t="s">
        <v>74</v>
      </c>
      <c r="F407" t="s">
        <v>8100</v>
      </c>
      <c r="G407" t="s">
        <v>74</v>
      </c>
      <c r="H407" t="s">
        <v>74</v>
      </c>
      <c r="I407" t="s">
        <v>8101</v>
      </c>
      <c r="J407" t="s">
        <v>6858</v>
      </c>
      <c r="K407" t="s">
        <v>74</v>
      </c>
      <c r="L407" t="s">
        <v>74</v>
      </c>
      <c r="M407" t="s">
        <v>78</v>
      </c>
      <c r="N407" t="s">
        <v>573</v>
      </c>
      <c r="O407" t="s">
        <v>74</v>
      </c>
      <c r="P407" t="s">
        <v>74</v>
      </c>
      <c r="Q407" t="s">
        <v>74</v>
      </c>
      <c r="R407" t="s">
        <v>74</v>
      </c>
      <c r="S407" t="s">
        <v>74</v>
      </c>
      <c r="T407" t="s">
        <v>74</v>
      </c>
      <c r="U407" t="s">
        <v>74</v>
      </c>
      <c r="V407" t="s">
        <v>74</v>
      </c>
      <c r="W407" t="s">
        <v>8102</v>
      </c>
      <c r="X407" t="s">
        <v>8103</v>
      </c>
      <c r="Y407" t="s">
        <v>8104</v>
      </c>
      <c r="Z407" t="s">
        <v>8105</v>
      </c>
      <c r="AA407" t="s">
        <v>8106</v>
      </c>
      <c r="AB407" t="s">
        <v>8107</v>
      </c>
      <c r="AC407" t="s">
        <v>74</v>
      </c>
      <c r="AD407" t="s">
        <v>74</v>
      </c>
      <c r="AE407" t="s">
        <v>74</v>
      </c>
      <c r="AF407" t="s">
        <v>74</v>
      </c>
      <c r="AG407">
        <v>11</v>
      </c>
      <c r="AH407">
        <v>1</v>
      </c>
      <c r="AI407">
        <v>1</v>
      </c>
      <c r="AJ407">
        <v>1</v>
      </c>
      <c r="AK407">
        <v>17</v>
      </c>
      <c r="AL407" t="s">
        <v>124</v>
      </c>
      <c r="AM407" t="s">
        <v>125</v>
      </c>
      <c r="AN407" t="s">
        <v>126</v>
      </c>
      <c r="AO407" t="s">
        <v>6871</v>
      </c>
      <c r="AP407" t="s">
        <v>6872</v>
      </c>
      <c r="AQ407" t="s">
        <v>74</v>
      </c>
      <c r="AR407" t="s">
        <v>6873</v>
      </c>
      <c r="AS407" t="s">
        <v>6874</v>
      </c>
      <c r="AT407" t="s">
        <v>6000</v>
      </c>
      <c r="AU407">
        <v>2016</v>
      </c>
      <c r="AV407">
        <v>25</v>
      </c>
      <c r="AW407" t="s">
        <v>74</v>
      </c>
      <c r="AX407" t="s">
        <v>74</v>
      </c>
      <c r="AY407">
        <v>1</v>
      </c>
      <c r="AZ407" t="s">
        <v>589</v>
      </c>
      <c r="BA407" t="s">
        <v>74</v>
      </c>
      <c r="BB407">
        <v>1</v>
      </c>
      <c r="BC407">
        <v>4</v>
      </c>
      <c r="BD407" t="s">
        <v>74</v>
      </c>
      <c r="BE407" t="s">
        <v>8108</v>
      </c>
      <c r="BF407" t="str">
        <f>HYPERLINK("http://dx.doi.org/10.1111/fog.12148","http://dx.doi.org/10.1111/fog.12148")</f>
        <v>http://dx.doi.org/10.1111/fog.12148</v>
      </c>
      <c r="BG407" t="s">
        <v>74</v>
      </c>
      <c r="BH407" t="s">
        <v>74</v>
      </c>
      <c r="BI407">
        <v>4</v>
      </c>
      <c r="BJ407" t="s">
        <v>6876</v>
      </c>
      <c r="BK407" t="s">
        <v>102</v>
      </c>
      <c r="BL407" t="s">
        <v>6876</v>
      </c>
      <c r="BM407" t="s">
        <v>6877</v>
      </c>
      <c r="BN407" t="s">
        <v>74</v>
      </c>
      <c r="BO407" t="s">
        <v>74</v>
      </c>
      <c r="BP407" t="s">
        <v>74</v>
      </c>
      <c r="BQ407" t="s">
        <v>74</v>
      </c>
      <c r="BR407" t="s">
        <v>106</v>
      </c>
      <c r="BS407" t="s">
        <v>8109</v>
      </c>
      <c r="BT407" t="str">
        <f>HYPERLINK("https%3A%2F%2Fwww.webofscience.com%2Fwos%2Fwoscc%2Ffull-record%2FWOS:000373919200001","View Full Record in Web of Science")</f>
        <v>View Full Record in Web of Science</v>
      </c>
    </row>
    <row r="408" spans="1:72" x14ac:dyDescent="0.15">
      <c r="A408" t="s">
        <v>72</v>
      </c>
      <c r="B408" t="s">
        <v>8110</v>
      </c>
      <c r="C408" t="s">
        <v>74</v>
      </c>
      <c r="D408" t="s">
        <v>74</v>
      </c>
      <c r="E408" t="s">
        <v>74</v>
      </c>
      <c r="F408" t="s">
        <v>8111</v>
      </c>
      <c r="G408" t="s">
        <v>74</v>
      </c>
      <c r="H408" t="s">
        <v>74</v>
      </c>
      <c r="I408" t="s">
        <v>8112</v>
      </c>
      <c r="J408" t="s">
        <v>5076</v>
      </c>
      <c r="K408" t="s">
        <v>74</v>
      </c>
      <c r="L408" t="s">
        <v>74</v>
      </c>
      <c r="M408" t="s">
        <v>78</v>
      </c>
      <c r="N408" t="s">
        <v>79</v>
      </c>
      <c r="O408" t="s">
        <v>74</v>
      </c>
      <c r="P408" t="s">
        <v>74</v>
      </c>
      <c r="Q408" t="s">
        <v>74</v>
      </c>
      <c r="R408" t="s">
        <v>74</v>
      </c>
      <c r="S408" t="s">
        <v>74</v>
      </c>
      <c r="T408" t="s">
        <v>8113</v>
      </c>
      <c r="U408" t="s">
        <v>8114</v>
      </c>
      <c r="V408" t="s">
        <v>8115</v>
      </c>
      <c r="W408" t="s">
        <v>8116</v>
      </c>
      <c r="X408" t="s">
        <v>8117</v>
      </c>
      <c r="Y408" t="s">
        <v>8118</v>
      </c>
      <c r="Z408" t="s">
        <v>8119</v>
      </c>
      <c r="AA408" t="s">
        <v>8120</v>
      </c>
      <c r="AB408" t="s">
        <v>8121</v>
      </c>
      <c r="AC408" t="s">
        <v>8122</v>
      </c>
      <c r="AD408" t="s">
        <v>8123</v>
      </c>
      <c r="AE408" t="s">
        <v>8124</v>
      </c>
      <c r="AF408" t="s">
        <v>74</v>
      </c>
      <c r="AG408">
        <v>48</v>
      </c>
      <c r="AH408">
        <v>5</v>
      </c>
      <c r="AI408">
        <v>5</v>
      </c>
      <c r="AJ408">
        <v>0</v>
      </c>
      <c r="AK408">
        <v>26</v>
      </c>
      <c r="AL408" t="s">
        <v>626</v>
      </c>
      <c r="AM408" t="s">
        <v>583</v>
      </c>
      <c r="AN408" t="s">
        <v>627</v>
      </c>
      <c r="AO408" t="s">
        <v>5087</v>
      </c>
      <c r="AP408" t="s">
        <v>5088</v>
      </c>
      <c r="AQ408" t="s">
        <v>74</v>
      </c>
      <c r="AR408" t="s">
        <v>5089</v>
      </c>
      <c r="AS408" t="s">
        <v>5090</v>
      </c>
      <c r="AT408" t="s">
        <v>6000</v>
      </c>
      <c r="AU408">
        <v>2016</v>
      </c>
      <c r="AV408">
        <v>176</v>
      </c>
      <c r="AW408" t="s">
        <v>74</v>
      </c>
      <c r="AX408" t="s">
        <v>74</v>
      </c>
      <c r="AY408" t="s">
        <v>74</v>
      </c>
      <c r="AZ408" t="s">
        <v>74</v>
      </c>
      <c r="BA408" t="s">
        <v>74</v>
      </c>
      <c r="BB408">
        <v>22</v>
      </c>
      <c r="BC408">
        <v>29</v>
      </c>
      <c r="BD408" t="s">
        <v>74</v>
      </c>
      <c r="BE408" t="s">
        <v>8125</v>
      </c>
      <c r="BF408" t="str">
        <f>HYPERLINK("http://dx.doi.org/10.1016/j.fishres.2015.11.025","http://dx.doi.org/10.1016/j.fishres.2015.11.025")</f>
        <v>http://dx.doi.org/10.1016/j.fishres.2015.11.025</v>
      </c>
      <c r="BG408" t="s">
        <v>74</v>
      </c>
      <c r="BH408" t="s">
        <v>74</v>
      </c>
      <c r="BI408">
        <v>8</v>
      </c>
      <c r="BJ408" t="s">
        <v>1070</v>
      </c>
      <c r="BK408" t="s">
        <v>102</v>
      </c>
      <c r="BL408" t="s">
        <v>1070</v>
      </c>
      <c r="BM408" t="s">
        <v>8126</v>
      </c>
      <c r="BN408" t="s">
        <v>74</v>
      </c>
      <c r="BO408" t="s">
        <v>74</v>
      </c>
      <c r="BP408" t="s">
        <v>74</v>
      </c>
      <c r="BQ408" t="s">
        <v>74</v>
      </c>
      <c r="BR408" t="s">
        <v>106</v>
      </c>
      <c r="BS408" t="s">
        <v>8127</v>
      </c>
      <c r="BT408" t="str">
        <f>HYPERLINK("https%3A%2F%2Fwww.webofscience.com%2Fwos%2Fwoscc%2Ffull-record%2FWOS:000370307000003","View Full Record in Web of Science")</f>
        <v>View Full Record in Web of Science</v>
      </c>
    </row>
    <row r="409" spans="1:72" x14ac:dyDescent="0.15">
      <c r="A409" t="s">
        <v>72</v>
      </c>
      <c r="B409" t="s">
        <v>8128</v>
      </c>
      <c r="C409" t="s">
        <v>74</v>
      </c>
      <c r="D409" t="s">
        <v>74</v>
      </c>
      <c r="E409" t="s">
        <v>74</v>
      </c>
      <c r="F409" t="s">
        <v>8129</v>
      </c>
      <c r="G409" t="s">
        <v>74</v>
      </c>
      <c r="H409" t="s">
        <v>74</v>
      </c>
      <c r="I409" t="s">
        <v>8130</v>
      </c>
      <c r="J409" t="s">
        <v>8131</v>
      </c>
      <c r="K409" t="s">
        <v>74</v>
      </c>
      <c r="L409" t="s">
        <v>74</v>
      </c>
      <c r="M409" t="s">
        <v>78</v>
      </c>
      <c r="N409" t="s">
        <v>79</v>
      </c>
      <c r="O409" t="s">
        <v>74</v>
      </c>
      <c r="P409" t="s">
        <v>74</v>
      </c>
      <c r="Q409" t="s">
        <v>74</v>
      </c>
      <c r="R409" t="s">
        <v>74</v>
      </c>
      <c r="S409" t="s">
        <v>74</v>
      </c>
      <c r="T409" t="s">
        <v>8132</v>
      </c>
      <c r="U409" t="s">
        <v>8133</v>
      </c>
      <c r="V409" t="s">
        <v>8134</v>
      </c>
      <c r="W409" t="s">
        <v>8135</v>
      </c>
      <c r="X409" t="s">
        <v>7587</v>
      </c>
      <c r="Y409" t="s">
        <v>8136</v>
      </c>
      <c r="Z409" t="s">
        <v>8137</v>
      </c>
      <c r="AA409" t="s">
        <v>8138</v>
      </c>
      <c r="AB409" t="s">
        <v>74</v>
      </c>
      <c r="AC409" t="s">
        <v>8139</v>
      </c>
      <c r="AD409" t="s">
        <v>8140</v>
      </c>
      <c r="AE409" t="s">
        <v>8141</v>
      </c>
      <c r="AF409" t="s">
        <v>74</v>
      </c>
      <c r="AG409">
        <v>20</v>
      </c>
      <c r="AH409">
        <v>11</v>
      </c>
      <c r="AI409">
        <v>12</v>
      </c>
      <c r="AJ409">
        <v>5</v>
      </c>
      <c r="AK409">
        <v>65</v>
      </c>
      <c r="AL409" t="s">
        <v>194</v>
      </c>
      <c r="AM409" t="s">
        <v>262</v>
      </c>
      <c r="AN409" t="s">
        <v>263</v>
      </c>
      <c r="AO409" t="s">
        <v>8142</v>
      </c>
      <c r="AP409" t="s">
        <v>8143</v>
      </c>
      <c r="AQ409" t="s">
        <v>74</v>
      </c>
      <c r="AR409" t="s">
        <v>8144</v>
      </c>
      <c r="AS409" t="s">
        <v>8145</v>
      </c>
      <c r="AT409" t="s">
        <v>6000</v>
      </c>
      <c r="AU409">
        <v>2016</v>
      </c>
      <c r="AV409">
        <v>9</v>
      </c>
      <c r="AW409">
        <v>4</v>
      </c>
      <c r="AX409" t="s">
        <v>74</v>
      </c>
      <c r="AY409" t="s">
        <v>74</v>
      </c>
      <c r="AZ409" t="s">
        <v>74</v>
      </c>
      <c r="BA409" t="s">
        <v>74</v>
      </c>
      <c r="BB409">
        <v>621</v>
      </c>
      <c r="BC409">
        <v>627</v>
      </c>
      <c r="BD409" t="s">
        <v>74</v>
      </c>
      <c r="BE409" t="s">
        <v>8146</v>
      </c>
      <c r="BF409" t="str">
        <f>HYPERLINK("http://dx.doi.org/10.1007/s11947-015-1658-x","http://dx.doi.org/10.1007/s11947-015-1658-x")</f>
        <v>http://dx.doi.org/10.1007/s11947-015-1658-x</v>
      </c>
      <c r="BG409" t="s">
        <v>74</v>
      </c>
      <c r="BH409" t="s">
        <v>74</v>
      </c>
      <c r="BI409">
        <v>7</v>
      </c>
      <c r="BJ409" t="s">
        <v>8147</v>
      </c>
      <c r="BK409" t="s">
        <v>102</v>
      </c>
      <c r="BL409" t="s">
        <v>8147</v>
      </c>
      <c r="BM409" t="s">
        <v>8148</v>
      </c>
      <c r="BN409" t="s">
        <v>74</v>
      </c>
      <c r="BO409" t="s">
        <v>74</v>
      </c>
      <c r="BP409" t="s">
        <v>74</v>
      </c>
      <c r="BQ409" t="s">
        <v>74</v>
      </c>
      <c r="BR409" t="s">
        <v>106</v>
      </c>
      <c r="BS409" t="s">
        <v>8149</v>
      </c>
      <c r="BT409" t="str">
        <f>HYPERLINK("https%3A%2F%2Fwww.webofscience.com%2Fwos%2Fwoscc%2Ffull-record%2FWOS:000371614300007","View Full Record in Web of Science")</f>
        <v>View Full Record in Web of Science</v>
      </c>
    </row>
    <row r="410" spans="1:72" x14ac:dyDescent="0.15">
      <c r="A410" t="s">
        <v>72</v>
      </c>
      <c r="B410" t="s">
        <v>8150</v>
      </c>
      <c r="C410" t="s">
        <v>74</v>
      </c>
      <c r="D410" t="s">
        <v>74</v>
      </c>
      <c r="E410" t="s">
        <v>74</v>
      </c>
      <c r="F410" t="s">
        <v>8151</v>
      </c>
      <c r="G410" t="s">
        <v>74</v>
      </c>
      <c r="H410" t="s">
        <v>74</v>
      </c>
      <c r="I410" t="s">
        <v>8152</v>
      </c>
      <c r="J410" t="s">
        <v>8153</v>
      </c>
      <c r="K410" t="s">
        <v>74</v>
      </c>
      <c r="L410" t="s">
        <v>74</v>
      </c>
      <c r="M410" t="s">
        <v>78</v>
      </c>
      <c r="N410" t="s">
        <v>79</v>
      </c>
      <c r="O410" t="s">
        <v>74</v>
      </c>
      <c r="P410" t="s">
        <v>74</v>
      </c>
      <c r="Q410" t="s">
        <v>74</v>
      </c>
      <c r="R410" t="s">
        <v>74</v>
      </c>
      <c r="S410" t="s">
        <v>74</v>
      </c>
      <c r="T410" t="s">
        <v>8154</v>
      </c>
      <c r="U410" t="s">
        <v>8155</v>
      </c>
      <c r="V410" t="s">
        <v>8156</v>
      </c>
      <c r="W410" t="s">
        <v>8157</v>
      </c>
      <c r="X410" t="s">
        <v>8158</v>
      </c>
      <c r="Y410" t="s">
        <v>8159</v>
      </c>
      <c r="Z410" t="s">
        <v>8160</v>
      </c>
      <c r="AA410" t="s">
        <v>8161</v>
      </c>
      <c r="AB410" t="s">
        <v>8162</v>
      </c>
      <c r="AC410" t="s">
        <v>8163</v>
      </c>
      <c r="AD410" t="s">
        <v>8164</v>
      </c>
      <c r="AE410" t="s">
        <v>8165</v>
      </c>
      <c r="AF410" t="s">
        <v>74</v>
      </c>
      <c r="AG410">
        <v>47</v>
      </c>
      <c r="AH410">
        <v>44</v>
      </c>
      <c r="AI410">
        <v>46</v>
      </c>
      <c r="AJ410">
        <v>3</v>
      </c>
      <c r="AK410">
        <v>49</v>
      </c>
      <c r="AL410" t="s">
        <v>240</v>
      </c>
      <c r="AM410" t="s">
        <v>241</v>
      </c>
      <c r="AN410" t="s">
        <v>242</v>
      </c>
      <c r="AO410" t="s">
        <v>8166</v>
      </c>
      <c r="AP410" t="s">
        <v>8167</v>
      </c>
      <c r="AQ410" t="s">
        <v>74</v>
      </c>
      <c r="AR410" t="s">
        <v>8168</v>
      </c>
      <c r="AS410" t="s">
        <v>8169</v>
      </c>
      <c r="AT410" t="s">
        <v>6380</v>
      </c>
      <c r="AU410">
        <v>2016</v>
      </c>
      <c r="AV410">
        <v>229</v>
      </c>
      <c r="AW410" t="s">
        <v>74</v>
      </c>
      <c r="AX410" t="s">
        <v>74</v>
      </c>
      <c r="AY410" t="s">
        <v>74</v>
      </c>
      <c r="AZ410" t="s">
        <v>74</v>
      </c>
      <c r="BA410" t="s">
        <v>74</v>
      </c>
      <c r="BB410">
        <v>8</v>
      </c>
      <c r="BC410">
        <v>18</v>
      </c>
      <c r="BD410" t="s">
        <v>74</v>
      </c>
      <c r="BE410" t="s">
        <v>8170</v>
      </c>
      <c r="BF410" t="str">
        <f>HYPERLINK("http://dx.doi.org/10.1016/j.ygcen.2016.02.013","http://dx.doi.org/10.1016/j.ygcen.2016.02.013")</f>
        <v>http://dx.doi.org/10.1016/j.ygcen.2016.02.013</v>
      </c>
      <c r="BG410" t="s">
        <v>74</v>
      </c>
      <c r="BH410" t="s">
        <v>74</v>
      </c>
      <c r="BI410">
        <v>11</v>
      </c>
      <c r="BJ410" t="s">
        <v>8171</v>
      </c>
      <c r="BK410" t="s">
        <v>102</v>
      </c>
      <c r="BL410" t="s">
        <v>8171</v>
      </c>
      <c r="BM410" t="s">
        <v>8172</v>
      </c>
      <c r="BN410">
        <v>26883686</v>
      </c>
      <c r="BO410" t="s">
        <v>74</v>
      </c>
      <c r="BP410" t="s">
        <v>74</v>
      </c>
      <c r="BQ410" t="s">
        <v>74</v>
      </c>
      <c r="BR410" t="s">
        <v>106</v>
      </c>
      <c r="BS410" t="s">
        <v>8173</v>
      </c>
      <c r="BT410" t="str">
        <f>HYPERLINK("https%3A%2F%2Fwww.webofscience.com%2Fwos%2Fwoscc%2Ffull-record%2FWOS:000375734800002","View Full Record in Web of Science")</f>
        <v>View Full Record in Web of Science</v>
      </c>
    </row>
    <row r="411" spans="1:72" x14ac:dyDescent="0.15">
      <c r="A411" t="s">
        <v>72</v>
      </c>
      <c r="B411" t="s">
        <v>8174</v>
      </c>
      <c r="C411" t="s">
        <v>74</v>
      </c>
      <c r="D411" t="s">
        <v>74</v>
      </c>
      <c r="E411" t="s">
        <v>74</v>
      </c>
      <c r="F411" t="s">
        <v>8175</v>
      </c>
      <c r="G411" t="s">
        <v>74</v>
      </c>
      <c r="H411" t="s">
        <v>74</v>
      </c>
      <c r="I411" t="s">
        <v>8176</v>
      </c>
      <c r="J411" t="s">
        <v>3351</v>
      </c>
      <c r="K411" t="s">
        <v>74</v>
      </c>
      <c r="L411" t="s">
        <v>74</v>
      </c>
      <c r="M411" t="s">
        <v>78</v>
      </c>
      <c r="N411" t="s">
        <v>79</v>
      </c>
      <c r="O411" t="s">
        <v>74</v>
      </c>
      <c r="P411" t="s">
        <v>74</v>
      </c>
      <c r="Q411" t="s">
        <v>74</v>
      </c>
      <c r="R411" t="s">
        <v>74</v>
      </c>
      <c r="S411" t="s">
        <v>74</v>
      </c>
      <c r="T411" t="s">
        <v>8177</v>
      </c>
      <c r="U411" t="s">
        <v>8178</v>
      </c>
      <c r="V411" t="s">
        <v>8179</v>
      </c>
      <c r="W411" t="s">
        <v>8180</v>
      </c>
      <c r="X411" t="s">
        <v>8181</v>
      </c>
      <c r="Y411" t="s">
        <v>8182</v>
      </c>
      <c r="Z411" t="s">
        <v>8183</v>
      </c>
      <c r="AA411" t="s">
        <v>8184</v>
      </c>
      <c r="AB411" t="s">
        <v>8185</v>
      </c>
      <c r="AC411" t="s">
        <v>8186</v>
      </c>
      <c r="AD411" t="s">
        <v>8187</v>
      </c>
      <c r="AE411" t="s">
        <v>8188</v>
      </c>
      <c r="AF411" t="s">
        <v>74</v>
      </c>
      <c r="AG411">
        <v>65</v>
      </c>
      <c r="AH411">
        <v>13</v>
      </c>
      <c r="AI411">
        <v>16</v>
      </c>
      <c r="AJ411">
        <v>0</v>
      </c>
      <c r="AK411">
        <v>4</v>
      </c>
      <c r="AL411" t="s">
        <v>1657</v>
      </c>
      <c r="AM411" t="s">
        <v>679</v>
      </c>
      <c r="AN411" t="s">
        <v>1658</v>
      </c>
      <c r="AO411" t="s">
        <v>3364</v>
      </c>
      <c r="AP411" t="s">
        <v>3365</v>
      </c>
      <c r="AQ411" t="s">
        <v>74</v>
      </c>
      <c r="AR411" t="s">
        <v>3366</v>
      </c>
      <c r="AS411" t="s">
        <v>3367</v>
      </c>
      <c r="AT411" t="s">
        <v>6000</v>
      </c>
      <c r="AU411">
        <v>2016</v>
      </c>
      <c r="AV411">
        <v>205</v>
      </c>
      <c r="AW411">
        <v>1</v>
      </c>
      <c r="AX411" t="s">
        <v>74</v>
      </c>
      <c r="AY411" t="s">
        <v>74</v>
      </c>
      <c r="AZ411" t="s">
        <v>74</v>
      </c>
      <c r="BA411" t="s">
        <v>74</v>
      </c>
      <c r="BB411">
        <v>1</v>
      </c>
      <c r="BC411">
        <v>21</v>
      </c>
      <c r="BD411" t="s">
        <v>74</v>
      </c>
      <c r="BE411" t="s">
        <v>8189</v>
      </c>
      <c r="BF411" t="str">
        <f>HYPERLINK("http://dx.doi.org/10.1093/gji/ggv532","http://dx.doi.org/10.1093/gji/ggv532")</f>
        <v>http://dx.doi.org/10.1093/gji/ggv532</v>
      </c>
      <c r="BG411" t="s">
        <v>74</v>
      </c>
      <c r="BH411" t="s">
        <v>74</v>
      </c>
      <c r="BI411">
        <v>21</v>
      </c>
      <c r="BJ411" t="s">
        <v>727</v>
      </c>
      <c r="BK411" t="s">
        <v>102</v>
      </c>
      <c r="BL411" t="s">
        <v>727</v>
      </c>
      <c r="BM411" t="s">
        <v>8190</v>
      </c>
      <c r="BN411" t="s">
        <v>74</v>
      </c>
      <c r="BO411" t="s">
        <v>8191</v>
      </c>
      <c r="BP411" t="s">
        <v>74</v>
      </c>
      <c r="BQ411" t="s">
        <v>74</v>
      </c>
      <c r="BR411" t="s">
        <v>106</v>
      </c>
      <c r="BS411" t="s">
        <v>8192</v>
      </c>
      <c r="BT411" t="str">
        <f>HYPERLINK("https%3A%2F%2Fwww.webofscience.com%2Fwos%2Fwoscc%2Ffull-record%2FWOS:000374479800001","View Full Record in Web of Science")</f>
        <v>View Full Record in Web of Science</v>
      </c>
    </row>
    <row r="412" spans="1:72" x14ac:dyDescent="0.15">
      <c r="A412" t="s">
        <v>72</v>
      </c>
      <c r="B412" t="s">
        <v>8193</v>
      </c>
      <c r="C412" t="s">
        <v>74</v>
      </c>
      <c r="D412" t="s">
        <v>74</v>
      </c>
      <c r="E412" t="s">
        <v>74</v>
      </c>
      <c r="F412" t="s">
        <v>8194</v>
      </c>
      <c r="G412" t="s">
        <v>74</v>
      </c>
      <c r="H412" t="s">
        <v>74</v>
      </c>
      <c r="I412" t="s">
        <v>8195</v>
      </c>
      <c r="J412" t="s">
        <v>6741</v>
      </c>
      <c r="K412" t="s">
        <v>74</v>
      </c>
      <c r="L412" t="s">
        <v>74</v>
      </c>
      <c r="M412" t="s">
        <v>78</v>
      </c>
      <c r="N412" t="s">
        <v>79</v>
      </c>
      <c r="O412" t="s">
        <v>74</v>
      </c>
      <c r="P412" t="s">
        <v>74</v>
      </c>
      <c r="Q412" t="s">
        <v>74</v>
      </c>
      <c r="R412" t="s">
        <v>74</v>
      </c>
      <c r="S412" t="s">
        <v>74</v>
      </c>
      <c r="T412" t="s">
        <v>8196</v>
      </c>
      <c r="U412" t="s">
        <v>8197</v>
      </c>
      <c r="V412" t="s">
        <v>8198</v>
      </c>
      <c r="W412" t="s">
        <v>8199</v>
      </c>
      <c r="X412" t="s">
        <v>8200</v>
      </c>
      <c r="Y412" t="s">
        <v>8201</v>
      </c>
      <c r="Z412" t="s">
        <v>8202</v>
      </c>
      <c r="AA412" t="s">
        <v>8203</v>
      </c>
      <c r="AB412" t="s">
        <v>8204</v>
      </c>
      <c r="AC412" t="s">
        <v>8205</v>
      </c>
      <c r="AD412" t="s">
        <v>8206</v>
      </c>
      <c r="AE412" t="s">
        <v>8207</v>
      </c>
      <c r="AF412" t="s">
        <v>74</v>
      </c>
      <c r="AG412">
        <v>80</v>
      </c>
      <c r="AH412">
        <v>27</v>
      </c>
      <c r="AI412">
        <v>28</v>
      </c>
      <c r="AJ412">
        <v>1</v>
      </c>
      <c r="AK412">
        <v>30</v>
      </c>
      <c r="AL412" t="s">
        <v>626</v>
      </c>
      <c r="AM412" t="s">
        <v>583</v>
      </c>
      <c r="AN412" t="s">
        <v>627</v>
      </c>
      <c r="AO412" t="s">
        <v>6752</v>
      </c>
      <c r="AP412" t="s">
        <v>6753</v>
      </c>
      <c r="AQ412" t="s">
        <v>74</v>
      </c>
      <c r="AR412" t="s">
        <v>6754</v>
      </c>
      <c r="AS412" t="s">
        <v>6755</v>
      </c>
      <c r="AT412" t="s">
        <v>6000</v>
      </c>
      <c r="AU412">
        <v>2016</v>
      </c>
      <c r="AV412">
        <v>139</v>
      </c>
      <c r="AW412" t="s">
        <v>74</v>
      </c>
      <c r="AX412" t="s">
        <v>74</v>
      </c>
      <c r="AY412" t="s">
        <v>74</v>
      </c>
      <c r="AZ412" t="s">
        <v>74</v>
      </c>
      <c r="BA412" t="s">
        <v>74</v>
      </c>
      <c r="BB412">
        <v>128</v>
      </c>
      <c r="BC412">
        <v>140</v>
      </c>
      <c r="BD412" t="s">
        <v>74</v>
      </c>
      <c r="BE412" t="s">
        <v>8208</v>
      </c>
      <c r="BF412" t="str">
        <f>HYPERLINK("http://dx.doi.org/10.1016/j.gloplacha.2015.12.020","http://dx.doi.org/10.1016/j.gloplacha.2015.12.020")</f>
        <v>http://dx.doi.org/10.1016/j.gloplacha.2015.12.020</v>
      </c>
      <c r="BG412" t="s">
        <v>74</v>
      </c>
      <c r="BH412" t="s">
        <v>74</v>
      </c>
      <c r="BI412">
        <v>13</v>
      </c>
      <c r="BJ412" t="s">
        <v>1904</v>
      </c>
      <c r="BK412" t="s">
        <v>102</v>
      </c>
      <c r="BL412" t="s">
        <v>1905</v>
      </c>
      <c r="BM412" t="s">
        <v>6757</v>
      </c>
      <c r="BN412" t="s">
        <v>74</v>
      </c>
      <c r="BO412" t="s">
        <v>160</v>
      </c>
      <c r="BP412" t="s">
        <v>74</v>
      </c>
      <c r="BQ412" t="s">
        <v>74</v>
      </c>
      <c r="BR412" t="s">
        <v>106</v>
      </c>
      <c r="BS412" t="s">
        <v>8209</v>
      </c>
      <c r="BT412" t="str">
        <f>HYPERLINK("https%3A%2F%2Fwww.webofscience.com%2Fwos%2Fwoscc%2Ffull-record%2FWOS:000374626700011","View Full Record in Web of Science")</f>
        <v>View Full Record in Web of Science</v>
      </c>
    </row>
    <row r="413" spans="1:72" x14ac:dyDescent="0.15">
      <c r="A413" t="s">
        <v>72</v>
      </c>
      <c r="B413" t="s">
        <v>8210</v>
      </c>
      <c r="C413" t="s">
        <v>74</v>
      </c>
      <c r="D413" t="s">
        <v>74</v>
      </c>
      <c r="E413" t="s">
        <v>74</v>
      </c>
      <c r="F413" t="s">
        <v>8211</v>
      </c>
      <c r="G413" t="s">
        <v>74</v>
      </c>
      <c r="H413" t="s">
        <v>74</v>
      </c>
      <c r="I413" t="s">
        <v>8212</v>
      </c>
      <c r="J413" t="s">
        <v>3391</v>
      </c>
      <c r="K413" t="s">
        <v>74</v>
      </c>
      <c r="L413" t="s">
        <v>74</v>
      </c>
      <c r="M413" t="s">
        <v>78</v>
      </c>
      <c r="N413" t="s">
        <v>79</v>
      </c>
      <c r="O413" t="s">
        <v>74</v>
      </c>
      <c r="P413" t="s">
        <v>74</v>
      </c>
      <c r="Q413" t="s">
        <v>74</v>
      </c>
      <c r="R413" t="s">
        <v>74</v>
      </c>
      <c r="S413" t="s">
        <v>74</v>
      </c>
      <c r="T413" t="s">
        <v>8213</v>
      </c>
      <c r="U413" t="s">
        <v>8214</v>
      </c>
      <c r="V413" t="s">
        <v>8215</v>
      </c>
      <c r="W413" t="s">
        <v>8216</v>
      </c>
      <c r="X413" t="s">
        <v>8217</v>
      </c>
      <c r="Y413" t="s">
        <v>8218</v>
      </c>
      <c r="Z413" t="s">
        <v>8219</v>
      </c>
      <c r="AA413" t="s">
        <v>8220</v>
      </c>
      <c r="AB413" t="s">
        <v>8221</v>
      </c>
      <c r="AC413" t="s">
        <v>8222</v>
      </c>
      <c r="AD413" t="s">
        <v>8223</v>
      </c>
      <c r="AE413" t="s">
        <v>8224</v>
      </c>
      <c r="AF413" t="s">
        <v>74</v>
      </c>
      <c r="AG413">
        <v>47</v>
      </c>
      <c r="AH413">
        <v>7</v>
      </c>
      <c r="AI413">
        <v>7</v>
      </c>
      <c r="AJ413">
        <v>1</v>
      </c>
      <c r="AK413">
        <v>34</v>
      </c>
      <c r="AL413" t="s">
        <v>511</v>
      </c>
      <c r="AM413" t="s">
        <v>512</v>
      </c>
      <c r="AN413" t="s">
        <v>513</v>
      </c>
      <c r="AO413" t="s">
        <v>3403</v>
      </c>
      <c r="AP413" t="s">
        <v>3404</v>
      </c>
      <c r="AQ413" t="s">
        <v>74</v>
      </c>
      <c r="AR413" t="s">
        <v>3405</v>
      </c>
      <c r="AS413" t="s">
        <v>3406</v>
      </c>
      <c r="AT413" t="s">
        <v>6000</v>
      </c>
      <c r="AU413">
        <v>2016</v>
      </c>
      <c r="AV413">
        <v>29</v>
      </c>
      <c r="AW413">
        <v>7</v>
      </c>
      <c r="AX413" t="s">
        <v>74</v>
      </c>
      <c r="AY413" t="s">
        <v>74</v>
      </c>
      <c r="AZ413" t="s">
        <v>74</v>
      </c>
      <c r="BA413" t="s">
        <v>74</v>
      </c>
      <c r="BB413">
        <v>2543</v>
      </c>
      <c r="BC413">
        <v>2555</v>
      </c>
      <c r="BD413" t="s">
        <v>74</v>
      </c>
      <c r="BE413" t="s">
        <v>8225</v>
      </c>
      <c r="BF413" t="str">
        <f>HYPERLINK("http://dx.doi.org/10.1175/JCLI-D-15-0325.1","http://dx.doi.org/10.1175/JCLI-D-15-0325.1")</f>
        <v>http://dx.doi.org/10.1175/JCLI-D-15-0325.1</v>
      </c>
      <c r="BG413" t="s">
        <v>74</v>
      </c>
      <c r="BH413" t="s">
        <v>74</v>
      </c>
      <c r="BI413">
        <v>13</v>
      </c>
      <c r="BJ413" t="s">
        <v>1726</v>
      </c>
      <c r="BK413" t="s">
        <v>102</v>
      </c>
      <c r="BL413" t="s">
        <v>1726</v>
      </c>
      <c r="BM413" t="s">
        <v>8226</v>
      </c>
      <c r="BN413" t="s">
        <v>74</v>
      </c>
      <c r="BO413" t="s">
        <v>203</v>
      </c>
      <c r="BP413" t="s">
        <v>74</v>
      </c>
      <c r="BQ413" t="s">
        <v>74</v>
      </c>
      <c r="BR413" t="s">
        <v>106</v>
      </c>
      <c r="BS413" t="s">
        <v>8227</v>
      </c>
      <c r="BT413" t="str">
        <f>HYPERLINK("https%3A%2F%2Fwww.webofscience.com%2Fwos%2Fwoscc%2Ffull-record%2FWOS:000372815100001","View Full Record in Web of Science")</f>
        <v>View Full Record in Web of Science</v>
      </c>
    </row>
    <row r="414" spans="1:72" x14ac:dyDescent="0.15">
      <c r="A414" t="s">
        <v>72</v>
      </c>
      <c r="B414" t="s">
        <v>8228</v>
      </c>
      <c r="C414" t="s">
        <v>74</v>
      </c>
      <c r="D414" t="s">
        <v>74</v>
      </c>
      <c r="E414" t="s">
        <v>74</v>
      </c>
      <c r="F414" t="s">
        <v>8229</v>
      </c>
      <c r="G414" t="s">
        <v>74</v>
      </c>
      <c r="H414" t="s">
        <v>74</v>
      </c>
      <c r="I414" t="s">
        <v>8230</v>
      </c>
      <c r="J414" t="s">
        <v>3391</v>
      </c>
      <c r="K414" t="s">
        <v>74</v>
      </c>
      <c r="L414" t="s">
        <v>74</v>
      </c>
      <c r="M414" t="s">
        <v>78</v>
      </c>
      <c r="N414" t="s">
        <v>949</v>
      </c>
      <c r="O414" t="s">
        <v>74</v>
      </c>
      <c r="P414" t="s">
        <v>74</v>
      </c>
      <c r="Q414" t="s">
        <v>74</v>
      </c>
      <c r="R414" t="s">
        <v>74</v>
      </c>
      <c r="S414" t="s">
        <v>74</v>
      </c>
      <c r="T414" t="s">
        <v>8231</v>
      </c>
      <c r="U414" t="s">
        <v>8232</v>
      </c>
      <c r="V414" t="s">
        <v>8233</v>
      </c>
      <c r="W414" t="s">
        <v>8234</v>
      </c>
      <c r="X414" t="s">
        <v>8235</v>
      </c>
      <c r="Y414" t="s">
        <v>8236</v>
      </c>
      <c r="Z414" t="s">
        <v>8237</v>
      </c>
      <c r="AA414" t="s">
        <v>8238</v>
      </c>
      <c r="AB414" t="s">
        <v>8239</v>
      </c>
      <c r="AC414" t="s">
        <v>8240</v>
      </c>
      <c r="AD414" t="s">
        <v>1898</v>
      </c>
      <c r="AE414" t="s">
        <v>8241</v>
      </c>
      <c r="AF414" t="s">
        <v>74</v>
      </c>
      <c r="AG414">
        <v>101</v>
      </c>
      <c r="AH414">
        <v>25</v>
      </c>
      <c r="AI414">
        <v>28</v>
      </c>
      <c r="AJ414">
        <v>4</v>
      </c>
      <c r="AK414">
        <v>30</v>
      </c>
      <c r="AL414" t="s">
        <v>511</v>
      </c>
      <c r="AM414" t="s">
        <v>512</v>
      </c>
      <c r="AN414" t="s">
        <v>513</v>
      </c>
      <c r="AO414" t="s">
        <v>3403</v>
      </c>
      <c r="AP414" t="s">
        <v>3404</v>
      </c>
      <c r="AQ414" t="s">
        <v>74</v>
      </c>
      <c r="AR414" t="s">
        <v>3405</v>
      </c>
      <c r="AS414" t="s">
        <v>3406</v>
      </c>
      <c r="AT414" t="s">
        <v>6000</v>
      </c>
      <c r="AU414">
        <v>2016</v>
      </c>
      <c r="AV414">
        <v>29</v>
      </c>
      <c r="AW414">
        <v>7</v>
      </c>
      <c r="AX414" t="s">
        <v>74</v>
      </c>
      <c r="AY414" t="s">
        <v>74</v>
      </c>
      <c r="AZ414" t="s">
        <v>74</v>
      </c>
      <c r="BA414" t="s">
        <v>74</v>
      </c>
      <c r="BB414">
        <v>2579</v>
      </c>
      <c r="BC414">
        <v>2596</v>
      </c>
      <c r="BD414" t="s">
        <v>74</v>
      </c>
      <c r="BE414" t="s">
        <v>8242</v>
      </c>
      <c r="BF414" t="str">
        <f>HYPERLINK("http://dx.doi.org/10.1175/JCLI-D-15-0354.1","http://dx.doi.org/10.1175/JCLI-D-15-0354.1")</f>
        <v>http://dx.doi.org/10.1175/JCLI-D-15-0354.1</v>
      </c>
      <c r="BG414" t="s">
        <v>74</v>
      </c>
      <c r="BH414" t="s">
        <v>74</v>
      </c>
      <c r="BI414">
        <v>18</v>
      </c>
      <c r="BJ414" t="s">
        <v>1726</v>
      </c>
      <c r="BK414" t="s">
        <v>102</v>
      </c>
      <c r="BL414" t="s">
        <v>1726</v>
      </c>
      <c r="BM414" t="s">
        <v>8243</v>
      </c>
      <c r="BN414" t="s">
        <v>74</v>
      </c>
      <c r="BO414" t="s">
        <v>222</v>
      </c>
      <c r="BP414" t="s">
        <v>74</v>
      </c>
      <c r="BQ414" t="s">
        <v>74</v>
      </c>
      <c r="BR414" t="s">
        <v>106</v>
      </c>
      <c r="BS414" t="s">
        <v>8244</v>
      </c>
      <c r="BT414" t="str">
        <f>HYPERLINK("https%3A%2F%2Fwww.webofscience.com%2Fwos%2Fwoscc%2Ffull-record%2FWOS:000372932900001","View Full Record in Web of Science")</f>
        <v>View Full Record in Web of Science</v>
      </c>
    </row>
    <row r="415" spans="1:72" x14ac:dyDescent="0.15">
      <c r="A415" t="s">
        <v>72</v>
      </c>
      <c r="B415" t="s">
        <v>8245</v>
      </c>
      <c r="C415" t="s">
        <v>74</v>
      </c>
      <c r="D415" t="s">
        <v>74</v>
      </c>
      <c r="E415" t="s">
        <v>74</v>
      </c>
      <c r="F415" t="s">
        <v>8246</v>
      </c>
      <c r="G415" t="s">
        <v>74</v>
      </c>
      <c r="H415" t="s">
        <v>74</v>
      </c>
      <c r="I415" t="s">
        <v>8247</v>
      </c>
      <c r="J415" t="s">
        <v>3391</v>
      </c>
      <c r="K415" t="s">
        <v>74</v>
      </c>
      <c r="L415" t="s">
        <v>74</v>
      </c>
      <c r="M415" t="s">
        <v>78</v>
      </c>
      <c r="N415" t="s">
        <v>79</v>
      </c>
      <c r="O415" t="s">
        <v>74</v>
      </c>
      <c r="P415" t="s">
        <v>74</v>
      </c>
      <c r="Q415" t="s">
        <v>74</v>
      </c>
      <c r="R415" t="s">
        <v>74</v>
      </c>
      <c r="S415" t="s">
        <v>74</v>
      </c>
      <c r="T415" t="s">
        <v>8248</v>
      </c>
      <c r="U415" t="s">
        <v>8249</v>
      </c>
      <c r="V415" t="s">
        <v>8250</v>
      </c>
      <c r="W415" t="s">
        <v>8251</v>
      </c>
      <c r="X415" t="s">
        <v>8252</v>
      </c>
      <c r="Y415" t="s">
        <v>8253</v>
      </c>
      <c r="Z415" t="s">
        <v>8254</v>
      </c>
      <c r="AA415" t="s">
        <v>8255</v>
      </c>
      <c r="AB415" t="s">
        <v>8256</v>
      </c>
      <c r="AC415" t="s">
        <v>8257</v>
      </c>
      <c r="AD415" t="s">
        <v>8258</v>
      </c>
      <c r="AE415" t="s">
        <v>8259</v>
      </c>
      <c r="AF415" t="s">
        <v>74</v>
      </c>
      <c r="AG415">
        <v>87</v>
      </c>
      <c r="AH415">
        <v>48</v>
      </c>
      <c r="AI415">
        <v>51</v>
      </c>
      <c r="AJ415">
        <v>3</v>
      </c>
      <c r="AK415">
        <v>42</v>
      </c>
      <c r="AL415" t="s">
        <v>511</v>
      </c>
      <c r="AM415" t="s">
        <v>512</v>
      </c>
      <c r="AN415" t="s">
        <v>513</v>
      </c>
      <c r="AO415" t="s">
        <v>3403</v>
      </c>
      <c r="AP415" t="s">
        <v>3404</v>
      </c>
      <c r="AQ415" t="s">
        <v>74</v>
      </c>
      <c r="AR415" t="s">
        <v>3405</v>
      </c>
      <c r="AS415" t="s">
        <v>3406</v>
      </c>
      <c r="AT415" t="s">
        <v>6000</v>
      </c>
      <c r="AU415">
        <v>2016</v>
      </c>
      <c r="AV415">
        <v>29</v>
      </c>
      <c r="AW415">
        <v>7</v>
      </c>
      <c r="AX415" t="s">
        <v>74</v>
      </c>
      <c r="AY415" t="s">
        <v>74</v>
      </c>
      <c r="AZ415" t="s">
        <v>74</v>
      </c>
      <c r="BA415" t="s">
        <v>74</v>
      </c>
      <c r="BB415">
        <v>2597</v>
      </c>
      <c r="BC415">
        <v>2619</v>
      </c>
      <c r="BD415" t="s">
        <v>74</v>
      </c>
      <c r="BE415" t="s">
        <v>8260</v>
      </c>
      <c r="BF415" t="str">
        <f>HYPERLINK("http://dx.doi.org/10.1175/JCLI-D-15-0513.1","http://dx.doi.org/10.1175/JCLI-D-15-0513.1")</f>
        <v>http://dx.doi.org/10.1175/JCLI-D-15-0513.1</v>
      </c>
      <c r="BG415" t="s">
        <v>74</v>
      </c>
      <c r="BH415" t="s">
        <v>74</v>
      </c>
      <c r="BI415">
        <v>23</v>
      </c>
      <c r="BJ415" t="s">
        <v>1726</v>
      </c>
      <c r="BK415" t="s">
        <v>102</v>
      </c>
      <c r="BL415" t="s">
        <v>1726</v>
      </c>
      <c r="BM415" t="s">
        <v>8243</v>
      </c>
      <c r="BN415" t="s">
        <v>74</v>
      </c>
      <c r="BO415" t="s">
        <v>222</v>
      </c>
      <c r="BP415" t="s">
        <v>74</v>
      </c>
      <c r="BQ415" t="s">
        <v>74</v>
      </c>
      <c r="BR415" t="s">
        <v>106</v>
      </c>
      <c r="BS415" t="s">
        <v>8261</v>
      </c>
      <c r="BT415" t="str">
        <f>HYPERLINK("https%3A%2F%2Fwww.webofscience.com%2Fwos%2Fwoscc%2Ffull-record%2FWOS:000372932900002","View Full Record in Web of Science")</f>
        <v>View Full Record in Web of Science</v>
      </c>
    </row>
    <row r="416" spans="1:72" x14ac:dyDescent="0.15">
      <c r="A416" t="s">
        <v>72</v>
      </c>
      <c r="B416" t="s">
        <v>8262</v>
      </c>
      <c r="C416" t="s">
        <v>74</v>
      </c>
      <c r="D416" t="s">
        <v>74</v>
      </c>
      <c r="E416" t="s">
        <v>74</v>
      </c>
      <c r="F416" t="s">
        <v>8263</v>
      </c>
      <c r="G416" t="s">
        <v>74</v>
      </c>
      <c r="H416" t="s">
        <v>74</v>
      </c>
      <c r="I416" t="s">
        <v>8264</v>
      </c>
      <c r="J416" t="s">
        <v>2395</v>
      </c>
      <c r="K416" t="s">
        <v>74</v>
      </c>
      <c r="L416" t="s">
        <v>74</v>
      </c>
      <c r="M416" t="s">
        <v>78</v>
      </c>
      <c r="N416" t="s">
        <v>79</v>
      </c>
      <c r="O416" t="s">
        <v>74</v>
      </c>
      <c r="P416" t="s">
        <v>74</v>
      </c>
      <c r="Q416" t="s">
        <v>74</v>
      </c>
      <c r="R416" t="s">
        <v>74</v>
      </c>
      <c r="S416" t="s">
        <v>74</v>
      </c>
      <c r="T416" t="s">
        <v>74</v>
      </c>
      <c r="U416" t="s">
        <v>8265</v>
      </c>
      <c r="V416" t="s">
        <v>8266</v>
      </c>
      <c r="W416" t="s">
        <v>8267</v>
      </c>
      <c r="X416" t="s">
        <v>8268</v>
      </c>
      <c r="Y416" t="s">
        <v>8269</v>
      </c>
      <c r="Z416" t="s">
        <v>8270</v>
      </c>
      <c r="AA416" t="s">
        <v>8271</v>
      </c>
      <c r="AB416" t="s">
        <v>8272</v>
      </c>
      <c r="AC416" t="s">
        <v>8273</v>
      </c>
      <c r="AD416" t="s">
        <v>8274</v>
      </c>
      <c r="AE416" t="s">
        <v>8275</v>
      </c>
      <c r="AF416" t="s">
        <v>74</v>
      </c>
      <c r="AG416">
        <v>90</v>
      </c>
      <c r="AH416">
        <v>30</v>
      </c>
      <c r="AI416">
        <v>34</v>
      </c>
      <c r="AJ416">
        <v>1</v>
      </c>
      <c r="AK416">
        <v>8</v>
      </c>
      <c r="AL416" t="s">
        <v>92</v>
      </c>
      <c r="AM416" t="s">
        <v>93</v>
      </c>
      <c r="AN416" t="s">
        <v>94</v>
      </c>
      <c r="AO416" t="s">
        <v>2407</v>
      </c>
      <c r="AP416" t="s">
        <v>2408</v>
      </c>
      <c r="AQ416" t="s">
        <v>74</v>
      </c>
      <c r="AR416" t="s">
        <v>2409</v>
      </c>
      <c r="AS416" t="s">
        <v>2410</v>
      </c>
      <c r="AT416" t="s">
        <v>6000</v>
      </c>
      <c r="AU416">
        <v>2016</v>
      </c>
      <c r="AV416">
        <v>121</v>
      </c>
      <c r="AW416">
        <v>4</v>
      </c>
      <c r="AX416" t="s">
        <v>74</v>
      </c>
      <c r="AY416" t="s">
        <v>74</v>
      </c>
      <c r="AZ416" t="s">
        <v>74</v>
      </c>
      <c r="BA416" t="s">
        <v>74</v>
      </c>
      <c r="BB416">
        <v>790</v>
      </c>
      <c r="BC416">
        <v>813</v>
      </c>
      <c r="BD416" t="s">
        <v>74</v>
      </c>
      <c r="BE416" t="s">
        <v>8276</v>
      </c>
      <c r="BF416" t="str">
        <f>HYPERLINK("http://dx.doi.org/10.1002/2015JF003760","http://dx.doi.org/10.1002/2015JF003760")</f>
        <v>http://dx.doi.org/10.1002/2015JF003760</v>
      </c>
      <c r="BG416" t="s">
        <v>74</v>
      </c>
      <c r="BH416" t="s">
        <v>74</v>
      </c>
      <c r="BI416">
        <v>24</v>
      </c>
      <c r="BJ416" t="s">
        <v>269</v>
      </c>
      <c r="BK416" t="s">
        <v>102</v>
      </c>
      <c r="BL416" t="s">
        <v>270</v>
      </c>
      <c r="BM416" t="s">
        <v>8277</v>
      </c>
      <c r="BN416" t="s">
        <v>74</v>
      </c>
      <c r="BO416" t="s">
        <v>8278</v>
      </c>
      <c r="BP416" t="s">
        <v>74</v>
      </c>
      <c r="BQ416" t="s">
        <v>74</v>
      </c>
      <c r="BR416" t="s">
        <v>106</v>
      </c>
      <c r="BS416" t="s">
        <v>8279</v>
      </c>
      <c r="BT416" t="str">
        <f>HYPERLINK("https%3A%2F%2Fwww.webofscience.com%2Fwos%2Fwoscc%2Ffull-record%2FWOS:000382579600009","View Full Record in Web of Science")</f>
        <v>View Full Record in Web of Science</v>
      </c>
    </row>
    <row r="417" spans="1:72" x14ac:dyDescent="0.15">
      <c r="A417" t="s">
        <v>72</v>
      </c>
      <c r="B417" t="s">
        <v>8280</v>
      </c>
      <c r="C417" t="s">
        <v>74</v>
      </c>
      <c r="D417" t="s">
        <v>74</v>
      </c>
      <c r="E417" t="s">
        <v>74</v>
      </c>
      <c r="F417" t="s">
        <v>8281</v>
      </c>
      <c r="G417" t="s">
        <v>74</v>
      </c>
      <c r="H417" t="s">
        <v>74</v>
      </c>
      <c r="I417" t="s">
        <v>8282</v>
      </c>
      <c r="J417" t="s">
        <v>385</v>
      </c>
      <c r="K417" t="s">
        <v>74</v>
      </c>
      <c r="L417" t="s">
        <v>74</v>
      </c>
      <c r="M417" t="s">
        <v>78</v>
      </c>
      <c r="N417" t="s">
        <v>79</v>
      </c>
      <c r="O417" t="s">
        <v>74</v>
      </c>
      <c r="P417" t="s">
        <v>74</v>
      </c>
      <c r="Q417" t="s">
        <v>74</v>
      </c>
      <c r="R417" t="s">
        <v>74</v>
      </c>
      <c r="S417" t="s">
        <v>74</v>
      </c>
      <c r="T417" t="s">
        <v>74</v>
      </c>
      <c r="U417" t="s">
        <v>8283</v>
      </c>
      <c r="V417" t="s">
        <v>8284</v>
      </c>
      <c r="W417" t="s">
        <v>8285</v>
      </c>
      <c r="X417" t="s">
        <v>8286</v>
      </c>
      <c r="Y417" t="s">
        <v>8287</v>
      </c>
      <c r="Z417" t="s">
        <v>8288</v>
      </c>
      <c r="AA417" t="s">
        <v>8289</v>
      </c>
      <c r="AB417" t="s">
        <v>8290</v>
      </c>
      <c r="AC417" t="s">
        <v>8291</v>
      </c>
      <c r="AD417" t="s">
        <v>8292</v>
      </c>
      <c r="AE417" t="s">
        <v>8293</v>
      </c>
      <c r="AF417" t="s">
        <v>74</v>
      </c>
      <c r="AG417">
        <v>87</v>
      </c>
      <c r="AH417">
        <v>33</v>
      </c>
      <c r="AI417">
        <v>35</v>
      </c>
      <c r="AJ417">
        <v>0</v>
      </c>
      <c r="AK417">
        <v>10</v>
      </c>
      <c r="AL417" t="s">
        <v>92</v>
      </c>
      <c r="AM417" t="s">
        <v>93</v>
      </c>
      <c r="AN417" t="s">
        <v>94</v>
      </c>
      <c r="AO417" t="s">
        <v>397</v>
      </c>
      <c r="AP417" t="s">
        <v>398</v>
      </c>
      <c r="AQ417" t="s">
        <v>74</v>
      </c>
      <c r="AR417" t="s">
        <v>399</v>
      </c>
      <c r="AS417" t="s">
        <v>400</v>
      </c>
      <c r="AT417" t="s">
        <v>6000</v>
      </c>
      <c r="AU417">
        <v>2016</v>
      </c>
      <c r="AV417">
        <v>121</v>
      </c>
      <c r="AW417">
        <v>4</v>
      </c>
      <c r="AX417" t="s">
        <v>74</v>
      </c>
      <c r="AY417" t="s">
        <v>74</v>
      </c>
      <c r="AZ417" t="s">
        <v>74</v>
      </c>
      <c r="BA417" t="s">
        <v>74</v>
      </c>
      <c r="BB417">
        <v>3181</v>
      </c>
      <c r="BC417">
        <v>3197</v>
      </c>
      <c r="BD417" t="s">
        <v>74</v>
      </c>
      <c r="BE417" t="s">
        <v>8294</v>
      </c>
      <c r="BF417" t="str">
        <f>HYPERLINK("http://dx.doi.org/10.1002/2016JA022414","http://dx.doi.org/10.1002/2016JA022414")</f>
        <v>http://dx.doi.org/10.1002/2016JA022414</v>
      </c>
      <c r="BG417" t="s">
        <v>74</v>
      </c>
      <c r="BH417" t="s">
        <v>74</v>
      </c>
      <c r="BI417">
        <v>17</v>
      </c>
      <c r="BJ417" t="s">
        <v>248</v>
      </c>
      <c r="BK417" t="s">
        <v>102</v>
      </c>
      <c r="BL417" t="s">
        <v>248</v>
      </c>
      <c r="BM417" t="s">
        <v>6082</v>
      </c>
      <c r="BN417" t="s">
        <v>74</v>
      </c>
      <c r="BO417" t="s">
        <v>8295</v>
      </c>
      <c r="BP417" t="s">
        <v>74</v>
      </c>
      <c r="BQ417" t="s">
        <v>74</v>
      </c>
      <c r="BR417" t="s">
        <v>106</v>
      </c>
      <c r="BS417" t="s">
        <v>8296</v>
      </c>
      <c r="BT417" t="str">
        <f>HYPERLINK("https%3A%2F%2Fwww.webofscience.com%2Fwos%2Fwoscc%2Ffull-record%2FWOS:000379960300025","View Full Record in Web of Science")</f>
        <v>View Full Record in Web of Science</v>
      </c>
    </row>
    <row r="418" spans="1:72" x14ac:dyDescent="0.15">
      <c r="A418" t="s">
        <v>72</v>
      </c>
      <c r="B418" t="s">
        <v>8297</v>
      </c>
      <c r="C418" t="s">
        <v>74</v>
      </c>
      <c r="D418" t="s">
        <v>74</v>
      </c>
      <c r="E418" t="s">
        <v>74</v>
      </c>
      <c r="F418" t="s">
        <v>8298</v>
      </c>
      <c r="G418" t="s">
        <v>74</v>
      </c>
      <c r="H418" t="s">
        <v>74</v>
      </c>
      <c r="I418" t="s">
        <v>8299</v>
      </c>
      <c r="J418" t="s">
        <v>385</v>
      </c>
      <c r="K418" t="s">
        <v>74</v>
      </c>
      <c r="L418" t="s">
        <v>74</v>
      </c>
      <c r="M418" t="s">
        <v>78</v>
      </c>
      <c r="N418" t="s">
        <v>79</v>
      </c>
      <c r="O418" t="s">
        <v>74</v>
      </c>
      <c r="P418" t="s">
        <v>74</v>
      </c>
      <c r="Q418" t="s">
        <v>74</v>
      </c>
      <c r="R418" t="s">
        <v>74</v>
      </c>
      <c r="S418" t="s">
        <v>74</v>
      </c>
      <c r="T418" t="s">
        <v>8300</v>
      </c>
      <c r="U418" t="s">
        <v>8301</v>
      </c>
      <c r="V418" t="s">
        <v>8302</v>
      </c>
      <c r="W418" t="s">
        <v>8303</v>
      </c>
      <c r="X418" t="s">
        <v>8304</v>
      </c>
      <c r="Y418" t="s">
        <v>8305</v>
      </c>
      <c r="Z418" t="s">
        <v>8306</v>
      </c>
      <c r="AA418" t="s">
        <v>74</v>
      </c>
      <c r="AB418" t="s">
        <v>8307</v>
      </c>
      <c r="AC418" t="s">
        <v>8308</v>
      </c>
      <c r="AD418" t="s">
        <v>8309</v>
      </c>
      <c r="AE418" t="s">
        <v>8310</v>
      </c>
      <c r="AF418" t="s">
        <v>74</v>
      </c>
      <c r="AG418">
        <v>25</v>
      </c>
      <c r="AH418">
        <v>12</v>
      </c>
      <c r="AI418">
        <v>13</v>
      </c>
      <c r="AJ418">
        <v>0</v>
      </c>
      <c r="AK418">
        <v>3</v>
      </c>
      <c r="AL418" t="s">
        <v>92</v>
      </c>
      <c r="AM418" t="s">
        <v>93</v>
      </c>
      <c r="AN418" t="s">
        <v>94</v>
      </c>
      <c r="AO418" t="s">
        <v>397</v>
      </c>
      <c r="AP418" t="s">
        <v>398</v>
      </c>
      <c r="AQ418" t="s">
        <v>74</v>
      </c>
      <c r="AR418" t="s">
        <v>399</v>
      </c>
      <c r="AS418" t="s">
        <v>400</v>
      </c>
      <c r="AT418" t="s">
        <v>6000</v>
      </c>
      <c r="AU418">
        <v>2016</v>
      </c>
      <c r="AV418">
        <v>121</v>
      </c>
      <c r="AW418">
        <v>4</v>
      </c>
      <c r="AX418" t="s">
        <v>74</v>
      </c>
      <c r="AY418" t="s">
        <v>74</v>
      </c>
      <c r="AZ418" t="s">
        <v>74</v>
      </c>
      <c r="BA418" t="s">
        <v>74</v>
      </c>
      <c r="BB418">
        <v>3410</v>
      </c>
      <c r="BC418">
        <v>3420</v>
      </c>
      <c r="BD418" t="s">
        <v>74</v>
      </c>
      <c r="BE418" t="s">
        <v>8311</v>
      </c>
      <c r="BF418" t="str">
        <f>HYPERLINK("http://dx.doi.org/10.1002/2015JA021960","http://dx.doi.org/10.1002/2015JA021960")</f>
        <v>http://dx.doi.org/10.1002/2015JA021960</v>
      </c>
      <c r="BG418" t="s">
        <v>74</v>
      </c>
      <c r="BH418" t="s">
        <v>74</v>
      </c>
      <c r="BI418">
        <v>11</v>
      </c>
      <c r="BJ418" t="s">
        <v>248</v>
      </c>
      <c r="BK418" t="s">
        <v>102</v>
      </c>
      <c r="BL418" t="s">
        <v>248</v>
      </c>
      <c r="BM418" t="s">
        <v>6082</v>
      </c>
      <c r="BN418" t="s">
        <v>74</v>
      </c>
      <c r="BO418" t="s">
        <v>420</v>
      </c>
      <c r="BP418" t="s">
        <v>74</v>
      </c>
      <c r="BQ418" t="s">
        <v>74</v>
      </c>
      <c r="BR418" t="s">
        <v>106</v>
      </c>
      <c r="BS418" t="s">
        <v>8312</v>
      </c>
      <c r="BT418" t="str">
        <f>HYPERLINK("https%3A%2F%2Fwww.webofscience.com%2Fwos%2Fwoscc%2Ffull-record%2FWOS:000379960300041","View Full Record in Web of Science")</f>
        <v>View Full Record in Web of Science</v>
      </c>
    </row>
    <row r="419" spans="1:72" x14ac:dyDescent="0.15">
      <c r="A419" t="s">
        <v>72</v>
      </c>
      <c r="B419" t="s">
        <v>8313</v>
      </c>
      <c r="C419" t="s">
        <v>74</v>
      </c>
      <c r="D419" t="s">
        <v>74</v>
      </c>
      <c r="E419" t="s">
        <v>74</v>
      </c>
      <c r="F419" t="s">
        <v>8314</v>
      </c>
      <c r="G419" t="s">
        <v>74</v>
      </c>
      <c r="H419" t="s">
        <v>74</v>
      </c>
      <c r="I419" t="s">
        <v>8315</v>
      </c>
      <c r="J419" t="s">
        <v>8316</v>
      </c>
      <c r="K419" t="s">
        <v>74</v>
      </c>
      <c r="L419" t="s">
        <v>74</v>
      </c>
      <c r="M419" t="s">
        <v>78</v>
      </c>
      <c r="N419" t="s">
        <v>573</v>
      </c>
      <c r="O419" t="s">
        <v>74</v>
      </c>
      <c r="P419" t="s">
        <v>74</v>
      </c>
      <c r="Q419" t="s">
        <v>74</v>
      </c>
      <c r="R419" t="s">
        <v>74</v>
      </c>
      <c r="S419" t="s">
        <v>74</v>
      </c>
      <c r="T419" t="s">
        <v>8317</v>
      </c>
      <c r="U419" t="s">
        <v>8318</v>
      </c>
      <c r="V419" t="s">
        <v>8319</v>
      </c>
      <c r="W419" t="s">
        <v>8320</v>
      </c>
      <c r="X419" t="s">
        <v>74</v>
      </c>
      <c r="Y419" t="s">
        <v>8321</v>
      </c>
      <c r="Z419" t="s">
        <v>8322</v>
      </c>
      <c r="AA419" t="s">
        <v>74</v>
      </c>
      <c r="AB419" t="s">
        <v>74</v>
      </c>
      <c r="AC419" t="s">
        <v>74</v>
      </c>
      <c r="AD419" t="s">
        <v>74</v>
      </c>
      <c r="AE419" t="s">
        <v>74</v>
      </c>
      <c r="AF419" t="s">
        <v>74</v>
      </c>
      <c r="AG419">
        <v>33</v>
      </c>
      <c r="AH419">
        <v>20</v>
      </c>
      <c r="AI419">
        <v>21</v>
      </c>
      <c r="AJ419">
        <v>0</v>
      </c>
      <c r="AK419">
        <v>9</v>
      </c>
      <c r="AL419" t="s">
        <v>678</v>
      </c>
      <c r="AM419" t="s">
        <v>679</v>
      </c>
      <c r="AN419" t="s">
        <v>680</v>
      </c>
      <c r="AO419" t="s">
        <v>8323</v>
      </c>
      <c r="AP419" t="s">
        <v>74</v>
      </c>
      <c r="AQ419" t="s">
        <v>74</v>
      </c>
      <c r="AR419" t="s">
        <v>8324</v>
      </c>
      <c r="AS419" t="s">
        <v>8325</v>
      </c>
      <c r="AT419" t="s">
        <v>6000</v>
      </c>
      <c r="AU419">
        <v>2016</v>
      </c>
      <c r="AV419">
        <v>42</v>
      </c>
      <c r="AW419">
        <v>2</v>
      </c>
      <c r="AX419" t="s">
        <v>74</v>
      </c>
      <c r="AY419" t="s">
        <v>74</v>
      </c>
      <c r="AZ419" t="s">
        <v>74</v>
      </c>
      <c r="BA419" t="s">
        <v>74</v>
      </c>
      <c r="BB419">
        <v>286</v>
      </c>
      <c r="BC419">
        <v>289</v>
      </c>
      <c r="BD419" t="s">
        <v>74</v>
      </c>
      <c r="BE419" t="s">
        <v>8326</v>
      </c>
      <c r="BF419" t="str">
        <f>HYPERLINK("http://dx.doi.org/10.1016/j.jglr.2015.03.018","http://dx.doi.org/10.1016/j.jglr.2015.03.018")</f>
        <v>http://dx.doi.org/10.1016/j.jglr.2015.03.018</v>
      </c>
      <c r="BG419" t="s">
        <v>74</v>
      </c>
      <c r="BH419" t="s">
        <v>74</v>
      </c>
      <c r="BI419">
        <v>4</v>
      </c>
      <c r="BJ419" t="s">
        <v>8327</v>
      </c>
      <c r="BK419" t="s">
        <v>102</v>
      </c>
      <c r="BL419" t="s">
        <v>1839</v>
      </c>
      <c r="BM419" t="s">
        <v>8328</v>
      </c>
      <c r="BN419" t="s">
        <v>74</v>
      </c>
      <c r="BO419" t="s">
        <v>74</v>
      </c>
      <c r="BP419" t="s">
        <v>74</v>
      </c>
      <c r="BQ419" t="s">
        <v>74</v>
      </c>
      <c r="BR419" t="s">
        <v>106</v>
      </c>
      <c r="BS419" t="s">
        <v>8329</v>
      </c>
      <c r="BT419" t="str">
        <f>HYPERLINK("https%3A%2F%2Fwww.webofscience.com%2Fwos%2Fwoscc%2Ffull-record%2FWOS:000373651100013","View Full Record in Web of Science")</f>
        <v>View Full Record in Web of Science</v>
      </c>
    </row>
    <row r="420" spans="1:72" x14ac:dyDescent="0.15">
      <c r="A420" t="s">
        <v>72</v>
      </c>
      <c r="B420" t="s">
        <v>8330</v>
      </c>
      <c r="C420" t="s">
        <v>74</v>
      </c>
      <c r="D420" t="s">
        <v>74</v>
      </c>
      <c r="E420" t="s">
        <v>74</v>
      </c>
      <c r="F420" t="s">
        <v>8331</v>
      </c>
      <c r="G420" t="s">
        <v>74</v>
      </c>
      <c r="H420" t="s">
        <v>74</v>
      </c>
      <c r="I420" t="s">
        <v>8332</v>
      </c>
      <c r="J420" t="s">
        <v>472</v>
      </c>
      <c r="K420" t="s">
        <v>74</v>
      </c>
      <c r="L420" t="s">
        <v>74</v>
      </c>
      <c r="M420" t="s">
        <v>78</v>
      </c>
      <c r="N420" t="s">
        <v>79</v>
      </c>
      <c r="O420" t="s">
        <v>74</v>
      </c>
      <c r="P420" t="s">
        <v>74</v>
      </c>
      <c r="Q420" t="s">
        <v>74</v>
      </c>
      <c r="R420" t="s">
        <v>74</v>
      </c>
      <c r="S420" t="s">
        <v>74</v>
      </c>
      <c r="T420" t="s">
        <v>8333</v>
      </c>
      <c r="U420" t="s">
        <v>8334</v>
      </c>
      <c r="V420" t="s">
        <v>8335</v>
      </c>
      <c r="W420" t="s">
        <v>8336</v>
      </c>
      <c r="X420" t="s">
        <v>8337</v>
      </c>
      <c r="Y420" t="s">
        <v>8338</v>
      </c>
      <c r="Z420" t="s">
        <v>8339</v>
      </c>
      <c r="AA420" t="s">
        <v>8340</v>
      </c>
      <c r="AB420" t="s">
        <v>8341</v>
      </c>
      <c r="AC420" t="s">
        <v>8342</v>
      </c>
      <c r="AD420" t="s">
        <v>8343</v>
      </c>
      <c r="AE420" t="s">
        <v>8344</v>
      </c>
      <c r="AF420" t="s">
        <v>74</v>
      </c>
      <c r="AG420">
        <v>53</v>
      </c>
      <c r="AH420">
        <v>22</v>
      </c>
      <c r="AI420">
        <v>30</v>
      </c>
      <c r="AJ420">
        <v>0</v>
      </c>
      <c r="AK420">
        <v>15</v>
      </c>
      <c r="AL420" t="s">
        <v>485</v>
      </c>
      <c r="AM420" t="s">
        <v>486</v>
      </c>
      <c r="AN420" t="s">
        <v>487</v>
      </c>
      <c r="AO420" t="s">
        <v>488</v>
      </c>
      <c r="AP420" t="s">
        <v>489</v>
      </c>
      <c r="AQ420" t="s">
        <v>74</v>
      </c>
      <c r="AR420" t="s">
        <v>490</v>
      </c>
      <c r="AS420" t="s">
        <v>491</v>
      </c>
      <c r="AT420" t="s">
        <v>6000</v>
      </c>
      <c r="AU420">
        <v>2016</v>
      </c>
      <c r="AV420">
        <v>111</v>
      </c>
      <c r="AW420">
        <v>2</v>
      </c>
      <c r="AX420" t="s">
        <v>74</v>
      </c>
      <c r="AY420" t="s">
        <v>74</v>
      </c>
      <c r="AZ420" t="s">
        <v>74</v>
      </c>
      <c r="BA420" t="s">
        <v>74</v>
      </c>
      <c r="BB420">
        <v>89</v>
      </c>
      <c r="BC420">
        <v>103</v>
      </c>
      <c r="BD420" t="s">
        <v>74</v>
      </c>
      <c r="BE420" t="s">
        <v>8345</v>
      </c>
      <c r="BF420" t="str">
        <f>HYPERLINK("http://dx.doi.org/10.2465/jmps.150829","http://dx.doi.org/10.2465/jmps.150829")</f>
        <v>http://dx.doi.org/10.2465/jmps.150829</v>
      </c>
      <c r="BG420" t="s">
        <v>74</v>
      </c>
      <c r="BH420" t="s">
        <v>74</v>
      </c>
      <c r="BI420">
        <v>15</v>
      </c>
      <c r="BJ420" t="s">
        <v>493</v>
      </c>
      <c r="BK420" t="s">
        <v>102</v>
      </c>
      <c r="BL420" t="s">
        <v>493</v>
      </c>
      <c r="BM420" t="s">
        <v>6562</v>
      </c>
      <c r="BN420" t="s">
        <v>74</v>
      </c>
      <c r="BO420" t="s">
        <v>495</v>
      </c>
      <c r="BP420" t="s">
        <v>74</v>
      </c>
      <c r="BQ420" t="s">
        <v>74</v>
      </c>
      <c r="BR420" t="s">
        <v>106</v>
      </c>
      <c r="BS420" t="s">
        <v>8346</v>
      </c>
      <c r="BT420" t="str">
        <f>HYPERLINK("https%3A%2F%2Fwww.webofscience.com%2Fwos%2Fwoscc%2Ffull-record%2FWOS:000375803000004","View Full Record in Web of Science")</f>
        <v>View Full Record in Web of Science</v>
      </c>
    </row>
    <row r="421" spans="1:72" x14ac:dyDescent="0.15">
      <c r="A421" t="s">
        <v>72</v>
      </c>
      <c r="B421" t="s">
        <v>8347</v>
      </c>
      <c r="C421" t="s">
        <v>74</v>
      </c>
      <c r="D421" t="s">
        <v>74</v>
      </c>
      <c r="E421" t="s">
        <v>74</v>
      </c>
      <c r="F421" t="s">
        <v>8348</v>
      </c>
      <c r="G421" t="s">
        <v>74</v>
      </c>
      <c r="H421" t="s">
        <v>74</v>
      </c>
      <c r="I421" t="s">
        <v>8349</v>
      </c>
      <c r="J421" t="s">
        <v>500</v>
      </c>
      <c r="K421" t="s">
        <v>74</v>
      </c>
      <c r="L421" t="s">
        <v>74</v>
      </c>
      <c r="M421" t="s">
        <v>78</v>
      </c>
      <c r="N421" t="s">
        <v>79</v>
      </c>
      <c r="O421" t="s">
        <v>74</v>
      </c>
      <c r="P421" t="s">
        <v>74</v>
      </c>
      <c r="Q421" t="s">
        <v>74</v>
      </c>
      <c r="R421" t="s">
        <v>74</v>
      </c>
      <c r="S421" t="s">
        <v>74</v>
      </c>
      <c r="T421" t="s">
        <v>8350</v>
      </c>
      <c r="U421" t="s">
        <v>8351</v>
      </c>
      <c r="V421" t="s">
        <v>8352</v>
      </c>
      <c r="W421" t="s">
        <v>8353</v>
      </c>
      <c r="X421" t="s">
        <v>8354</v>
      </c>
      <c r="Y421" t="s">
        <v>8355</v>
      </c>
      <c r="Z421" t="s">
        <v>8356</v>
      </c>
      <c r="AA421" t="s">
        <v>8357</v>
      </c>
      <c r="AB421" t="s">
        <v>8358</v>
      </c>
      <c r="AC421" t="s">
        <v>8359</v>
      </c>
      <c r="AD421" t="s">
        <v>8360</v>
      </c>
      <c r="AE421" t="s">
        <v>8361</v>
      </c>
      <c r="AF421" t="s">
        <v>74</v>
      </c>
      <c r="AG421">
        <v>47</v>
      </c>
      <c r="AH421">
        <v>35</v>
      </c>
      <c r="AI421">
        <v>35</v>
      </c>
      <c r="AJ421">
        <v>0</v>
      </c>
      <c r="AK421">
        <v>23</v>
      </c>
      <c r="AL421" t="s">
        <v>511</v>
      </c>
      <c r="AM421" t="s">
        <v>512</v>
      </c>
      <c r="AN421" t="s">
        <v>513</v>
      </c>
      <c r="AO421" t="s">
        <v>514</v>
      </c>
      <c r="AP421" t="s">
        <v>515</v>
      </c>
      <c r="AQ421" t="s">
        <v>74</v>
      </c>
      <c r="AR421" t="s">
        <v>516</v>
      </c>
      <c r="AS421" t="s">
        <v>517</v>
      </c>
      <c r="AT421" t="s">
        <v>6000</v>
      </c>
      <c r="AU421">
        <v>2016</v>
      </c>
      <c r="AV421">
        <v>46</v>
      </c>
      <c r="AW421">
        <v>4</v>
      </c>
      <c r="AX421" t="s">
        <v>74</v>
      </c>
      <c r="AY421" t="s">
        <v>74</v>
      </c>
      <c r="AZ421" t="s">
        <v>74</v>
      </c>
      <c r="BA421" t="s">
        <v>74</v>
      </c>
      <c r="BB421">
        <v>1067</v>
      </c>
      <c r="BC421">
        <v>1079</v>
      </c>
      <c r="BD421" t="s">
        <v>74</v>
      </c>
      <c r="BE421" t="s">
        <v>8362</v>
      </c>
      <c r="BF421" t="str">
        <f>HYPERLINK("http://dx.doi.org/10.1175/JPO-D-14-0241.1","http://dx.doi.org/10.1175/JPO-D-14-0241.1")</f>
        <v>http://dx.doi.org/10.1175/JPO-D-14-0241.1</v>
      </c>
      <c r="BG421" t="s">
        <v>74</v>
      </c>
      <c r="BH421" t="s">
        <v>74</v>
      </c>
      <c r="BI421">
        <v>13</v>
      </c>
      <c r="BJ421" t="s">
        <v>361</v>
      </c>
      <c r="BK421" t="s">
        <v>102</v>
      </c>
      <c r="BL421" t="s">
        <v>361</v>
      </c>
      <c r="BM421" t="s">
        <v>8363</v>
      </c>
      <c r="BN421" t="s">
        <v>74</v>
      </c>
      <c r="BO421" t="s">
        <v>8364</v>
      </c>
      <c r="BP421" t="s">
        <v>74</v>
      </c>
      <c r="BQ421" t="s">
        <v>74</v>
      </c>
      <c r="BR421" t="s">
        <v>106</v>
      </c>
      <c r="BS421" t="s">
        <v>8365</v>
      </c>
      <c r="BT421" t="str">
        <f>HYPERLINK("https%3A%2F%2Fwww.webofscience.com%2Fwos%2Fwoscc%2Ffull-record%2FWOS:000372811100001","View Full Record in Web of Science")</f>
        <v>View Full Record in Web of Science</v>
      </c>
    </row>
    <row r="422" spans="1:72" x14ac:dyDescent="0.15">
      <c r="A422" t="s">
        <v>72</v>
      </c>
      <c r="B422" t="s">
        <v>8366</v>
      </c>
      <c r="C422" t="s">
        <v>74</v>
      </c>
      <c r="D422" t="s">
        <v>74</v>
      </c>
      <c r="E422" t="s">
        <v>74</v>
      </c>
      <c r="F422" t="s">
        <v>8367</v>
      </c>
      <c r="G422" t="s">
        <v>74</v>
      </c>
      <c r="H422" t="s">
        <v>74</v>
      </c>
      <c r="I422" t="s">
        <v>8368</v>
      </c>
      <c r="J422" t="s">
        <v>547</v>
      </c>
      <c r="K422" t="s">
        <v>74</v>
      </c>
      <c r="L422" t="s">
        <v>74</v>
      </c>
      <c r="M422" t="s">
        <v>78</v>
      </c>
      <c r="N422" t="s">
        <v>79</v>
      </c>
      <c r="O422" t="s">
        <v>74</v>
      </c>
      <c r="P422" t="s">
        <v>74</v>
      </c>
      <c r="Q422" t="s">
        <v>74</v>
      </c>
      <c r="R422" t="s">
        <v>74</v>
      </c>
      <c r="S422" t="s">
        <v>74</v>
      </c>
      <c r="T422" t="s">
        <v>74</v>
      </c>
      <c r="U422" t="s">
        <v>8369</v>
      </c>
      <c r="V422" t="s">
        <v>8370</v>
      </c>
      <c r="W422" t="s">
        <v>8371</v>
      </c>
      <c r="X422" t="s">
        <v>8372</v>
      </c>
      <c r="Y422" t="s">
        <v>8373</v>
      </c>
      <c r="Z422" t="s">
        <v>8374</v>
      </c>
      <c r="AA422" t="s">
        <v>8375</v>
      </c>
      <c r="AB422" t="s">
        <v>8376</v>
      </c>
      <c r="AC422" t="s">
        <v>8377</v>
      </c>
      <c r="AD422" t="s">
        <v>8378</v>
      </c>
      <c r="AE422" t="s">
        <v>8379</v>
      </c>
      <c r="AF422" t="s">
        <v>74</v>
      </c>
      <c r="AG422">
        <v>39</v>
      </c>
      <c r="AH422">
        <v>12</v>
      </c>
      <c r="AI422">
        <v>13</v>
      </c>
      <c r="AJ422">
        <v>2</v>
      </c>
      <c r="AK422">
        <v>46</v>
      </c>
      <c r="AL422" t="s">
        <v>559</v>
      </c>
      <c r="AM422" t="s">
        <v>560</v>
      </c>
      <c r="AN422" t="s">
        <v>561</v>
      </c>
      <c r="AO422" t="s">
        <v>562</v>
      </c>
      <c r="AP422" t="s">
        <v>563</v>
      </c>
      <c r="AQ422" t="s">
        <v>74</v>
      </c>
      <c r="AR422" t="s">
        <v>564</v>
      </c>
      <c r="AS422" t="s">
        <v>565</v>
      </c>
      <c r="AT422" t="s">
        <v>6000</v>
      </c>
      <c r="AU422">
        <v>2016</v>
      </c>
      <c r="AV422">
        <v>163</v>
      </c>
      <c r="AW422">
        <v>4</v>
      </c>
      <c r="AX422" t="s">
        <v>74</v>
      </c>
      <c r="AY422" t="s">
        <v>74</v>
      </c>
      <c r="AZ422" t="s">
        <v>74</v>
      </c>
      <c r="BA422" t="s">
        <v>74</v>
      </c>
      <c r="BB422" t="s">
        <v>74</v>
      </c>
      <c r="BC422" t="s">
        <v>74</v>
      </c>
      <c r="BD422">
        <v>78</v>
      </c>
      <c r="BE422" t="s">
        <v>8380</v>
      </c>
      <c r="BF422" t="str">
        <f>HYPERLINK("http://dx.doi.org/10.1007/s00227-016-2850-x","http://dx.doi.org/10.1007/s00227-016-2850-x")</f>
        <v>http://dx.doi.org/10.1007/s00227-016-2850-x</v>
      </c>
      <c r="BG422" t="s">
        <v>74</v>
      </c>
      <c r="BH422" t="s">
        <v>74</v>
      </c>
      <c r="BI422">
        <v>5</v>
      </c>
      <c r="BJ422" t="s">
        <v>201</v>
      </c>
      <c r="BK422" t="s">
        <v>102</v>
      </c>
      <c r="BL422" t="s">
        <v>201</v>
      </c>
      <c r="BM422" t="s">
        <v>8381</v>
      </c>
      <c r="BN422" t="s">
        <v>74</v>
      </c>
      <c r="BO422" t="s">
        <v>380</v>
      </c>
      <c r="BP422" t="s">
        <v>74</v>
      </c>
      <c r="BQ422" t="s">
        <v>74</v>
      </c>
      <c r="BR422" t="s">
        <v>106</v>
      </c>
      <c r="BS422" t="s">
        <v>8382</v>
      </c>
      <c r="BT422" t="str">
        <f>HYPERLINK("https%3A%2F%2Fwww.webofscience.com%2Fwos%2Fwoscc%2Ffull-record%2FWOS:000373019300011","View Full Record in Web of Science")</f>
        <v>View Full Record in Web of Science</v>
      </c>
    </row>
    <row r="423" spans="1:72" x14ac:dyDescent="0.15">
      <c r="A423" t="s">
        <v>72</v>
      </c>
      <c r="B423" t="s">
        <v>8383</v>
      </c>
      <c r="C423" t="s">
        <v>74</v>
      </c>
      <c r="D423" t="s">
        <v>74</v>
      </c>
      <c r="E423" t="s">
        <v>74</v>
      </c>
      <c r="F423" t="s">
        <v>8384</v>
      </c>
      <c r="G423" t="s">
        <v>74</v>
      </c>
      <c r="H423" t="s">
        <v>74</v>
      </c>
      <c r="I423" t="s">
        <v>8385</v>
      </c>
      <c r="J423" t="s">
        <v>6762</v>
      </c>
      <c r="K423" t="s">
        <v>74</v>
      </c>
      <c r="L423" t="s">
        <v>74</v>
      </c>
      <c r="M423" t="s">
        <v>78</v>
      </c>
      <c r="N423" t="s">
        <v>79</v>
      </c>
      <c r="O423" t="s">
        <v>74</v>
      </c>
      <c r="P423" t="s">
        <v>74</v>
      </c>
      <c r="Q423" t="s">
        <v>74</v>
      </c>
      <c r="R423" t="s">
        <v>74</v>
      </c>
      <c r="S423" t="s">
        <v>74</v>
      </c>
      <c r="T423" t="s">
        <v>8386</v>
      </c>
      <c r="U423" t="s">
        <v>8387</v>
      </c>
      <c r="V423" t="s">
        <v>8388</v>
      </c>
      <c r="W423" t="s">
        <v>8389</v>
      </c>
      <c r="X423" t="s">
        <v>8390</v>
      </c>
      <c r="Y423" t="s">
        <v>8391</v>
      </c>
      <c r="Z423" t="s">
        <v>8392</v>
      </c>
      <c r="AA423" t="s">
        <v>74</v>
      </c>
      <c r="AB423" t="s">
        <v>74</v>
      </c>
      <c r="AC423" t="s">
        <v>8393</v>
      </c>
      <c r="AD423" t="s">
        <v>8393</v>
      </c>
      <c r="AE423" t="s">
        <v>8394</v>
      </c>
      <c r="AF423" t="s">
        <v>74</v>
      </c>
      <c r="AG423">
        <v>312</v>
      </c>
      <c r="AH423">
        <v>133</v>
      </c>
      <c r="AI423">
        <v>148</v>
      </c>
      <c r="AJ423">
        <v>12</v>
      </c>
      <c r="AK423">
        <v>260</v>
      </c>
      <c r="AL423" t="s">
        <v>124</v>
      </c>
      <c r="AM423" t="s">
        <v>125</v>
      </c>
      <c r="AN423" t="s">
        <v>126</v>
      </c>
      <c r="AO423" t="s">
        <v>6769</v>
      </c>
      <c r="AP423" t="s">
        <v>6770</v>
      </c>
      <c r="AQ423" t="s">
        <v>74</v>
      </c>
      <c r="AR423" t="s">
        <v>6771</v>
      </c>
      <c r="AS423" t="s">
        <v>6772</v>
      </c>
      <c r="AT423" t="s">
        <v>6000</v>
      </c>
      <c r="AU423">
        <v>2016</v>
      </c>
      <c r="AV423">
        <v>32</v>
      </c>
      <c r="AW423">
        <v>2</v>
      </c>
      <c r="AX423" t="s">
        <v>74</v>
      </c>
      <c r="AY423" t="s">
        <v>74</v>
      </c>
      <c r="AZ423" t="s">
        <v>74</v>
      </c>
      <c r="BA423" t="s">
        <v>74</v>
      </c>
      <c r="BB423">
        <v>682</v>
      </c>
      <c r="BC423">
        <v>734</v>
      </c>
      <c r="BD423" t="s">
        <v>74</v>
      </c>
      <c r="BE423" t="s">
        <v>8395</v>
      </c>
      <c r="BF423" t="str">
        <f>HYPERLINK("http://dx.doi.org/10.1111/mms.12281","http://dx.doi.org/10.1111/mms.12281")</f>
        <v>http://dx.doi.org/10.1111/mms.12281</v>
      </c>
      <c r="BG423" t="s">
        <v>74</v>
      </c>
      <c r="BH423" t="s">
        <v>74</v>
      </c>
      <c r="BI423">
        <v>53</v>
      </c>
      <c r="BJ423" t="s">
        <v>2995</v>
      </c>
      <c r="BK423" t="s">
        <v>102</v>
      </c>
      <c r="BL423" t="s">
        <v>2995</v>
      </c>
      <c r="BM423" t="s">
        <v>6774</v>
      </c>
      <c r="BN423" t="s">
        <v>74</v>
      </c>
      <c r="BO423" t="s">
        <v>2559</v>
      </c>
      <c r="BP423" t="s">
        <v>74</v>
      </c>
      <c r="BQ423" t="s">
        <v>74</v>
      </c>
      <c r="BR423" t="s">
        <v>106</v>
      </c>
      <c r="BS423" t="s">
        <v>8396</v>
      </c>
      <c r="BT423" t="str">
        <f>HYPERLINK("https%3A%2F%2Fwww.webofscience.com%2Fwos%2Fwoscc%2Ffull-record%2FWOS:000374349200015","View Full Record in Web of Science")</f>
        <v>View Full Record in Web of Science</v>
      </c>
    </row>
    <row r="424" spans="1:72" x14ac:dyDescent="0.15">
      <c r="A424" t="s">
        <v>72</v>
      </c>
      <c r="B424" t="s">
        <v>8397</v>
      </c>
      <c r="C424" t="s">
        <v>74</v>
      </c>
      <c r="D424" t="s">
        <v>74</v>
      </c>
      <c r="E424" t="s">
        <v>74</v>
      </c>
      <c r="F424" t="s">
        <v>8398</v>
      </c>
      <c r="G424" t="s">
        <v>74</v>
      </c>
      <c r="H424" t="s">
        <v>74</v>
      </c>
      <c r="I424" t="s">
        <v>8399</v>
      </c>
      <c r="J424" t="s">
        <v>7204</v>
      </c>
      <c r="K424" t="s">
        <v>74</v>
      </c>
      <c r="L424" t="s">
        <v>74</v>
      </c>
      <c r="M424" t="s">
        <v>78</v>
      </c>
      <c r="N424" t="s">
        <v>573</v>
      </c>
      <c r="O424" t="s">
        <v>74</v>
      </c>
      <c r="P424" t="s">
        <v>74</v>
      </c>
      <c r="Q424" t="s">
        <v>74</v>
      </c>
      <c r="R424" t="s">
        <v>74</v>
      </c>
      <c r="S424" t="s">
        <v>74</v>
      </c>
      <c r="T424" t="s">
        <v>74</v>
      </c>
      <c r="U424" t="s">
        <v>8400</v>
      </c>
      <c r="V424" t="s">
        <v>74</v>
      </c>
      <c r="W424" t="s">
        <v>8401</v>
      </c>
      <c r="X424" t="s">
        <v>8402</v>
      </c>
      <c r="Y424" t="s">
        <v>8403</v>
      </c>
      <c r="Z424" t="s">
        <v>8404</v>
      </c>
      <c r="AA424" t="s">
        <v>74</v>
      </c>
      <c r="AB424" t="s">
        <v>8405</v>
      </c>
      <c r="AC424" t="s">
        <v>74</v>
      </c>
      <c r="AD424" t="s">
        <v>74</v>
      </c>
      <c r="AE424" t="s">
        <v>74</v>
      </c>
      <c r="AF424" t="s">
        <v>74</v>
      </c>
      <c r="AG424">
        <v>9</v>
      </c>
      <c r="AH424">
        <v>0</v>
      </c>
      <c r="AI424">
        <v>0</v>
      </c>
      <c r="AJ424">
        <v>0</v>
      </c>
      <c r="AK424">
        <v>1</v>
      </c>
      <c r="AL424" t="s">
        <v>772</v>
      </c>
      <c r="AM424" t="s">
        <v>262</v>
      </c>
      <c r="AN424" t="s">
        <v>7216</v>
      </c>
      <c r="AO424" t="s">
        <v>7217</v>
      </c>
      <c r="AP424" t="s">
        <v>7218</v>
      </c>
      <c r="AQ424" t="s">
        <v>74</v>
      </c>
      <c r="AR424" t="s">
        <v>7219</v>
      </c>
      <c r="AS424" t="s">
        <v>7220</v>
      </c>
      <c r="AT424" t="s">
        <v>6000</v>
      </c>
      <c r="AU424">
        <v>2016</v>
      </c>
      <c r="AV424">
        <v>9</v>
      </c>
      <c r="AW424">
        <v>4</v>
      </c>
      <c r="AX424" t="s">
        <v>74</v>
      </c>
      <c r="AY424" t="s">
        <v>74</v>
      </c>
      <c r="AZ424" t="s">
        <v>74</v>
      </c>
      <c r="BA424" t="s">
        <v>74</v>
      </c>
      <c r="BB424">
        <v>267</v>
      </c>
      <c r="BC424">
        <v>268</v>
      </c>
      <c r="BD424" t="s">
        <v>74</v>
      </c>
      <c r="BE424" t="s">
        <v>8406</v>
      </c>
      <c r="BF424" t="str">
        <f>HYPERLINK("http://dx.doi.org/10.1038/ngeo2680","http://dx.doi.org/10.1038/ngeo2680")</f>
        <v>http://dx.doi.org/10.1038/ngeo2680</v>
      </c>
      <c r="BG424" t="s">
        <v>74</v>
      </c>
      <c r="BH424" t="s">
        <v>74</v>
      </c>
      <c r="BI424">
        <v>2</v>
      </c>
      <c r="BJ424" t="s">
        <v>269</v>
      </c>
      <c r="BK424" t="s">
        <v>102</v>
      </c>
      <c r="BL424" t="s">
        <v>270</v>
      </c>
      <c r="BM424" t="s">
        <v>7222</v>
      </c>
      <c r="BN424" t="s">
        <v>74</v>
      </c>
      <c r="BO424" t="s">
        <v>1412</v>
      </c>
      <c r="BP424" t="s">
        <v>74</v>
      </c>
      <c r="BQ424" t="s">
        <v>74</v>
      </c>
      <c r="BR424" t="s">
        <v>106</v>
      </c>
      <c r="BS424" t="s">
        <v>8407</v>
      </c>
      <c r="BT424" t="str">
        <f>HYPERLINK("https%3A%2F%2Fwww.webofscience.com%2Fwos%2Fwoscc%2Ffull-record%2FWOS:000373374100005","View Full Record in Web of Science")</f>
        <v>View Full Record in Web of Science</v>
      </c>
    </row>
    <row r="425" spans="1:72" x14ac:dyDescent="0.15">
      <c r="A425" t="s">
        <v>72</v>
      </c>
      <c r="B425" t="s">
        <v>8408</v>
      </c>
      <c r="C425" t="s">
        <v>74</v>
      </c>
      <c r="D425" t="s">
        <v>74</v>
      </c>
      <c r="E425" t="s">
        <v>74</v>
      </c>
      <c r="F425" t="s">
        <v>8409</v>
      </c>
      <c r="G425" t="s">
        <v>74</v>
      </c>
      <c r="H425" t="s">
        <v>74</v>
      </c>
      <c r="I425" t="s">
        <v>8410</v>
      </c>
      <c r="J425" t="s">
        <v>1868</v>
      </c>
      <c r="K425" t="s">
        <v>74</v>
      </c>
      <c r="L425" t="s">
        <v>74</v>
      </c>
      <c r="M425" t="s">
        <v>78</v>
      </c>
      <c r="N425" t="s">
        <v>79</v>
      </c>
      <c r="O425" t="s">
        <v>74</v>
      </c>
      <c r="P425" t="s">
        <v>74</v>
      </c>
      <c r="Q425" t="s">
        <v>74</v>
      </c>
      <c r="R425" t="s">
        <v>74</v>
      </c>
      <c r="S425" t="s">
        <v>74</v>
      </c>
      <c r="T425" t="s">
        <v>8411</v>
      </c>
      <c r="U425" t="s">
        <v>8412</v>
      </c>
      <c r="V425" t="s">
        <v>8413</v>
      </c>
      <c r="W425" t="s">
        <v>8414</v>
      </c>
      <c r="X425" t="s">
        <v>8415</v>
      </c>
      <c r="Y425" t="s">
        <v>8416</v>
      </c>
      <c r="Z425" t="s">
        <v>74</v>
      </c>
      <c r="AA425" t="s">
        <v>8417</v>
      </c>
      <c r="AB425" t="s">
        <v>8418</v>
      </c>
      <c r="AC425" t="s">
        <v>8419</v>
      </c>
      <c r="AD425" t="s">
        <v>8420</v>
      </c>
      <c r="AE425" t="s">
        <v>8421</v>
      </c>
      <c r="AF425" t="s">
        <v>74</v>
      </c>
      <c r="AG425">
        <v>61</v>
      </c>
      <c r="AH425">
        <v>25</v>
      </c>
      <c r="AI425">
        <v>26</v>
      </c>
      <c r="AJ425">
        <v>0</v>
      </c>
      <c r="AK425">
        <v>23</v>
      </c>
      <c r="AL425" t="s">
        <v>626</v>
      </c>
      <c r="AM425" t="s">
        <v>583</v>
      </c>
      <c r="AN425" t="s">
        <v>627</v>
      </c>
      <c r="AO425" t="s">
        <v>1876</v>
      </c>
      <c r="AP425" t="s">
        <v>1877</v>
      </c>
      <c r="AQ425" t="s">
        <v>74</v>
      </c>
      <c r="AR425" t="s">
        <v>1878</v>
      </c>
      <c r="AS425" t="s">
        <v>1879</v>
      </c>
      <c r="AT425" t="s">
        <v>6380</v>
      </c>
      <c r="AU425">
        <v>2016</v>
      </c>
      <c r="AV425">
        <v>447</v>
      </c>
      <c r="AW425" t="s">
        <v>74</v>
      </c>
      <c r="AX425" t="s">
        <v>74</v>
      </c>
      <c r="AY425" t="s">
        <v>74</v>
      </c>
      <c r="AZ425" t="s">
        <v>74</v>
      </c>
      <c r="BA425" t="s">
        <v>74</v>
      </c>
      <c r="BB425">
        <v>1</v>
      </c>
      <c r="BC425">
        <v>11</v>
      </c>
      <c r="BD425" t="s">
        <v>74</v>
      </c>
      <c r="BE425" t="s">
        <v>8422</v>
      </c>
      <c r="BF425" t="str">
        <f>HYPERLINK("http://dx.doi.org/10.1016/j.palaeo.2016.01.041","http://dx.doi.org/10.1016/j.palaeo.2016.01.041")</f>
        <v>http://dx.doi.org/10.1016/j.palaeo.2016.01.041</v>
      </c>
      <c r="BG425" t="s">
        <v>74</v>
      </c>
      <c r="BH425" t="s">
        <v>74</v>
      </c>
      <c r="BI425">
        <v>11</v>
      </c>
      <c r="BJ425" t="s">
        <v>1881</v>
      </c>
      <c r="BK425" t="s">
        <v>102</v>
      </c>
      <c r="BL425" t="s">
        <v>1882</v>
      </c>
      <c r="BM425" t="s">
        <v>8423</v>
      </c>
      <c r="BN425" t="s">
        <v>74</v>
      </c>
      <c r="BO425" t="s">
        <v>74</v>
      </c>
      <c r="BP425" t="s">
        <v>74</v>
      </c>
      <c r="BQ425" t="s">
        <v>74</v>
      </c>
      <c r="BR425" t="s">
        <v>106</v>
      </c>
      <c r="BS425" t="s">
        <v>8424</v>
      </c>
      <c r="BT425" t="str">
        <f>HYPERLINK("https%3A%2F%2Fwww.webofscience.com%2Fwos%2Fwoscc%2Ffull-record%2FWOS:000372691800001","View Full Record in Web of Science")</f>
        <v>View Full Record in Web of Science</v>
      </c>
    </row>
    <row r="426" spans="1:72" x14ac:dyDescent="0.15">
      <c r="A426" t="s">
        <v>72</v>
      </c>
      <c r="B426" t="s">
        <v>8425</v>
      </c>
      <c r="C426" t="s">
        <v>74</v>
      </c>
      <c r="D426" t="s">
        <v>74</v>
      </c>
      <c r="E426" t="s">
        <v>74</v>
      </c>
      <c r="F426" t="s">
        <v>8426</v>
      </c>
      <c r="G426" t="s">
        <v>74</v>
      </c>
      <c r="H426" t="s">
        <v>74</v>
      </c>
      <c r="I426" t="s">
        <v>8427</v>
      </c>
      <c r="J426" t="s">
        <v>8428</v>
      </c>
      <c r="K426" t="s">
        <v>74</v>
      </c>
      <c r="L426" t="s">
        <v>74</v>
      </c>
      <c r="M426" t="s">
        <v>78</v>
      </c>
      <c r="N426" t="s">
        <v>79</v>
      </c>
      <c r="O426" t="s">
        <v>74</v>
      </c>
      <c r="P426" t="s">
        <v>74</v>
      </c>
      <c r="Q426" t="s">
        <v>74</v>
      </c>
      <c r="R426" t="s">
        <v>74</v>
      </c>
      <c r="S426" t="s">
        <v>74</v>
      </c>
      <c r="T426" t="s">
        <v>74</v>
      </c>
      <c r="U426" t="s">
        <v>8429</v>
      </c>
      <c r="V426" t="s">
        <v>8430</v>
      </c>
      <c r="W426" t="s">
        <v>8431</v>
      </c>
      <c r="X426" t="s">
        <v>8432</v>
      </c>
      <c r="Y426" t="s">
        <v>8433</v>
      </c>
      <c r="Z426" t="s">
        <v>8434</v>
      </c>
      <c r="AA426" t="s">
        <v>8435</v>
      </c>
      <c r="AB426" t="s">
        <v>8436</v>
      </c>
      <c r="AC426" t="s">
        <v>8437</v>
      </c>
      <c r="AD426" t="s">
        <v>8438</v>
      </c>
      <c r="AE426" t="s">
        <v>8439</v>
      </c>
      <c r="AF426" t="s">
        <v>74</v>
      </c>
      <c r="AG426">
        <v>103</v>
      </c>
      <c r="AH426">
        <v>137</v>
      </c>
      <c r="AI426">
        <v>151</v>
      </c>
      <c r="AJ426">
        <v>1</v>
      </c>
      <c r="AK426">
        <v>18</v>
      </c>
      <c r="AL426" t="s">
        <v>1207</v>
      </c>
      <c r="AM426" t="s">
        <v>1208</v>
      </c>
      <c r="AN426" t="s">
        <v>1209</v>
      </c>
      <c r="AO426" t="s">
        <v>8440</v>
      </c>
      <c r="AP426" t="s">
        <v>8441</v>
      </c>
      <c r="AQ426" t="s">
        <v>74</v>
      </c>
      <c r="AR426" t="s">
        <v>8442</v>
      </c>
      <c r="AS426" t="s">
        <v>8443</v>
      </c>
      <c r="AT426" t="s">
        <v>6000</v>
      </c>
      <c r="AU426">
        <v>2016</v>
      </c>
      <c r="AV426">
        <v>12</v>
      </c>
      <c r="AW426">
        <v>4</v>
      </c>
      <c r="AX426" t="s">
        <v>74</v>
      </c>
      <c r="AY426" t="s">
        <v>74</v>
      </c>
      <c r="AZ426" t="s">
        <v>74</v>
      </c>
      <c r="BA426" t="s">
        <v>74</v>
      </c>
      <c r="BB426" t="s">
        <v>74</v>
      </c>
      <c r="BC426" t="s">
        <v>74</v>
      </c>
      <c r="BD426" t="s">
        <v>8444</v>
      </c>
      <c r="BE426" t="s">
        <v>8445</v>
      </c>
      <c r="BF426" t="str">
        <f>HYPERLINK("http://dx.doi.org/10.1371/journal.ppat.1005574","http://dx.doi.org/10.1371/journal.ppat.1005574")</f>
        <v>http://dx.doi.org/10.1371/journal.ppat.1005574</v>
      </c>
      <c r="BG426" t="s">
        <v>74</v>
      </c>
      <c r="BH426" t="s">
        <v>74</v>
      </c>
      <c r="BI426">
        <v>26</v>
      </c>
      <c r="BJ426" t="s">
        <v>8446</v>
      </c>
      <c r="BK426" t="s">
        <v>102</v>
      </c>
      <c r="BL426" t="s">
        <v>8446</v>
      </c>
      <c r="BM426" t="s">
        <v>8447</v>
      </c>
      <c r="BN426">
        <v>27093155</v>
      </c>
      <c r="BO426" t="s">
        <v>8448</v>
      </c>
      <c r="BP426" t="s">
        <v>74</v>
      </c>
      <c r="BQ426" t="s">
        <v>74</v>
      </c>
      <c r="BR426" t="s">
        <v>106</v>
      </c>
      <c r="BS426" t="s">
        <v>8449</v>
      </c>
      <c r="BT426" t="str">
        <f>HYPERLINK("https%3A%2F%2Fwww.webofscience.com%2Fwos%2Fwoscc%2Ffull-record%2FWOS:000378156900052","View Full Record in Web of Science")</f>
        <v>View Full Record in Web of Science</v>
      </c>
    </row>
    <row r="427" spans="1:72" x14ac:dyDescent="0.15">
      <c r="A427" t="s">
        <v>72</v>
      </c>
      <c r="B427" t="s">
        <v>8450</v>
      </c>
      <c r="C427" t="s">
        <v>74</v>
      </c>
      <c r="D427" t="s">
        <v>74</v>
      </c>
      <c r="E427" t="s">
        <v>74</v>
      </c>
      <c r="F427" t="s">
        <v>8451</v>
      </c>
      <c r="G427" t="s">
        <v>74</v>
      </c>
      <c r="H427" t="s">
        <v>74</v>
      </c>
      <c r="I427" t="s">
        <v>8452</v>
      </c>
      <c r="J427" t="s">
        <v>3453</v>
      </c>
      <c r="K427" t="s">
        <v>74</v>
      </c>
      <c r="L427" t="s">
        <v>74</v>
      </c>
      <c r="M427" t="s">
        <v>78</v>
      </c>
      <c r="N427" t="s">
        <v>79</v>
      </c>
      <c r="O427" t="s">
        <v>74</v>
      </c>
      <c r="P427" t="s">
        <v>74</v>
      </c>
      <c r="Q427" t="s">
        <v>74</v>
      </c>
      <c r="R427" t="s">
        <v>74</v>
      </c>
      <c r="S427" t="s">
        <v>74</v>
      </c>
      <c r="T427" t="s">
        <v>8453</v>
      </c>
      <c r="U427" t="s">
        <v>8454</v>
      </c>
      <c r="V427" t="s">
        <v>8455</v>
      </c>
      <c r="W427" t="s">
        <v>8456</v>
      </c>
      <c r="X427" t="s">
        <v>8457</v>
      </c>
      <c r="Y427" t="s">
        <v>8458</v>
      </c>
      <c r="Z427" t="s">
        <v>8459</v>
      </c>
      <c r="AA427" t="s">
        <v>74</v>
      </c>
      <c r="AB427" t="s">
        <v>8460</v>
      </c>
      <c r="AC427" t="s">
        <v>8461</v>
      </c>
      <c r="AD427" t="s">
        <v>8462</v>
      </c>
      <c r="AE427" t="s">
        <v>8463</v>
      </c>
      <c r="AF427" t="s">
        <v>74</v>
      </c>
      <c r="AG427">
        <v>40</v>
      </c>
      <c r="AH427">
        <v>23</v>
      </c>
      <c r="AI427">
        <v>28</v>
      </c>
      <c r="AJ427">
        <v>3</v>
      </c>
      <c r="AK427">
        <v>31</v>
      </c>
      <c r="AL427" t="s">
        <v>194</v>
      </c>
      <c r="AM427" t="s">
        <v>262</v>
      </c>
      <c r="AN427" t="s">
        <v>263</v>
      </c>
      <c r="AO427" t="s">
        <v>3466</v>
      </c>
      <c r="AP427" t="s">
        <v>3467</v>
      </c>
      <c r="AQ427" t="s">
        <v>74</v>
      </c>
      <c r="AR427" t="s">
        <v>3468</v>
      </c>
      <c r="AS427" t="s">
        <v>3469</v>
      </c>
      <c r="AT427" t="s">
        <v>6000</v>
      </c>
      <c r="AU427">
        <v>2016</v>
      </c>
      <c r="AV427">
        <v>39</v>
      </c>
      <c r="AW427">
        <v>4</v>
      </c>
      <c r="AX427" t="s">
        <v>74</v>
      </c>
      <c r="AY427" t="s">
        <v>74</v>
      </c>
      <c r="AZ427" t="s">
        <v>74</v>
      </c>
      <c r="BA427" t="s">
        <v>74</v>
      </c>
      <c r="BB427">
        <v>605</v>
      </c>
      <c r="BC427">
        <v>616</v>
      </c>
      <c r="BD427" t="s">
        <v>74</v>
      </c>
      <c r="BE427" t="s">
        <v>8464</v>
      </c>
      <c r="BF427" t="str">
        <f>HYPERLINK("http://dx.doi.org/10.1007/s00300-015-1815-8","http://dx.doi.org/10.1007/s00300-015-1815-8")</f>
        <v>http://dx.doi.org/10.1007/s00300-015-1815-8</v>
      </c>
      <c r="BG427" t="s">
        <v>74</v>
      </c>
      <c r="BH427" t="s">
        <v>74</v>
      </c>
      <c r="BI427">
        <v>12</v>
      </c>
      <c r="BJ427" t="s">
        <v>291</v>
      </c>
      <c r="BK427" t="s">
        <v>102</v>
      </c>
      <c r="BL427" t="s">
        <v>133</v>
      </c>
      <c r="BM427" t="s">
        <v>6805</v>
      </c>
      <c r="BN427" t="s">
        <v>74</v>
      </c>
      <c r="BO427" t="s">
        <v>74</v>
      </c>
      <c r="BP427" t="s">
        <v>74</v>
      </c>
      <c r="BQ427" t="s">
        <v>74</v>
      </c>
      <c r="BR427" t="s">
        <v>106</v>
      </c>
      <c r="BS427" t="s">
        <v>8465</v>
      </c>
      <c r="BT427" t="str">
        <f>HYPERLINK("https%3A%2F%2Fwww.webofscience.com%2Fwos%2Fwoscc%2Ffull-record%2FWOS:000374662100004","View Full Record in Web of Science")</f>
        <v>View Full Record in Web of Science</v>
      </c>
    </row>
    <row r="428" spans="1:72" x14ac:dyDescent="0.15">
      <c r="A428" t="s">
        <v>72</v>
      </c>
      <c r="B428" t="s">
        <v>8466</v>
      </c>
      <c r="C428" t="s">
        <v>74</v>
      </c>
      <c r="D428" t="s">
        <v>74</v>
      </c>
      <c r="E428" t="s">
        <v>74</v>
      </c>
      <c r="F428" t="s">
        <v>8467</v>
      </c>
      <c r="G428" t="s">
        <v>74</v>
      </c>
      <c r="H428" t="s">
        <v>74</v>
      </c>
      <c r="I428" t="s">
        <v>8468</v>
      </c>
      <c r="J428" t="s">
        <v>3453</v>
      </c>
      <c r="K428" t="s">
        <v>74</v>
      </c>
      <c r="L428" t="s">
        <v>74</v>
      </c>
      <c r="M428" t="s">
        <v>78</v>
      </c>
      <c r="N428" t="s">
        <v>79</v>
      </c>
      <c r="O428" t="s">
        <v>74</v>
      </c>
      <c r="P428" t="s">
        <v>74</v>
      </c>
      <c r="Q428" t="s">
        <v>74</v>
      </c>
      <c r="R428" t="s">
        <v>74</v>
      </c>
      <c r="S428" t="s">
        <v>74</v>
      </c>
      <c r="T428" t="s">
        <v>8469</v>
      </c>
      <c r="U428" t="s">
        <v>8470</v>
      </c>
      <c r="V428" t="s">
        <v>8471</v>
      </c>
      <c r="W428" t="s">
        <v>8472</v>
      </c>
      <c r="X428" t="s">
        <v>8473</v>
      </c>
      <c r="Y428" t="s">
        <v>8474</v>
      </c>
      <c r="Z428" t="s">
        <v>8475</v>
      </c>
      <c r="AA428" t="s">
        <v>8476</v>
      </c>
      <c r="AB428" t="s">
        <v>8477</v>
      </c>
      <c r="AC428" t="s">
        <v>8478</v>
      </c>
      <c r="AD428" t="s">
        <v>8479</v>
      </c>
      <c r="AE428" t="s">
        <v>8480</v>
      </c>
      <c r="AF428" t="s">
        <v>74</v>
      </c>
      <c r="AG428">
        <v>62</v>
      </c>
      <c r="AH428">
        <v>8</v>
      </c>
      <c r="AI428">
        <v>8</v>
      </c>
      <c r="AJ428">
        <v>0</v>
      </c>
      <c r="AK428">
        <v>12</v>
      </c>
      <c r="AL428" t="s">
        <v>194</v>
      </c>
      <c r="AM428" t="s">
        <v>262</v>
      </c>
      <c r="AN428" t="s">
        <v>263</v>
      </c>
      <c r="AO428" t="s">
        <v>3466</v>
      </c>
      <c r="AP428" t="s">
        <v>3467</v>
      </c>
      <c r="AQ428" t="s">
        <v>74</v>
      </c>
      <c r="AR428" t="s">
        <v>3468</v>
      </c>
      <c r="AS428" t="s">
        <v>3469</v>
      </c>
      <c r="AT428" t="s">
        <v>6000</v>
      </c>
      <c r="AU428">
        <v>2016</v>
      </c>
      <c r="AV428">
        <v>39</v>
      </c>
      <c r="AW428">
        <v>4</v>
      </c>
      <c r="AX428" t="s">
        <v>74</v>
      </c>
      <c r="AY428" t="s">
        <v>74</v>
      </c>
      <c r="AZ428" t="s">
        <v>74</v>
      </c>
      <c r="BA428" t="s">
        <v>74</v>
      </c>
      <c r="BB428">
        <v>617</v>
      </c>
      <c r="BC428">
        <v>625</v>
      </c>
      <c r="BD428" t="s">
        <v>74</v>
      </c>
      <c r="BE428" t="s">
        <v>8481</v>
      </c>
      <c r="BF428" t="str">
        <f>HYPERLINK("http://dx.doi.org/10.1007/s00300-015-1817-6","http://dx.doi.org/10.1007/s00300-015-1817-6")</f>
        <v>http://dx.doi.org/10.1007/s00300-015-1817-6</v>
      </c>
      <c r="BG428" t="s">
        <v>74</v>
      </c>
      <c r="BH428" t="s">
        <v>74</v>
      </c>
      <c r="BI428">
        <v>9</v>
      </c>
      <c r="BJ428" t="s">
        <v>291</v>
      </c>
      <c r="BK428" t="s">
        <v>102</v>
      </c>
      <c r="BL428" t="s">
        <v>133</v>
      </c>
      <c r="BM428" t="s">
        <v>6805</v>
      </c>
      <c r="BN428" t="s">
        <v>74</v>
      </c>
      <c r="BO428" t="s">
        <v>380</v>
      </c>
      <c r="BP428" t="s">
        <v>74</v>
      </c>
      <c r="BQ428" t="s">
        <v>74</v>
      </c>
      <c r="BR428" t="s">
        <v>106</v>
      </c>
      <c r="BS428" t="s">
        <v>8482</v>
      </c>
      <c r="BT428" t="str">
        <f>HYPERLINK("https%3A%2F%2Fwww.webofscience.com%2Fwos%2Fwoscc%2Ffull-record%2FWOS:000374662100005","View Full Record in Web of Science")</f>
        <v>View Full Record in Web of Science</v>
      </c>
    </row>
    <row r="429" spans="1:72" x14ac:dyDescent="0.15">
      <c r="A429" t="s">
        <v>72</v>
      </c>
      <c r="B429" t="s">
        <v>8483</v>
      </c>
      <c r="C429" t="s">
        <v>74</v>
      </c>
      <c r="D429" t="s">
        <v>74</v>
      </c>
      <c r="E429" t="s">
        <v>74</v>
      </c>
      <c r="F429" t="s">
        <v>8484</v>
      </c>
      <c r="G429" t="s">
        <v>74</v>
      </c>
      <c r="H429" t="s">
        <v>74</v>
      </c>
      <c r="I429" t="s">
        <v>8485</v>
      </c>
      <c r="J429" t="s">
        <v>3453</v>
      </c>
      <c r="K429" t="s">
        <v>74</v>
      </c>
      <c r="L429" t="s">
        <v>74</v>
      </c>
      <c r="M429" t="s">
        <v>78</v>
      </c>
      <c r="N429" t="s">
        <v>79</v>
      </c>
      <c r="O429" t="s">
        <v>74</v>
      </c>
      <c r="P429" t="s">
        <v>74</v>
      </c>
      <c r="Q429" t="s">
        <v>74</v>
      </c>
      <c r="R429" t="s">
        <v>74</v>
      </c>
      <c r="S429" t="s">
        <v>74</v>
      </c>
      <c r="T429" t="s">
        <v>8486</v>
      </c>
      <c r="U429" t="s">
        <v>8487</v>
      </c>
      <c r="V429" t="s">
        <v>8488</v>
      </c>
      <c r="W429" t="s">
        <v>8489</v>
      </c>
      <c r="X429" t="s">
        <v>8490</v>
      </c>
      <c r="Y429" t="s">
        <v>8491</v>
      </c>
      <c r="Z429" t="s">
        <v>8492</v>
      </c>
      <c r="AA429" t="s">
        <v>8493</v>
      </c>
      <c r="AB429" t="s">
        <v>8494</v>
      </c>
      <c r="AC429" t="s">
        <v>8495</v>
      </c>
      <c r="AD429" t="s">
        <v>8496</v>
      </c>
      <c r="AE429" t="s">
        <v>8497</v>
      </c>
      <c r="AF429" t="s">
        <v>74</v>
      </c>
      <c r="AG429">
        <v>58</v>
      </c>
      <c r="AH429">
        <v>21</v>
      </c>
      <c r="AI429">
        <v>23</v>
      </c>
      <c r="AJ429">
        <v>0</v>
      </c>
      <c r="AK429">
        <v>30</v>
      </c>
      <c r="AL429" t="s">
        <v>194</v>
      </c>
      <c r="AM429" t="s">
        <v>262</v>
      </c>
      <c r="AN429" t="s">
        <v>2836</v>
      </c>
      <c r="AO429" t="s">
        <v>3466</v>
      </c>
      <c r="AP429" t="s">
        <v>3467</v>
      </c>
      <c r="AQ429" t="s">
        <v>74</v>
      </c>
      <c r="AR429" t="s">
        <v>3468</v>
      </c>
      <c r="AS429" t="s">
        <v>3469</v>
      </c>
      <c r="AT429" t="s">
        <v>6000</v>
      </c>
      <c r="AU429">
        <v>2016</v>
      </c>
      <c r="AV429">
        <v>39</v>
      </c>
      <c r="AW429">
        <v>4</v>
      </c>
      <c r="AX429" t="s">
        <v>74</v>
      </c>
      <c r="AY429" t="s">
        <v>74</v>
      </c>
      <c r="AZ429" t="s">
        <v>74</v>
      </c>
      <c r="BA429" t="s">
        <v>74</v>
      </c>
      <c r="BB429">
        <v>677</v>
      </c>
      <c r="BC429">
        <v>688</v>
      </c>
      <c r="BD429" t="s">
        <v>74</v>
      </c>
      <c r="BE429" t="s">
        <v>8498</v>
      </c>
      <c r="BF429" t="str">
        <f>HYPERLINK("http://dx.doi.org/10.1007/s00300-015-1823-8","http://dx.doi.org/10.1007/s00300-015-1823-8")</f>
        <v>http://dx.doi.org/10.1007/s00300-015-1823-8</v>
      </c>
      <c r="BG429" t="s">
        <v>74</v>
      </c>
      <c r="BH429" t="s">
        <v>74</v>
      </c>
      <c r="BI429">
        <v>12</v>
      </c>
      <c r="BJ429" t="s">
        <v>291</v>
      </c>
      <c r="BK429" t="s">
        <v>102</v>
      </c>
      <c r="BL429" t="s">
        <v>133</v>
      </c>
      <c r="BM429" t="s">
        <v>6805</v>
      </c>
      <c r="BN429" t="s">
        <v>74</v>
      </c>
      <c r="BO429" t="s">
        <v>74</v>
      </c>
      <c r="BP429" t="s">
        <v>74</v>
      </c>
      <c r="BQ429" t="s">
        <v>74</v>
      </c>
      <c r="BR429" t="s">
        <v>106</v>
      </c>
      <c r="BS429" t="s">
        <v>8499</v>
      </c>
      <c r="BT429" t="str">
        <f>HYPERLINK("https%3A%2F%2Fwww.webofscience.com%2Fwos%2Fwoscc%2Ffull-record%2FWOS:000374662100011","View Full Record in Web of Science")</f>
        <v>View Full Record in Web of Science</v>
      </c>
    </row>
    <row r="430" spans="1:72" x14ac:dyDescent="0.15">
      <c r="A430" t="s">
        <v>72</v>
      </c>
      <c r="B430" t="s">
        <v>8500</v>
      </c>
      <c r="C430" t="s">
        <v>74</v>
      </c>
      <c r="D430" t="s">
        <v>74</v>
      </c>
      <c r="E430" t="s">
        <v>74</v>
      </c>
      <c r="F430" t="s">
        <v>8501</v>
      </c>
      <c r="G430" t="s">
        <v>74</v>
      </c>
      <c r="H430" t="s">
        <v>74</v>
      </c>
      <c r="I430" t="s">
        <v>8502</v>
      </c>
      <c r="J430" t="s">
        <v>8503</v>
      </c>
      <c r="K430" t="s">
        <v>74</v>
      </c>
      <c r="L430" t="s">
        <v>74</v>
      </c>
      <c r="M430" t="s">
        <v>78</v>
      </c>
      <c r="N430" t="s">
        <v>79</v>
      </c>
      <c r="O430" t="s">
        <v>74</v>
      </c>
      <c r="P430" t="s">
        <v>74</v>
      </c>
      <c r="Q430" t="s">
        <v>74</v>
      </c>
      <c r="R430" t="s">
        <v>74</v>
      </c>
      <c r="S430" t="s">
        <v>74</v>
      </c>
      <c r="T430" t="s">
        <v>8504</v>
      </c>
      <c r="U430" t="s">
        <v>8505</v>
      </c>
      <c r="V430" t="s">
        <v>8506</v>
      </c>
      <c r="W430" t="s">
        <v>8507</v>
      </c>
      <c r="X430" t="s">
        <v>8508</v>
      </c>
      <c r="Y430" t="s">
        <v>8509</v>
      </c>
      <c r="Z430" t="s">
        <v>8510</v>
      </c>
      <c r="AA430" t="s">
        <v>8511</v>
      </c>
      <c r="AB430" t="s">
        <v>8512</v>
      </c>
      <c r="AC430" t="s">
        <v>8513</v>
      </c>
      <c r="AD430" t="s">
        <v>8514</v>
      </c>
      <c r="AE430" t="s">
        <v>8515</v>
      </c>
      <c r="AF430" t="s">
        <v>74</v>
      </c>
      <c r="AG430">
        <v>34</v>
      </c>
      <c r="AH430">
        <v>5</v>
      </c>
      <c r="AI430">
        <v>5</v>
      </c>
      <c r="AJ430">
        <v>0</v>
      </c>
      <c r="AK430">
        <v>32</v>
      </c>
      <c r="AL430" t="s">
        <v>2709</v>
      </c>
      <c r="AM430" t="s">
        <v>773</v>
      </c>
      <c r="AN430" t="s">
        <v>2710</v>
      </c>
      <c r="AO430" t="s">
        <v>8516</v>
      </c>
      <c r="AP430" t="s">
        <v>8517</v>
      </c>
      <c r="AQ430" t="s">
        <v>74</v>
      </c>
      <c r="AR430" t="s">
        <v>8518</v>
      </c>
      <c r="AS430" t="s">
        <v>8519</v>
      </c>
      <c r="AT430" t="s">
        <v>6380</v>
      </c>
      <c r="AU430">
        <v>2016</v>
      </c>
      <c r="AV430">
        <v>472</v>
      </c>
      <c r="AW430">
        <v>2188</v>
      </c>
      <c r="AX430" t="s">
        <v>74</v>
      </c>
      <c r="AY430" t="s">
        <v>74</v>
      </c>
      <c r="AZ430" t="s">
        <v>74</v>
      </c>
      <c r="BA430" t="s">
        <v>74</v>
      </c>
      <c r="BB430" t="s">
        <v>74</v>
      </c>
      <c r="BC430" t="s">
        <v>74</v>
      </c>
      <c r="BD430">
        <v>20150798</v>
      </c>
      <c r="BE430" t="s">
        <v>8520</v>
      </c>
      <c r="BF430" t="str">
        <f>HYPERLINK("http://dx.doi.org/10.1098/rspa.2015.0798","http://dx.doi.org/10.1098/rspa.2015.0798")</f>
        <v>http://dx.doi.org/10.1098/rspa.2015.0798</v>
      </c>
      <c r="BG430" t="s">
        <v>74</v>
      </c>
      <c r="BH430" t="s">
        <v>74</v>
      </c>
      <c r="BI430">
        <v>19</v>
      </c>
      <c r="BJ430" t="s">
        <v>753</v>
      </c>
      <c r="BK430" t="s">
        <v>102</v>
      </c>
      <c r="BL430" t="s">
        <v>754</v>
      </c>
      <c r="BM430" t="s">
        <v>8521</v>
      </c>
      <c r="BN430">
        <v>27274688</v>
      </c>
      <c r="BO430" t="s">
        <v>8522</v>
      </c>
      <c r="BP430" t="s">
        <v>74</v>
      </c>
      <c r="BQ430" t="s">
        <v>74</v>
      </c>
      <c r="BR430" t="s">
        <v>106</v>
      </c>
      <c r="BS430" t="s">
        <v>8523</v>
      </c>
      <c r="BT430" t="str">
        <f>HYPERLINK("https%3A%2F%2Fwww.webofscience.com%2Fwos%2Fwoscc%2Ffull-record%2FWOS:000377720900007","View Full Record in Web of Science")</f>
        <v>View Full Record in Web of Science</v>
      </c>
    </row>
    <row r="431" spans="1:72" x14ac:dyDescent="0.15">
      <c r="A431" t="s">
        <v>72</v>
      </c>
      <c r="B431" t="s">
        <v>8524</v>
      </c>
      <c r="C431" t="s">
        <v>74</v>
      </c>
      <c r="D431" t="s">
        <v>74</v>
      </c>
      <c r="E431" t="s">
        <v>74</v>
      </c>
      <c r="F431" t="s">
        <v>8525</v>
      </c>
      <c r="G431" t="s">
        <v>74</v>
      </c>
      <c r="H431" t="s">
        <v>74</v>
      </c>
      <c r="I431" t="s">
        <v>8526</v>
      </c>
      <c r="J431" t="s">
        <v>8527</v>
      </c>
      <c r="K431" t="s">
        <v>74</v>
      </c>
      <c r="L431" t="s">
        <v>74</v>
      </c>
      <c r="M431" t="s">
        <v>78</v>
      </c>
      <c r="N431" t="s">
        <v>79</v>
      </c>
      <c r="O431" t="s">
        <v>74</v>
      </c>
      <c r="P431" t="s">
        <v>74</v>
      </c>
      <c r="Q431" t="s">
        <v>74</v>
      </c>
      <c r="R431" t="s">
        <v>74</v>
      </c>
      <c r="S431" t="s">
        <v>74</v>
      </c>
      <c r="T431" t="s">
        <v>8528</v>
      </c>
      <c r="U431" t="s">
        <v>8529</v>
      </c>
      <c r="V431" t="s">
        <v>8530</v>
      </c>
      <c r="W431" t="s">
        <v>8531</v>
      </c>
      <c r="X431" t="s">
        <v>8532</v>
      </c>
      <c r="Y431" t="s">
        <v>8533</v>
      </c>
      <c r="Z431" t="s">
        <v>8534</v>
      </c>
      <c r="AA431" t="s">
        <v>8535</v>
      </c>
      <c r="AB431" t="s">
        <v>8536</v>
      </c>
      <c r="AC431" t="s">
        <v>8537</v>
      </c>
      <c r="AD431" t="s">
        <v>8538</v>
      </c>
      <c r="AE431" t="s">
        <v>8539</v>
      </c>
      <c r="AF431" t="s">
        <v>74</v>
      </c>
      <c r="AG431">
        <v>101</v>
      </c>
      <c r="AH431">
        <v>246</v>
      </c>
      <c r="AI431">
        <v>271</v>
      </c>
      <c r="AJ431">
        <v>9</v>
      </c>
      <c r="AK431">
        <v>221</v>
      </c>
      <c r="AL431" t="s">
        <v>8540</v>
      </c>
      <c r="AM431" t="s">
        <v>8541</v>
      </c>
      <c r="AN431" t="s">
        <v>8542</v>
      </c>
      <c r="AO431" t="s">
        <v>8543</v>
      </c>
      <c r="AP431" t="s">
        <v>74</v>
      </c>
      <c r="AQ431" t="s">
        <v>74</v>
      </c>
      <c r="AR431" t="s">
        <v>8527</v>
      </c>
      <c r="AS431" t="s">
        <v>8544</v>
      </c>
      <c r="AT431" t="s">
        <v>6000</v>
      </c>
      <c r="AU431">
        <v>2016</v>
      </c>
      <c r="AV431">
        <v>167</v>
      </c>
      <c r="AW431">
        <v>2</v>
      </c>
      <c r="AX431" t="s">
        <v>74</v>
      </c>
      <c r="AY431" t="s">
        <v>74</v>
      </c>
      <c r="AZ431" t="s">
        <v>74</v>
      </c>
      <c r="BA431" t="s">
        <v>74</v>
      </c>
      <c r="BB431">
        <v>106</v>
      </c>
      <c r="BC431">
        <v>120</v>
      </c>
      <c r="BD431" t="s">
        <v>74</v>
      </c>
      <c r="BE431" t="s">
        <v>8545</v>
      </c>
      <c r="BF431" t="str">
        <f>HYPERLINK("http://dx.doi.org/10.1016/j.protis.2016.01.003","http://dx.doi.org/10.1016/j.protis.2016.01.003")</f>
        <v>http://dx.doi.org/10.1016/j.protis.2016.01.003</v>
      </c>
      <c r="BG431" t="s">
        <v>74</v>
      </c>
      <c r="BH431" t="s">
        <v>74</v>
      </c>
      <c r="BI431">
        <v>15</v>
      </c>
      <c r="BJ431" t="s">
        <v>2538</v>
      </c>
      <c r="BK431" t="s">
        <v>102</v>
      </c>
      <c r="BL431" t="s">
        <v>2538</v>
      </c>
      <c r="BM431" t="s">
        <v>8546</v>
      </c>
      <c r="BN431">
        <v>26927496</v>
      </c>
      <c r="BO431" t="s">
        <v>1319</v>
      </c>
      <c r="BP431" t="s">
        <v>74</v>
      </c>
      <c r="BQ431" t="s">
        <v>74</v>
      </c>
      <c r="BR431" t="s">
        <v>106</v>
      </c>
      <c r="BS431" t="s">
        <v>8547</v>
      </c>
      <c r="BT431" t="str">
        <f>HYPERLINK("https%3A%2F%2Fwww.webofscience.com%2Fwos%2Fwoscc%2Ffull-record%2FWOS:000374766700002","View Full Record in Web of Science")</f>
        <v>View Full Record in Web of Science</v>
      </c>
    </row>
    <row r="432" spans="1:72" x14ac:dyDescent="0.15">
      <c r="A432" t="s">
        <v>72</v>
      </c>
      <c r="B432" t="s">
        <v>8548</v>
      </c>
      <c r="C432" t="s">
        <v>74</v>
      </c>
      <c r="D432" t="s">
        <v>74</v>
      </c>
      <c r="E432" t="s">
        <v>74</v>
      </c>
      <c r="F432" t="s">
        <v>8549</v>
      </c>
      <c r="G432" t="s">
        <v>74</v>
      </c>
      <c r="H432" t="s">
        <v>74</v>
      </c>
      <c r="I432" t="s">
        <v>8550</v>
      </c>
      <c r="J432" t="s">
        <v>8551</v>
      </c>
      <c r="K432" t="s">
        <v>74</v>
      </c>
      <c r="L432" t="s">
        <v>74</v>
      </c>
      <c r="M432" t="s">
        <v>78</v>
      </c>
      <c r="N432" t="s">
        <v>79</v>
      </c>
      <c r="O432" t="s">
        <v>74</v>
      </c>
      <c r="P432" t="s">
        <v>74</v>
      </c>
      <c r="Q432" t="s">
        <v>74</v>
      </c>
      <c r="R432" t="s">
        <v>74</v>
      </c>
      <c r="S432" t="s">
        <v>74</v>
      </c>
      <c r="T432" t="s">
        <v>8552</v>
      </c>
      <c r="U432" t="s">
        <v>8553</v>
      </c>
      <c r="V432" t="s">
        <v>8554</v>
      </c>
      <c r="W432" t="s">
        <v>8555</v>
      </c>
      <c r="X432" t="s">
        <v>8556</v>
      </c>
      <c r="Y432" t="s">
        <v>8557</v>
      </c>
      <c r="Z432" t="s">
        <v>8558</v>
      </c>
      <c r="AA432" t="s">
        <v>8559</v>
      </c>
      <c r="AB432" t="s">
        <v>8560</v>
      </c>
      <c r="AC432" t="s">
        <v>8561</v>
      </c>
      <c r="AD432" t="s">
        <v>8562</v>
      </c>
      <c r="AE432" t="s">
        <v>8563</v>
      </c>
      <c r="AF432" t="s">
        <v>74</v>
      </c>
      <c r="AG432">
        <v>45</v>
      </c>
      <c r="AH432">
        <v>34</v>
      </c>
      <c r="AI432">
        <v>36</v>
      </c>
      <c r="AJ432">
        <v>2</v>
      </c>
      <c r="AK432">
        <v>16</v>
      </c>
      <c r="AL432" t="s">
        <v>8564</v>
      </c>
      <c r="AM432" t="s">
        <v>2578</v>
      </c>
      <c r="AN432" t="s">
        <v>8565</v>
      </c>
      <c r="AO432" t="s">
        <v>8566</v>
      </c>
      <c r="AP432" t="s">
        <v>8567</v>
      </c>
      <c r="AQ432" t="s">
        <v>74</v>
      </c>
      <c r="AR432" t="s">
        <v>8568</v>
      </c>
      <c r="AS432" t="s">
        <v>8569</v>
      </c>
      <c r="AT432" t="s">
        <v>6000</v>
      </c>
      <c r="AU432">
        <v>2016</v>
      </c>
      <c r="AV432">
        <v>173</v>
      </c>
      <c r="AW432">
        <v>4</v>
      </c>
      <c r="AX432" t="s">
        <v>74</v>
      </c>
      <c r="AY432" t="s">
        <v>74</v>
      </c>
      <c r="AZ432" t="s">
        <v>74</v>
      </c>
      <c r="BA432" t="s">
        <v>74</v>
      </c>
      <c r="BB432">
        <v>1011</v>
      </c>
      <c r="BC432">
        <v>1020</v>
      </c>
      <c r="BD432" t="s">
        <v>74</v>
      </c>
      <c r="BE432" t="s">
        <v>8570</v>
      </c>
      <c r="BF432" t="str">
        <f>HYPERLINK("http://dx.doi.org/10.1007/s00024-016-1271-6","http://dx.doi.org/10.1007/s00024-016-1271-6")</f>
        <v>http://dx.doi.org/10.1007/s00024-016-1271-6</v>
      </c>
      <c r="BG432" t="s">
        <v>74</v>
      </c>
      <c r="BH432" t="s">
        <v>74</v>
      </c>
      <c r="BI432">
        <v>10</v>
      </c>
      <c r="BJ432" t="s">
        <v>727</v>
      </c>
      <c r="BK432" t="s">
        <v>102</v>
      </c>
      <c r="BL432" t="s">
        <v>727</v>
      </c>
      <c r="BM432" t="s">
        <v>8571</v>
      </c>
      <c r="BN432" t="s">
        <v>74</v>
      </c>
      <c r="BO432" t="s">
        <v>74</v>
      </c>
      <c r="BP432" t="s">
        <v>74</v>
      </c>
      <c r="BQ432" t="s">
        <v>74</v>
      </c>
      <c r="BR432" t="s">
        <v>106</v>
      </c>
      <c r="BS432" t="s">
        <v>8572</v>
      </c>
      <c r="BT432" t="str">
        <f>HYPERLINK("https%3A%2F%2Fwww.webofscience.com%2Fwos%2Fwoscc%2Ffull-record%2FWOS:000373707400001","View Full Record in Web of Science")</f>
        <v>View Full Record in Web of Science</v>
      </c>
    </row>
    <row r="433" spans="1:72" x14ac:dyDescent="0.15">
      <c r="A433" t="s">
        <v>72</v>
      </c>
      <c r="B433" t="s">
        <v>8573</v>
      </c>
      <c r="C433" t="s">
        <v>74</v>
      </c>
      <c r="D433" t="s">
        <v>74</v>
      </c>
      <c r="E433" t="s">
        <v>74</v>
      </c>
      <c r="F433" t="s">
        <v>8574</v>
      </c>
      <c r="G433" t="s">
        <v>74</v>
      </c>
      <c r="H433" t="s">
        <v>74</v>
      </c>
      <c r="I433" t="s">
        <v>8575</v>
      </c>
      <c r="J433" t="s">
        <v>8576</v>
      </c>
      <c r="K433" t="s">
        <v>74</v>
      </c>
      <c r="L433" t="s">
        <v>74</v>
      </c>
      <c r="M433" t="s">
        <v>78</v>
      </c>
      <c r="N433" t="s">
        <v>79</v>
      </c>
      <c r="O433" t="s">
        <v>74</v>
      </c>
      <c r="P433" t="s">
        <v>74</v>
      </c>
      <c r="Q433" t="s">
        <v>74</v>
      </c>
      <c r="R433" t="s">
        <v>74</v>
      </c>
      <c r="S433" t="s">
        <v>74</v>
      </c>
      <c r="T433" t="s">
        <v>8577</v>
      </c>
      <c r="U433" t="s">
        <v>8578</v>
      </c>
      <c r="V433" t="s">
        <v>8579</v>
      </c>
      <c r="W433" t="s">
        <v>8580</v>
      </c>
      <c r="X433" t="s">
        <v>8581</v>
      </c>
      <c r="Y433" t="s">
        <v>8582</v>
      </c>
      <c r="Z433" t="s">
        <v>8583</v>
      </c>
      <c r="AA433" t="s">
        <v>8584</v>
      </c>
      <c r="AB433" t="s">
        <v>8585</v>
      </c>
      <c r="AC433" t="s">
        <v>8586</v>
      </c>
      <c r="AD433" t="s">
        <v>8587</v>
      </c>
      <c r="AE433" t="s">
        <v>8588</v>
      </c>
      <c r="AF433" t="s">
        <v>74</v>
      </c>
      <c r="AG433">
        <v>47</v>
      </c>
      <c r="AH433">
        <v>25</v>
      </c>
      <c r="AI433">
        <v>26</v>
      </c>
      <c r="AJ433">
        <v>0</v>
      </c>
      <c r="AK433">
        <v>15</v>
      </c>
      <c r="AL433" t="s">
        <v>721</v>
      </c>
      <c r="AM433" t="s">
        <v>125</v>
      </c>
      <c r="AN433" t="s">
        <v>126</v>
      </c>
      <c r="AO433" t="s">
        <v>8589</v>
      </c>
      <c r="AP433" t="s">
        <v>8590</v>
      </c>
      <c r="AQ433" t="s">
        <v>74</v>
      </c>
      <c r="AR433" t="s">
        <v>8591</v>
      </c>
      <c r="AS433" t="s">
        <v>8592</v>
      </c>
      <c r="AT433" t="s">
        <v>6000</v>
      </c>
      <c r="AU433">
        <v>2016</v>
      </c>
      <c r="AV433">
        <v>142</v>
      </c>
      <c r="AW433">
        <v>697</v>
      </c>
      <c r="AX433" t="s">
        <v>8593</v>
      </c>
      <c r="AY433" t="s">
        <v>74</v>
      </c>
      <c r="AZ433" t="s">
        <v>74</v>
      </c>
      <c r="BA433" t="s">
        <v>74</v>
      </c>
      <c r="BB433">
        <v>1847</v>
      </c>
      <c r="BC433">
        <v>1861</v>
      </c>
      <c r="BD433" t="s">
        <v>74</v>
      </c>
      <c r="BE433" t="s">
        <v>8594</v>
      </c>
      <c r="BF433" t="str">
        <f>HYPERLINK("http://dx.doi.org/10.1002/qj.2779","http://dx.doi.org/10.1002/qj.2779")</f>
        <v>http://dx.doi.org/10.1002/qj.2779</v>
      </c>
      <c r="BG433" t="s">
        <v>74</v>
      </c>
      <c r="BH433" t="s">
        <v>74</v>
      </c>
      <c r="BI433">
        <v>15</v>
      </c>
      <c r="BJ433" t="s">
        <v>1726</v>
      </c>
      <c r="BK433" t="s">
        <v>102</v>
      </c>
      <c r="BL433" t="s">
        <v>1726</v>
      </c>
      <c r="BM433" t="s">
        <v>8595</v>
      </c>
      <c r="BN433" t="s">
        <v>74</v>
      </c>
      <c r="BO433" t="s">
        <v>74</v>
      </c>
      <c r="BP433" t="s">
        <v>74</v>
      </c>
      <c r="BQ433" t="s">
        <v>74</v>
      </c>
      <c r="BR433" t="s">
        <v>106</v>
      </c>
      <c r="BS433" t="s">
        <v>8596</v>
      </c>
      <c r="BT433" t="str">
        <f>HYPERLINK("https%3A%2F%2Fwww.webofscience.com%2Fwos%2Fwoscc%2Ffull-record%2FWOS:000378395500023","View Full Record in Web of Science")</f>
        <v>View Full Record in Web of Science</v>
      </c>
    </row>
    <row r="434" spans="1:72" x14ac:dyDescent="0.15">
      <c r="A434" t="s">
        <v>72</v>
      </c>
      <c r="B434" t="s">
        <v>8597</v>
      </c>
      <c r="C434" t="s">
        <v>74</v>
      </c>
      <c r="D434" t="s">
        <v>74</v>
      </c>
      <c r="E434" t="s">
        <v>74</v>
      </c>
      <c r="F434" t="s">
        <v>8598</v>
      </c>
      <c r="G434" t="s">
        <v>74</v>
      </c>
      <c r="H434" t="s">
        <v>74</v>
      </c>
      <c r="I434" t="s">
        <v>8599</v>
      </c>
      <c r="J434" t="s">
        <v>1888</v>
      </c>
      <c r="K434" t="s">
        <v>74</v>
      </c>
      <c r="L434" t="s">
        <v>74</v>
      </c>
      <c r="M434" t="s">
        <v>78</v>
      </c>
      <c r="N434" t="s">
        <v>79</v>
      </c>
      <c r="O434" t="s">
        <v>74</v>
      </c>
      <c r="P434" t="s">
        <v>74</v>
      </c>
      <c r="Q434" t="s">
        <v>74</v>
      </c>
      <c r="R434" t="s">
        <v>74</v>
      </c>
      <c r="S434" t="s">
        <v>74</v>
      </c>
      <c r="T434" t="s">
        <v>8600</v>
      </c>
      <c r="U434" t="s">
        <v>8601</v>
      </c>
      <c r="V434" t="s">
        <v>8602</v>
      </c>
      <c r="W434" t="s">
        <v>8603</v>
      </c>
      <c r="X434" t="s">
        <v>8604</v>
      </c>
      <c r="Y434" t="s">
        <v>8605</v>
      </c>
      <c r="Z434" t="s">
        <v>8606</v>
      </c>
      <c r="AA434" t="s">
        <v>8607</v>
      </c>
      <c r="AB434" t="s">
        <v>8608</v>
      </c>
      <c r="AC434" t="s">
        <v>8609</v>
      </c>
      <c r="AD434" t="s">
        <v>8610</v>
      </c>
      <c r="AE434" t="s">
        <v>8611</v>
      </c>
      <c r="AF434" t="s">
        <v>74</v>
      </c>
      <c r="AG434">
        <v>134</v>
      </c>
      <c r="AH434">
        <v>21</v>
      </c>
      <c r="AI434">
        <v>24</v>
      </c>
      <c r="AJ434">
        <v>2</v>
      </c>
      <c r="AK434">
        <v>102</v>
      </c>
      <c r="AL434" t="s">
        <v>1829</v>
      </c>
      <c r="AM434" t="s">
        <v>679</v>
      </c>
      <c r="AN434" t="s">
        <v>1830</v>
      </c>
      <c r="AO434" t="s">
        <v>1900</v>
      </c>
      <c r="AP434" t="s">
        <v>7238</v>
      </c>
      <c r="AQ434" t="s">
        <v>74</v>
      </c>
      <c r="AR434" t="s">
        <v>1901</v>
      </c>
      <c r="AS434" t="s">
        <v>1902</v>
      </c>
      <c r="AT434" t="s">
        <v>6380</v>
      </c>
      <c r="AU434">
        <v>2016</v>
      </c>
      <c r="AV434">
        <v>137</v>
      </c>
      <c r="AW434" t="s">
        <v>74</v>
      </c>
      <c r="AX434" t="s">
        <v>74</v>
      </c>
      <c r="AY434" t="s">
        <v>74</v>
      </c>
      <c r="AZ434" t="s">
        <v>74</v>
      </c>
      <c r="BA434" t="s">
        <v>74</v>
      </c>
      <c r="BB434">
        <v>15</v>
      </c>
      <c r="BC434">
        <v>32</v>
      </c>
      <c r="BD434" t="s">
        <v>74</v>
      </c>
      <c r="BE434" t="s">
        <v>8612</v>
      </c>
      <c r="BF434" t="str">
        <f>HYPERLINK("http://dx.doi.org/10.1016/j.quascirev.2016.01.028","http://dx.doi.org/10.1016/j.quascirev.2016.01.028")</f>
        <v>http://dx.doi.org/10.1016/j.quascirev.2016.01.028</v>
      </c>
      <c r="BG434" t="s">
        <v>74</v>
      </c>
      <c r="BH434" t="s">
        <v>74</v>
      </c>
      <c r="BI434">
        <v>18</v>
      </c>
      <c r="BJ434" t="s">
        <v>1904</v>
      </c>
      <c r="BK434" t="s">
        <v>102</v>
      </c>
      <c r="BL434" t="s">
        <v>1905</v>
      </c>
      <c r="BM434" t="s">
        <v>7240</v>
      </c>
      <c r="BN434" t="s">
        <v>74</v>
      </c>
      <c r="BO434" t="s">
        <v>8613</v>
      </c>
      <c r="BP434" t="s">
        <v>74</v>
      </c>
      <c r="BQ434" t="s">
        <v>74</v>
      </c>
      <c r="BR434" t="s">
        <v>106</v>
      </c>
      <c r="BS434" t="s">
        <v>8614</v>
      </c>
      <c r="BT434" t="str">
        <f>HYPERLINK("https%3A%2F%2Fwww.webofscience.com%2Fwos%2Fwoscc%2Ffull-record%2FWOS:000373547100002","View Full Record in Web of Science")</f>
        <v>View Full Record in Web of Science</v>
      </c>
    </row>
    <row r="435" spans="1:72" x14ac:dyDescent="0.15">
      <c r="A435" t="s">
        <v>72</v>
      </c>
      <c r="B435" t="s">
        <v>8615</v>
      </c>
      <c r="C435" t="s">
        <v>74</v>
      </c>
      <c r="D435" t="s">
        <v>74</v>
      </c>
      <c r="E435" t="s">
        <v>74</v>
      </c>
      <c r="F435" t="s">
        <v>8616</v>
      </c>
      <c r="G435" t="s">
        <v>74</v>
      </c>
      <c r="H435" t="s">
        <v>74</v>
      </c>
      <c r="I435" t="s">
        <v>8617</v>
      </c>
      <c r="J435" t="s">
        <v>1888</v>
      </c>
      <c r="K435" t="s">
        <v>74</v>
      </c>
      <c r="L435" t="s">
        <v>74</v>
      </c>
      <c r="M435" t="s">
        <v>78</v>
      </c>
      <c r="N435" t="s">
        <v>79</v>
      </c>
      <c r="O435" t="s">
        <v>74</v>
      </c>
      <c r="P435" t="s">
        <v>74</v>
      </c>
      <c r="Q435" t="s">
        <v>74</v>
      </c>
      <c r="R435" t="s">
        <v>74</v>
      </c>
      <c r="S435" t="s">
        <v>74</v>
      </c>
      <c r="T435" t="s">
        <v>8618</v>
      </c>
      <c r="U435" t="s">
        <v>8619</v>
      </c>
      <c r="V435" t="s">
        <v>8620</v>
      </c>
      <c r="W435" t="s">
        <v>8621</v>
      </c>
      <c r="X435" t="s">
        <v>8622</v>
      </c>
      <c r="Y435" t="s">
        <v>8623</v>
      </c>
      <c r="Z435" t="s">
        <v>8624</v>
      </c>
      <c r="AA435" t="s">
        <v>8625</v>
      </c>
      <c r="AB435" t="s">
        <v>8626</v>
      </c>
      <c r="AC435" t="s">
        <v>8627</v>
      </c>
      <c r="AD435" t="s">
        <v>8628</v>
      </c>
      <c r="AE435" t="s">
        <v>8629</v>
      </c>
      <c r="AF435" t="s">
        <v>74</v>
      </c>
      <c r="AG435">
        <v>62</v>
      </c>
      <c r="AH435">
        <v>21</v>
      </c>
      <c r="AI435">
        <v>21</v>
      </c>
      <c r="AJ435">
        <v>1</v>
      </c>
      <c r="AK435">
        <v>36</v>
      </c>
      <c r="AL435" t="s">
        <v>1829</v>
      </c>
      <c r="AM435" t="s">
        <v>679</v>
      </c>
      <c r="AN435" t="s">
        <v>1830</v>
      </c>
      <c r="AO435" t="s">
        <v>1900</v>
      </c>
      <c r="AP435" t="s">
        <v>74</v>
      </c>
      <c r="AQ435" t="s">
        <v>74</v>
      </c>
      <c r="AR435" t="s">
        <v>1901</v>
      </c>
      <c r="AS435" t="s">
        <v>1902</v>
      </c>
      <c r="AT435" t="s">
        <v>6380</v>
      </c>
      <c r="AU435">
        <v>2016</v>
      </c>
      <c r="AV435">
        <v>137</v>
      </c>
      <c r="AW435" t="s">
        <v>74</v>
      </c>
      <c r="AX435" t="s">
        <v>74</v>
      </c>
      <c r="AY435" t="s">
        <v>74</v>
      </c>
      <c r="AZ435" t="s">
        <v>74</v>
      </c>
      <c r="BA435" t="s">
        <v>74</v>
      </c>
      <c r="BB435">
        <v>126</v>
      </c>
      <c r="BC435">
        <v>134</v>
      </c>
      <c r="BD435" t="s">
        <v>74</v>
      </c>
      <c r="BE435" t="s">
        <v>8630</v>
      </c>
      <c r="BF435" t="str">
        <f>HYPERLINK("http://dx.doi.org/10.1016/j.quascirev.2016.02.005","http://dx.doi.org/10.1016/j.quascirev.2016.02.005")</f>
        <v>http://dx.doi.org/10.1016/j.quascirev.2016.02.005</v>
      </c>
      <c r="BG435" t="s">
        <v>74</v>
      </c>
      <c r="BH435" t="s">
        <v>74</v>
      </c>
      <c r="BI435">
        <v>9</v>
      </c>
      <c r="BJ435" t="s">
        <v>1904</v>
      </c>
      <c r="BK435" t="s">
        <v>102</v>
      </c>
      <c r="BL435" t="s">
        <v>1905</v>
      </c>
      <c r="BM435" t="s">
        <v>7240</v>
      </c>
      <c r="BN435" t="s">
        <v>74</v>
      </c>
      <c r="BO435" t="s">
        <v>1412</v>
      </c>
      <c r="BP435" t="s">
        <v>74</v>
      </c>
      <c r="BQ435" t="s">
        <v>74</v>
      </c>
      <c r="BR435" t="s">
        <v>106</v>
      </c>
      <c r="BS435" t="s">
        <v>8631</v>
      </c>
      <c r="BT435" t="str">
        <f>HYPERLINK("https%3A%2F%2Fwww.webofscience.com%2Fwos%2Fwoscc%2Ffull-record%2FWOS:000373547100010","View Full Record in Web of Science")</f>
        <v>View Full Record in Web of Science</v>
      </c>
    </row>
    <row r="436" spans="1:72" x14ac:dyDescent="0.15">
      <c r="A436" t="s">
        <v>72</v>
      </c>
      <c r="B436" t="s">
        <v>8632</v>
      </c>
      <c r="C436" t="s">
        <v>74</v>
      </c>
      <c r="D436" t="s">
        <v>74</v>
      </c>
      <c r="E436" t="s">
        <v>74</v>
      </c>
      <c r="F436" t="s">
        <v>8633</v>
      </c>
      <c r="G436" t="s">
        <v>74</v>
      </c>
      <c r="H436" t="s">
        <v>74</v>
      </c>
      <c r="I436" t="s">
        <v>8634</v>
      </c>
      <c r="J436" t="s">
        <v>4877</v>
      </c>
      <c r="K436" t="s">
        <v>74</v>
      </c>
      <c r="L436" t="s">
        <v>74</v>
      </c>
      <c r="M436" t="s">
        <v>78</v>
      </c>
      <c r="N436" t="s">
        <v>79</v>
      </c>
      <c r="O436" t="s">
        <v>74</v>
      </c>
      <c r="P436" t="s">
        <v>74</v>
      </c>
      <c r="Q436" t="s">
        <v>74</v>
      </c>
      <c r="R436" t="s">
        <v>74</v>
      </c>
      <c r="S436" t="s">
        <v>74</v>
      </c>
      <c r="T436" t="s">
        <v>8635</v>
      </c>
      <c r="U436" t="s">
        <v>8636</v>
      </c>
      <c r="V436" t="s">
        <v>8637</v>
      </c>
      <c r="W436" t="s">
        <v>8638</v>
      </c>
      <c r="X436" t="s">
        <v>327</v>
      </c>
      <c r="Y436" t="s">
        <v>8639</v>
      </c>
      <c r="Z436" t="s">
        <v>8640</v>
      </c>
      <c r="AA436" t="s">
        <v>74</v>
      </c>
      <c r="AB436" t="s">
        <v>8641</v>
      </c>
      <c r="AC436" t="s">
        <v>8642</v>
      </c>
      <c r="AD436" t="s">
        <v>8643</v>
      </c>
      <c r="AE436" t="s">
        <v>8644</v>
      </c>
      <c r="AF436" t="s">
        <v>74</v>
      </c>
      <c r="AG436">
        <v>91</v>
      </c>
      <c r="AH436">
        <v>36</v>
      </c>
      <c r="AI436">
        <v>38</v>
      </c>
      <c r="AJ436">
        <v>2</v>
      </c>
      <c r="AK436">
        <v>59</v>
      </c>
      <c r="AL436" t="s">
        <v>2034</v>
      </c>
      <c r="AM436" t="s">
        <v>262</v>
      </c>
      <c r="AN436" t="s">
        <v>2035</v>
      </c>
      <c r="AO436" t="s">
        <v>4889</v>
      </c>
      <c r="AP436" t="s">
        <v>4890</v>
      </c>
      <c r="AQ436" t="s">
        <v>74</v>
      </c>
      <c r="AR436" t="s">
        <v>4891</v>
      </c>
      <c r="AS436" t="s">
        <v>4892</v>
      </c>
      <c r="AT436" t="s">
        <v>6000</v>
      </c>
      <c r="AU436">
        <v>2016</v>
      </c>
      <c r="AV436">
        <v>176</v>
      </c>
      <c r="AW436" t="s">
        <v>74</v>
      </c>
      <c r="AX436" t="s">
        <v>74</v>
      </c>
      <c r="AY436" t="s">
        <v>74</v>
      </c>
      <c r="AZ436" t="s">
        <v>74</v>
      </c>
      <c r="BA436" t="s">
        <v>74</v>
      </c>
      <c r="BB436">
        <v>225</v>
      </c>
      <c r="BC436">
        <v>241</v>
      </c>
      <c r="BD436" t="s">
        <v>74</v>
      </c>
      <c r="BE436" t="s">
        <v>8645</v>
      </c>
      <c r="BF436" t="str">
        <f>HYPERLINK("http://dx.doi.org/10.1016/j.rse.2016.01.022","http://dx.doi.org/10.1016/j.rse.2016.01.022")</f>
        <v>http://dx.doi.org/10.1016/j.rse.2016.01.022</v>
      </c>
      <c r="BG436" t="s">
        <v>74</v>
      </c>
      <c r="BH436" t="s">
        <v>74</v>
      </c>
      <c r="BI436">
        <v>17</v>
      </c>
      <c r="BJ436" t="s">
        <v>4894</v>
      </c>
      <c r="BK436" t="s">
        <v>102</v>
      </c>
      <c r="BL436" t="s">
        <v>4895</v>
      </c>
      <c r="BM436" t="s">
        <v>8646</v>
      </c>
      <c r="BN436" t="s">
        <v>74</v>
      </c>
      <c r="BO436" t="s">
        <v>380</v>
      </c>
      <c r="BP436" t="s">
        <v>74</v>
      </c>
      <c r="BQ436" t="s">
        <v>74</v>
      </c>
      <c r="BR436" t="s">
        <v>106</v>
      </c>
      <c r="BS436" t="s">
        <v>8647</v>
      </c>
      <c r="BT436" t="str">
        <f>HYPERLINK("https%3A%2F%2Fwww.webofscience.com%2Fwos%2Fwoscc%2Ffull-record%2FWOS:000372383200018","View Full Record in Web of Science")</f>
        <v>View Full Record in Web of Science</v>
      </c>
    </row>
    <row r="437" spans="1:72" x14ac:dyDescent="0.15">
      <c r="A437" t="s">
        <v>72</v>
      </c>
      <c r="B437" t="s">
        <v>8648</v>
      </c>
      <c r="C437" t="s">
        <v>74</v>
      </c>
      <c r="D437" t="s">
        <v>74</v>
      </c>
      <c r="E437" t="s">
        <v>74</v>
      </c>
      <c r="F437" t="s">
        <v>8649</v>
      </c>
      <c r="G437" t="s">
        <v>74</v>
      </c>
      <c r="H437" t="s">
        <v>74</v>
      </c>
      <c r="I437" t="s">
        <v>8650</v>
      </c>
      <c r="J437" t="s">
        <v>8651</v>
      </c>
      <c r="K437" t="s">
        <v>74</v>
      </c>
      <c r="L437" t="s">
        <v>74</v>
      </c>
      <c r="M437" t="s">
        <v>78</v>
      </c>
      <c r="N437" t="s">
        <v>79</v>
      </c>
      <c r="O437" t="s">
        <v>74</v>
      </c>
      <c r="P437" t="s">
        <v>74</v>
      </c>
      <c r="Q437" t="s">
        <v>74</v>
      </c>
      <c r="R437" t="s">
        <v>74</v>
      </c>
      <c r="S437" t="s">
        <v>74</v>
      </c>
      <c r="T437" t="s">
        <v>74</v>
      </c>
      <c r="U437" t="s">
        <v>8652</v>
      </c>
      <c r="V437" t="s">
        <v>8653</v>
      </c>
      <c r="W437" t="s">
        <v>8654</v>
      </c>
      <c r="X437" t="s">
        <v>8655</v>
      </c>
      <c r="Y437" t="s">
        <v>8656</v>
      </c>
      <c r="Z437" t="s">
        <v>8657</v>
      </c>
      <c r="AA437" t="s">
        <v>8658</v>
      </c>
      <c r="AB437" t="s">
        <v>8659</v>
      </c>
      <c r="AC437" t="s">
        <v>8660</v>
      </c>
      <c r="AD437" t="s">
        <v>8661</v>
      </c>
      <c r="AE437" t="s">
        <v>8662</v>
      </c>
      <c r="AF437" t="s">
        <v>74</v>
      </c>
      <c r="AG437">
        <v>30</v>
      </c>
      <c r="AH437">
        <v>96</v>
      </c>
      <c r="AI437">
        <v>108</v>
      </c>
      <c r="AJ437">
        <v>1</v>
      </c>
      <c r="AK437">
        <v>83</v>
      </c>
      <c r="AL437" t="s">
        <v>985</v>
      </c>
      <c r="AM437" t="s">
        <v>93</v>
      </c>
      <c r="AN437" t="s">
        <v>986</v>
      </c>
      <c r="AO437" t="s">
        <v>8663</v>
      </c>
      <c r="AP437" t="s">
        <v>8664</v>
      </c>
      <c r="AQ437" t="s">
        <v>74</v>
      </c>
      <c r="AR437" t="s">
        <v>8651</v>
      </c>
      <c r="AS437" t="s">
        <v>8665</v>
      </c>
      <c r="AT437" t="s">
        <v>6380</v>
      </c>
      <c r="AU437">
        <v>2016</v>
      </c>
      <c r="AV437">
        <v>352</v>
      </c>
      <c r="AW437">
        <v>6281</v>
      </c>
      <c r="AX437" t="s">
        <v>74</v>
      </c>
      <c r="AY437" t="s">
        <v>74</v>
      </c>
      <c r="AZ437" t="s">
        <v>74</v>
      </c>
      <c r="BA437" t="s">
        <v>74</v>
      </c>
      <c r="BB437">
        <v>76</v>
      </c>
      <c r="BC437">
        <v>80</v>
      </c>
      <c r="BD437" t="s">
        <v>74</v>
      </c>
      <c r="BE437" t="s">
        <v>8666</v>
      </c>
      <c r="BF437" t="str">
        <f>HYPERLINK("http://dx.doi.org/10.1126/science.aab0669","http://dx.doi.org/10.1126/science.aab0669")</f>
        <v>http://dx.doi.org/10.1126/science.aab0669</v>
      </c>
      <c r="BG437" t="s">
        <v>74</v>
      </c>
      <c r="BH437" t="s">
        <v>74</v>
      </c>
      <c r="BI437">
        <v>5</v>
      </c>
      <c r="BJ437" t="s">
        <v>753</v>
      </c>
      <c r="BK437" t="s">
        <v>102</v>
      </c>
      <c r="BL437" t="s">
        <v>754</v>
      </c>
      <c r="BM437" t="s">
        <v>8667</v>
      </c>
      <c r="BN437">
        <v>27034370</v>
      </c>
      <c r="BO437" t="s">
        <v>8295</v>
      </c>
      <c r="BP437" t="s">
        <v>74</v>
      </c>
      <c r="BQ437" t="s">
        <v>74</v>
      </c>
      <c r="BR437" t="s">
        <v>106</v>
      </c>
      <c r="BS437" t="s">
        <v>8668</v>
      </c>
      <c r="BT437" t="str">
        <f>HYPERLINK("https%3A%2F%2Fwww.webofscience.com%2Fwos%2Fwoscc%2Ffull-record%2FWOS:000373039600038","View Full Record in Web of Science")</f>
        <v>View Full Record in Web of Science</v>
      </c>
    </row>
    <row r="438" spans="1:72" x14ac:dyDescent="0.15">
      <c r="A438" t="s">
        <v>72</v>
      </c>
      <c r="B438" t="s">
        <v>8669</v>
      </c>
      <c r="C438" t="s">
        <v>74</v>
      </c>
      <c r="D438" t="s">
        <v>74</v>
      </c>
      <c r="E438" t="s">
        <v>74</v>
      </c>
      <c r="F438" t="s">
        <v>8670</v>
      </c>
      <c r="G438" t="s">
        <v>74</v>
      </c>
      <c r="H438" t="s">
        <v>74</v>
      </c>
      <c r="I438" t="s">
        <v>8671</v>
      </c>
      <c r="J438" t="s">
        <v>8672</v>
      </c>
      <c r="K438" t="s">
        <v>74</v>
      </c>
      <c r="L438" t="s">
        <v>74</v>
      </c>
      <c r="M438" t="s">
        <v>78</v>
      </c>
      <c r="N438" t="s">
        <v>79</v>
      </c>
      <c r="O438" t="s">
        <v>74</v>
      </c>
      <c r="P438" t="s">
        <v>74</v>
      </c>
      <c r="Q438" t="s">
        <v>74</v>
      </c>
      <c r="R438" t="s">
        <v>74</v>
      </c>
      <c r="S438" t="s">
        <v>74</v>
      </c>
      <c r="T438" t="s">
        <v>8673</v>
      </c>
      <c r="U438" t="s">
        <v>8674</v>
      </c>
      <c r="V438" t="s">
        <v>8675</v>
      </c>
      <c r="W438" t="s">
        <v>8676</v>
      </c>
      <c r="X438" t="s">
        <v>8677</v>
      </c>
      <c r="Y438" t="s">
        <v>8678</v>
      </c>
      <c r="Z438" t="s">
        <v>8679</v>
      </c>
      <c r="AA438" t="s">
        <v>8680</v>
      </c>
      <c r="AB438" t="s">
        <v>8681</v>
      </c>
      <c r="AC438" t="s">
        <v>8682</v>
      </c>
      <c r="AD438" t="s">
        <v>8683</v>
      </c>
      <c r="AE438" t="s">
        <v>8684</v>
      </c>
      <c r="AF438" t="s">
        <v>74</v>
      </c>
      <c r="AG438">
        <v>88</v>
      </c>
      <c r="AH438">
        <v>26</v>
      </c>
      <c r="AI438">
        <v>31</v>
      </c>
      <c r="AJ438">
        <v>6</v>
      </c>
      <c r="AK438">
        <v>78</v>
      </c>
      <c r="AL438" t="s">
        <v>1829</v>
      </c>
      <c r="AM438" t="s">
        <v>679</v>
      </c>
      <c r="AN438" t="s">
        <v>1830</v>
      </c>
      <c r="AO438" t="s">
        <v>8685</v>
      </c>
      <c r="AP438" t="s">
        <v>8686</v>
      </c>
      <c r="AQ438" t="s">
        <v>74</v>
      </c>
      <c r="AR438" t="s">
        <v>8687</v>
      </c>
      <c r="AS438" t="s">
        <v>8688</v>
      </c>
      <c r="AT438" t="s">
        <v>6000</v>
      </c>
      <c r="AU438">
        <v>2016</v>
      </c>
      <c r="AV438">
        <v>95</v>
      </c>
      <c r="AW438" t="s">
        <v>74</v>
      </c>
      <c r="AX438" t="s">
        <v>74</v>
      </c>
      <c r="AY438" t="s">
        <v>74</v>
      </c>
      <c r="AZ438" t="s">
        <v>74</v>
      </c>
      <c r="BA438" t="s">
        <v>74</v>
      </c>
      <c r="BB438">
        <v>112</v>
      </c>
      <c r="BC438">
        <v>121</v>
      </c>
      <c r="BD438" t="s">
        <v>74</v>
      </c>
      <c r="BE438" t="s">
        <v>8689</v>
      </c>
      <c r="BF438" t="str">
        <f>HYPERLINK("http://dx.doi.org/10.1016/j.soilbio.2015.12.013","http://dx.doi.org/10.1016/j.soilbio.2015.12.013")</f>
        <v>http://dx.doi.org/10.1016/j.soilbio.2015.12.013</v>
      </c>
      <c r="BG438" t="s">
        <v>74</v>
      </c>
      <c r="BH438" t="s">
        <v>74</v>
      </c>
      <c r="BI438">
        <v>10</v>
      </c>
      <c r="BJ438" t="s">
        <v>8690</v>
      </c>
      <c r="BK438" t="s">
        <v>102</v>
      </c>
      <c r="BL438" t="s">
        <v>8691</v>
      </c>
      <c r="BM438" t="s">
        <v>8692</v>
      </c>
      <c r="BN438" t="s">
        <v>74</v>
      </c>
      <c r="BO438" t="s">
        <v>74</v>
      </c>
      <c r="BP438" t="s">
        <v>74</v>
      </c>
      <c r="BQ438" t="s">
        <v>74</v>
      </c>
      <c r="BR438" t="s">
        <v>106</v>
      </c>
      <c r="BS438" t="s">
        <v>8693</v>
      </c>
      <c r="BT438" t="str">
        <f>HYPERLINK("https%3A%2F%2Fwww.webofscience.com%2Fwos%2Fwoscc%2Ffull-record%2FWOS:000371561000013","View Full Record in Web of Science")</f>
        <v>View Full Record in Web of Science</v>
      </c>
    </row>
    <row r="439" spans="1:72" x14ac:dyDescent="0.15">
      <c r="A439" t="s">
        <v>72</v>
      </c>
      <c r="B439" t="s">
        <v>8694</v>
      </c>
      <c r="C439" t="s">
        <v>74</v>
      </c>
      <c r="D439" t="s">
        <v>74</v>
      </c>
      <c r="E439" t="s">
        <v>74</v>
      </c>
      <c r="F439" t="s">
        <v>8695</v>
      </c>
      <c r="G439" t="s">
        <v>74</v>
      </c>
      <c r="H439" t="s">
        <v>74</v>
      </c>
      <c r="I439" t="s">
        <v>8696</v>
      </c>
      <c r="J439" t="s">
        <v>8697</v>
      </c>
      <c r="K439" t="s">
        <v>74</v>
      </c>
      <c r="L439" t="s">
        <v>74</v>
      </c>
      <c r="M439" t="s">
        <v>78</v>
      </c>
      <c r="N439" t="s">
        <v>79</v>
      </c>
      <c r="O439" t="s">
        <v>74</v>
      </c>
      <c r="P439" t="s">
        <v>74</v>
      </c>
      <c r="Q439" t="s">
        <v>74</v>
      </c>
      <c r="R439" t="s">
        <v>74</v>
      </c>
      <c r="S439" t="s">
        <v>74</v>
      </c>
      <c r="T439" t="s">
        <v>8698</v>
      </c>
      <c r="U439" t="s">
        <v>8699</v>
      </c>
      <c r="V439" t="s">
        <v>8700</v>
      </c>
      <c r="W439" t="s">
        <v>8701</v>
      </c>
      <c r="X439" t="s">
        <v>8702</v>
      </c>
      <c r="Y439" t="s">
        <v>8703</v>
      </c>
      <c r="Z439" t="s">
        <v>8704</v>
      </c>
      <c r="AA439" t="s">
        <v>74</v>
      </c>
      <c r="AB439" t="s">
        <v>8705</v>
      </c>
      <c r="AC439" t="s">
        <v>8706</v>
      </c>
      <c r="AD439" t="s">
        <v>8707</v>
      </c>
      <c r="AE439" t="s">
        <v>8708</v>
      </c>
      <c r="AF439" t="s">
        <v>74</v>
      </c>
      <c r="AG439">
        <v>51</v>
      </c>
      <c r="AH439">
        <v>13</v>
      </c>
      <c r="AI439">
        <v>15</v>
      </c>
      <c r="AJ439">
        <v>1</v>
      </c>
      <c r="AK439">
        <v>21</v>
      </c>
      <c r="AL439" t="s">
        <v>124</v>
      </c>
      <c r="AM439" t="s">
        <v>125</v>
      </c>
      <c r="AN439" t="s">
        <v>126</v>
      </c>
      <c r="AO439" t="s">
        <v>8709</v>
      </c>
      <c r="AP439" t="s">
        <v>8710</v>
      </c>
      <c r="AQ439" t="s">
        <v>74</v>
      </c>
      <c r="AR439" t="s">
        <v>8711</v>
      </c>
      <c r="AS439" t="s">
        <v>8712</v>
      </c>
      <c r="AT439" t="s">
        <v>6000</v>
      </c>
      <c r="AU439">
        <v>2016</v>
      </c>
      <c r="AV439">
        <v>61</v>
      </c>
      <c r="AW439">
        <v>4</v>
      </c>
      <c r="AX439" t="s">
        <v>74</v>
      </c>
      <c r="AY439" t="s">
        <v>74</v>
      </c>
      <c r="AZ439" t="s">
        <v>74</v>
      </c>
      <c r="BA439" t="s">
        <v>74</v>
      </c>
      <c r="BB439">
        <v>396</v>
      </c>
      <c r="BC439">
        <v>410</v>
      </c>
      <c r="BD439" t="s">
        <v>74</v>
      </c>
      <c r="BE439" t="s">
        <v>8713</v>
      </c>
      <c r="BF439" t="str">
        <f>HYPERLINK("http://dx.doi.org/10.1111/fwb.12715","http://dx.doi.org/10.1111/fwb.12715")</f>
        <v>http://dx.doi.org/10.1111/fwb.12715</v>
      </c>
      <c r="BG439" t="s">
        <v>74</v>
      </c>
      <c r="BH439" t="s">
        <v>74</v>
      </c>
      <c r="BI439">
        <v>15</v>
      </c>
      <c r="BJ439" t="s">
        <v>4400</v>
      </c>
      <c r="BK439" t="s">
        <v>102</v>
      </c>
      <c r="BL439" t="s">
        <v>1839</v>
      </c>
      <c r="BM439" t="s">
        <v>8714</v>
      </c>
      <c r="BN439" t="s">
        <v>74</v>
      </c>
      <c r="BO439" t="s">
        <v>1143</v>
      </c>
      <c r="BP439" t="s">
        <v>74</v>
      </c>
      <c r="BQ439" t="s">
        <v>74</v>
      </c>
      <c r="BR439" t="s">
        <v>106</v>
      </c>
      <c r="BS439" t="s">
        <v>8715</v>
      </c>
      <c r="BT439" t="str">
        <f>HYPERLINK("https%3A%2F%2Fwww.webofscience.com%2Fwos%2Fwoscc%2Ffull-record%2FWOS:000371739600004","View Full Record in Web of Science")</f>
        <v>View Full Record in Web of Science</v>
      </c>
    </row>
    <row r="440" spans="1:72" x14ac:dyDescent="0.15">
      <c r="A440" t="s">
        <v>72</v>
      </c>
      <c r="B440" t="s">
        <v>8716</v>
      </c>
      <c r="C440" t="s">
        <v>74</v>
      </c>
      <c r="D440" t="s">
        <v>74</v>
      </c>
      <c r="E440" t="s">
        <v>74</v>
      </c>
      <c r="F440" t="s">
        <v>8717</v>
      </c>
      <c r="G440" t="s">
        <v>74</v>
      </c>
      <c r="H440" t="s">
        <v>74</v>
      </c>
      <c r="I440" t="s">
        <v>8718</v>
      </c>
      <c r="J440" t="s">
        <v>4985</v>
      </c>
      <c r="K440" t="s">
        <v>74</v>
      </c>
      <c r="L440" t="s">
        <v>74</v>
      </c>
      <c r="M440" t="s">
        <v>78</v>
      </c>
      <c r="N440" t="s">
        <v>79</v>
      </c>
      <c r="O440" t="s">
        <v>74</v>
      </c>
      <c r="P440" t="s">
        <v>74</v>
      </c>
      <c r="Q440" t="s">
        <v>74</v>
      </c>
      <c r="R440" t="s">
        <v>74</v>
      </c>
      <c r="S440" t="s">
        <v>74</v>
      </c>
      <c r="T440" t="s">
        <v>8719</v>
      </c>
      <c r="U440" t="s">
        <v>8720</v>
      </c>
      <c r="V440" t="s">
        <v>8721</v>
      </c>
      <c r="W440" t="s">
        <v>8722</v>
      </c>
      <c r="X440" t="s">
        <v>8723</v>
      </c>
      <c r="Y440" t="s">
        <v>8724</v>
      </c>
      <c r="Z440" t="s">
        <v>8725</v>
      </c>
      <c r="AA440" t="s">
        <v>74</v>
      </c>
      <c r="AB440" t="s">
        <v>74</v>
      </c>
      <c r="AC440" t="s">
        <v>8726</v>
      </c>
      <c r="AD440" t="s">
        <v>8727</v>
      </c>
      <c r="AE440" t="s">
        <v>8728</v>
      </c>
      <c r="AF440" t="s">
        <v>74</v>
      </c>
      <c r="AG440">
        <v>97</v>
      </c>
      <c r="AH440">
        <v>21</v>
      </c>
      <c r="AI440">
        <v>27</v>
      </c>
      <c r="AJ440">
        <v>1</v>
      </c>
      <c r="AK440">
        <v>21</v>
      </c>
      <c r="AL440" t="s">
        <v>626</v>
      </c>
      <c r="AM440" t="s">
        <v>583</v>
      </c>
      <c r="AN440" t="s">
        <v>627</v>
      </c>
      <c r="AO440" t="s">
        <v>4997</v>
      </c>
      <c r="AP440" t="s">
        <v>4998</v>
      </c>
      <c r="AQ440" t="s">
        <v>74</v>
      </c>
      <c r="AR440" t="s">
        <v>4999</v>
      </c>
      <c r="AS440" t="s">
        <v>5000</v>
      </c>
      <c r="AT440" t="s">
        <v>6000</v>
      </c>
      <c r="AU440">
        <v>2016</v>
      </c>
      <c r="AV440">
        <v>275</v>
      </c>
      <c r="AW440" t="s">
        <v>74</v>
      </c>
      <c r="AX440" t="s">
        <v>74</v>
      </c>
      <c r="AY440" t="s">
        <v>74</v>
      </c>
      <c r="AZ440" t="s">
        <v>74</v>
      </c>
      <c r="BA440" t="s">
        <v>74</v>
      </c>
      <c r="BB440">
        <v>135</v>
      </c>
      <c r="BC440">
        <v>150</v>
      </c>
      <c r="BD440" t="s">
        <v>74</v>
      </c>
      <c r="BE440" t="s">
        <v>8729</v>
      </c>
      <c r="BF440" t="str">
        <f>HYPERLINK("http://dx.doi.org/10.1016/j.precamres.2015.12.018","http://dx.doi.org/10.1016/j.precamres.2015.12.018")</f>
        <v>http://dx.doi.org/10.1016/j.precamres.2015.12.018</v>
      </c>
      <c r="BG440" t="s">
        <v>74</v>
      </c>
      <c r="BH440" t="s">
        <v>74</v>
      </c>
      <c r="BI440">
        <v>16</v>
      </c>
      <c r="BJ440" t="s">
        <v>269</v>
      </c>
      <c r="BK440" t="s">
        <v>102</v>
      </c>
      <c r="BL440" t="s">
        <v>270</v>
      </c>
      <c r="BM440" t="s">
        <v>8730</v>
      </c>
      <c r="BN440" t="s">
        <v>74</v>
      </c>
      <c r="BO440" t="s">
        <v>74</v>
      </c>
      <c r="BP440" t="s">
        <v>74</v>
      </c>
      <c r="BQ440" t="s">
        <v>74</v>
      </c>
      <c r="BR440" t="s">
        <v>106</v>
      </c>
      <c r="BS440" t="s">
        <v>8731</v>
      </c>
      <c r="BT440" t="str">
        <f>HYPERLINK("https%3A%2F%2Fwww.webofscience.com%2Fwos%2Fwoscc%2Ffull-record%2FWOS:000371841600010","View Full Record in Web of Science")</f>
        <v>View Full Record in Web of Science</v>
      </c>
    </row>
    <row r="441" spans="1:72" x14ac:dyDescent="0.15">
      <c r="A441" t="s">
        <v>72</v>
      </c>
      <c r="B441" t="s">
        <v>8732</v>
      </c>
      <c r="C441" t="s">
        <v>74</v>
      </c>
      <c r="D441" t="s">
        <v>74</v>
      </c>
      <c r="E441" t="s">
        <v>74</v>
      </c>
      <c r="F441" t="s">
        <v>8733</v>
      </c>
      <c r="G441" t="s">
        <v>74</v>
      </c>
      <c r="H441" t="s">
        <v>74</v>
      </c>
      <c r="I441" t="s">
        <v>8734</v>
      </c>
      <c r="J441" t="s">
        <v>8735</v>
      </c>
      <c r="K441" t="s">
        <v>74</v>
      </c>
      <c r="L441" t="s">
        <v>74</v>
      </c>
      <c r="M441" t="s">
        <v>78</v>
      </c>
      <c r="N441" t="s">
        <v>79</v>
      </c>
      <c r="O441" t="s">
        <v>74</v>
      </c>
      <c r="P441" t="s">
        <v>74</v>
      </c>
      <c r="Q441" t="s">
        <v>74</v>
      </c>
      <c r="R441" t="s">
        <v>74</v>
      </c>
      <c r="S441" t="s">
        <v>74</v>
      </c>
      <c r="T441" t="s">
        <v>8736</v>
      </c>
      <c r="U441" t="s">
        <v>8737</v>
      </c>
      <c r="V441" t="s">
        <v>8738</v>
      </c>
      <c r="W441" t="s">
        <v>8739</v>
      </c>
      <c r="X441" t="s">
        <v>303</v>
      </c>
      <c r="Y441" t="s">
        <v>304</v>
      </c>
      <c r="Z441" t="s">
        <v>305</v>
      </c>
      <c r="AA441" t="s">
        <v>8740</v>
      </c>
      <c r="AB441" t="s">
        <v>8741</v>
      </c>
      <c r="AC441" t="s">
        <v>8742</v>
      </c>
      <c r="AD441" t="s">
        <v>309</v>
      </c>
      <c r="AE441" t="s">
        <v>8743</v>
      </c>
      <c r="AF441" t="s">
        <v>74</v>
      </c>
      <c r="AG441">
        <v>26</v>
      </c>
      <c r="AH441">
        <v>5</v>
      </c>
      <c r="AI441">
        <v>6</v>
      </c>
      <c r="AJ441">
        <v>1</v>
      </c>
      <c r="AK441">
        <v>25</v>
      </c>
      <c r="AL441" t="s">
        <v>678</v>
      </c>
      <c r="AM441" t="s">
        <v>679</v>
      </c>
      <c r="AN441" t="s">
        <v>680</v>
      </c>
      <c r="AO441" t="s">
        <v>8744</v>
      </c>
      <c r="AP441" t="s">
        <v>8745</v>
      </c>
      <c r="AQ441" t="s">
        <v>74</v>
      </c>
      <c r="AR441" t="s">
        <v>8746</v>
      </c>
      <c r="AS441" t="s">
        <v>8747</v>
      </c>
      <c r="AT441" t="s">
        <v>6000</v>
      </c>
      <c r="AU441">
        <v>2016</v>
      </c>
      <c r="AV441">
        <v>78</v>
      </c>
      <c r="AW441" t="s">
        <v>74</v>
      </c>
      <c r="AX441" t="s">
        <v>74</v>
      </c>
      <c r="AY441" t="s">
        <v>74</v>
      </c>
      <c r="AZ441" t="s">
        <v>74</v>
      </c>
      <c r="BA441" t="s">
        <v>74</v>
      </c>
      <c r="BB441">
        <v>120</v>
      </c>
      <c r="BC441">
        <v>133</v>
      </c>
      <c r="BD441" t="s">
        <v>74</v>
      </c>
      <c r="BE441" t="s">
        <v>8748</v>
      </c>
      <c r="BF441" t="str">
        <f>HYPERLINK("http://dx.doi.org/10.1016/j.envsoft.2015.12.020","http://dx.doi.org/10.1016/j.envsoft.2015.12.020")</f>
        <v>http://dx.doi.org/10.1016/j.envsoft.2015.12.020</v>
      </c>
      <c r="BG441" t="s">
        <v>74</v>
      </c>
      <c r="BH441" t="s">
        <v>74</v>
      </c>
      <c r="BI441">
        <v>14</v>
      </c>
      <c r="BJ441" t="s">
        <v>8749</v>
      </c>
      <c r="BK441" t="s">
        <v>102</v>
      </c>
      <c r="BL441" t="s">
        <v>8750</v>
      </c>
      <c r="BM441" t="s">
        <v>8751</v>
      </c>
      <c r="BN441" t="s">
        <v>74</v>
      </c>
      <c r="BO441" t="s">
        <v>74</v>
      </c>
      <c r="BP441" t="s">
        <v>74</v>
      </c>
      <c r="BQ441" t="s">
        <v>74</v>
      </c>
      <c r="BR441" t="s">
        <v>106</v>
      </c>
      <c r="BS441" t="s">
        <v>8752</v>
      </c>
      <c r="BT441" t="str">
        <f>HYPERLINK("https%3A%2F%2Fwww.webofscience.com%2Fwos%2Fwoscc%2Ffull-record%2FWOS:000371377800010","View Full Record in Web of Science")</f>
        <v>View Full Record in Web of Science</v>
      </c>
    </row>
    <row r="442" spans="1:72" x14ac:dyDescent="0.15">
      <c r="A442" t="s">
        <v>72</v>
      </c>
      <c r="B442" t="s">
        <v>8753</v>
      </c>
      <c r="C442" t="s">
        <v>74</v>
      </c>
      <c r="D442" t="s">
        <v>74</v>
      </c>
      <c r="E442" t="s">
        <v>74</v>
      </c>
      <c r="F442" t="s">
        <v>8754</v>
      </c>
      <c r="G442" t="s">
        <v>74</v>
      </c>
      <c r="H442" t="s">
        <v>74</v>
      </c>
      <c r="I442" t="s">
        <v>8755</v>
      </c>
      <c r="J442" t="s">
        <v>5097</v>
      </c>
      <c r="K442" t="s">
        <v>74</v>
      </c>
      <c r="L442" t="s">
        <v>74</v>
      </c>
      <c r="M442" t="s">
        <v>78</v>
      </c>
      <c r="N442" t="s">
        <v>79</v>
      </c>
      <c r="O442" t="s">
        <v>74</v>
      </c>
      <c r="P442" t="s">
        <v>74</v>
      </c>
      <c r="Q442" t="s">
        <v>74</v>
      </c>
      <c r="R442" t="s">
        <v>74</v>
      </c>
      <c r="S442" t="s">
        <v>74</v>
      </c>
      <c r="T442" t="s">
        <v>74</v>
      </c>
      <c r="U442" t="s">
        <v>8756</v>
      </c>
      <c r="V442" t="s">
        <v>8757</v>
      </c>
      <c r="W442" t="s">
        <v>8758</v>
      </c>
      <c r="X442" t="s">
        <v>8759</v>
      </c>
      <c r="Y442" t="s">
        <v>8760</v>
      </c>
      <c r="Z442" t="s">
        <v>8761</v>
      </c>
      <c r="AA442" t="s">
        <v>8762</v>
      </c>
      <c r="AB442" t="s">
        <v>8763</v>
      </c>
      <c r="AC442" t="s">
        <v>8764</v>
      </c>
      <c r="AD442" t="s">
        <v>8765</v>
      </c>
      <c r="AE442" t="s">
        <v>8766</v>
      </c>
      <c r="AF442" t="s">
        <v>74</v>
      </c>
      <c r="AG442">
        <v>82</v>
      </c>
      <c r="AH442">
        <v>20</v>
      </c>
      <c r="AI442">
        <v>25</v>
      </c>
      <c r="AJ442">
        <v>1</v>
      </c>
      <c r="AK442">
        <v>31</v>
      </c>
      <c r="AL442" t="s">
        <v>1829</v>
      </c>
      <c r="AM442" t="s">
        <v>679</v>
      </c>
      <c r="AN442" t="s">
        <v>1830</v>
      </c>
      <c r="AO442" t="s">
        <v>5107</v>
      </c>
      <c r="AP442" t="s">
        <v>5108</v>
      </c>
      <c r="AQ442" t="s">
        <v>74</v>
      </c>
      <c r="AR442" t="s">
        <v>5109</v>
      </c>
      <c r="AS442" t="s">
        <v>5110</v>
      </c>
      <c r="AT442" t="s">
        <v>6380</v>
      </c>
      <c r="AU442">
        <v>2016</v>
      </c>
      <c r="AV442">
        <v>178</v>
      </c>
      <c r="AW442" t="s">
        <v>74</v>
      </c>
      <c r="AX442" t="s">
        <v>74</v>
      </c>
      <c r="AY442" t="s">
        <v>74</v>
      </c>
      <c r="AZ442" t="s">
        <v>74</v>
      </c>
      <c r="BA442" t="s">
        <v>74</v>
      </c>
      <c r="BB442">
        <v>124</v>
      </c>
      <c r="BC442">
        <v>142</v>
      </c>
      <c r="BD442" t="s">
        <v>74</v>
      </c>
      <c r="BE442" t="s">
        <v>8767</v>
      </c>
      <c r="BF442" t="str">
        <f>HYPERLINK("http://dx.doi.org/10.1016/j.gca.2016.01.028","http://dx.doi.org/10.1016/j.gca.2016.01.028")</f>
        <v>http://dx.doi.org/10.1016/j.gca.2016.01.028</v>
      </c>
      <c r="BG442" t="s">
        <v>74</v>
      </c>
      <c r="BH442" t="s">
        <v>74</v>
      </c>
      <c r="BI442">
        <v>19</v>
      </c>
      <c r="BJ442" t="s">
        <v>727</v>
      </c>
      <c r="BK442" t="s">
        <v>102</v>
      </c>
      <c r="BL442" t="s">
        <v>727</v>
      </c>
      <c r="BM442" t="s">
        <v>8768</v>
      </c>
      <c r="BN442" t="s">
        <v>74</v>
      </c>
      <c r="BO442" t="s">
        <v>222</v>
      </c>
      <c r="BP442" t="s">
        <v>74</v>
      </c>
      <c r="BQ442" t="s">
        <v>74</v>
      </c>
      <c r="BR442" t="s">
        <v>106</v>
      </c>
      <c r="BS442" t="s">
        <v>8769</v>
      </c>
      <c r="BT442" t="str">
        <f>HYPERLINK("https%3A%2F%2Fwww.webofscience.com%2Fwos%2Fwoscc%2Ffull-record%2FWOS:000371332900008","View Full Record in Web of Science")</f>
        <v>View Full Record in Web of Science</v>
      </c>
    </row>
    <row r="443" spans="1:72" x14ac:dyDescent="0.15">
      <c r="A443" t="s">
        <v>72</v>
      </c>
      <c r="B443" t="s">
        <v>8770</v>
      </c>
      <c r="C443" t="s">
        <v>74</v>
      </c>
      <c r="D443" t="s">
        <v>74</v>
      </c>
      <c r="E443" t="s">
        <v>74</v>
      </c>
      <c r="F443" t="s">
        <v>8771</v>
      </c>
      <c r="G443" t="s">
        <v>74</v>
      </c>
      <c r="H443" t="s">
        <v>74</v>
      </c>
      <c r="I443" t="s">
        <v>8772</v>
      </c>
      <c r="J443" t="s">
        <v>8773</v>
      </c>
      <c r="K443" t="s">
        <v>74</v>
      </c>
      <c r="L443" t="s">
        <v>74</v>
      </c>
      <c r="M443" t="s">
        <v>78</v>
      </c>
      <c r="N443" t="s">
        <v>79</v>
      </c>
      <c r="O443" t="s">
        <v>74</v>
      </c>
      <c r="P443" t="s">
        <v>74</v>
      </c>
      <c r="Q443" t="s">
        <v>74</v>
      </c>
      <c r="R443" t="s">
        <v>74</v>
      </c>
      <c r="S443" t="s">
        <v>74</v>
      </c>
      <c r="T443" t="s">
        <v>8774</v>
      </c>
      <c r="U443" t="s">
        <v>8775</v>
      </c>
      <c r="V443" t="s">
        <v>8776</v>
      </c>
      <c r="W443" t="s">
        <v>8777</v>
      </c>
      <c r="X443" t="s">
        <v>8778</v>
      </c>
      <c r="Y443" t="s">
        <v>8779</v>
      </c>
      <c r="Z443" t="s">
        <v>8780</v>
      </c>
      <c r="AA443" t="s">
        <v>74</v>
      </c>
      <c r="AB443" t="s">
        <v>8781</v>
      </c>
      <c r="AC443" t="s">
        <v>8782</v>
      </c>
      <c r="AD443" t="s">
        <v>8782</v>
      </c>
      <c r="AE443" t="s">
        <v>8783</v>
      </c>
      <c r="AF443" t="s">
        <v>74</v>
      </c>
      <c r="AG443">
        <v>98</v>
      </c>
      <c r="AH443">
        <v>24</v>
      </c>
      <c r="AI443">
        <v>27</v>
      </c>
      <c r="AJ443">
        <v>2</v>
      </c>
      <c r="AK443">
        <v>16</v>
      </c>
      <c r="AL443" t="s">
        <v>194</v>
      </c>
      <c r="AM443" t="s">
        <v>195</v>
      </c>
      <c r="AN443" t="s">
        <v>196</v>
      </c>
      <c r="AO443" t="s">
        <v>8784</v>
      </c>
      <c r="AP443" t="s">
        <v>8785</v>
      </c>
      <c r="AQ443" t="s">
        <v>74</v>
      </c>
      <c r="AR443" t="s">
        <v>8786</v>
      </c>
      <c r="AS443" t="s">
        <v>8787</v>
      </c>
      <c r="AT443" t="s">
        <v>6000</v>
      </c>
      <c r="AU443">
        <v>2016</v>
      </c>
      <c r="AV443">
        <v>72</v>
      </c>
      <c r="AW443">
        <v>2</v>
      </c>
      <c r="AX443" t="s">
        <v>74</v>
      </c>
      <c r="AY443" t="s">
        <v>74</v>
      </c>
      <c r="AZ443" t="s">
        <v>74</v>
      </c>
      <c r="BA443" t="s">
        <v>74</v>
      </c>
      <c r="BB443">
        <v>235</v>
      </c>
      <c r="BC443">
        <v>262</v>
      </c>
      <c r="BD443" t="s">
        <v>74</v>
      </c>
      <c r="BE443" t="s">
        <v>8788</v>
      </c>
      <c r="BF443" t="str">
        <f>HYPERLINK("http://dx.doi.org/10.1007/s10872-015-0326-0","http://dx.doi.org/10.1007/s10872-015-0326-0")</f>
        <v>http://dx.doi.org/10.1007/s10872-015-0326-0</v>
      </c>
      <c r="BG443" t="s">
        <v>74</v>
      </c>
      <c r="BH443" t="s">
        <v>74</v>
      </c>
      <c r="BI443">
        <v>28</v>
      </c>
      <c r="BJ443" t="s">
        <v>361</v>
      </c>
      <c r="BK443" t="s">
        <v>102</v>
      </c>
      <c r="BL443" t="s">
        <v>361</v>
      </c>
      <c r="BM443" t="s">
        <v>8789</v>
      </c>
      <c r="BN443" t="s">
        <v>74</v>
      </c>
      <c r="BO443" t="s">
        <v>74</v>
      </c>
      <c r="BP443" t="s">
        <v>74</v>
      </c>
      <c r="BQ443" t="s">
        <v>74</v>
      </c>
      <c r="BR443" t="s">
        <v>106</v>
      </c>
      <c r="BS443" t="s">
        <v>8790</v>
      </c>
      <c r="BT443" t="str">
        <f>HYPERLINK("https%3A%2F%2Fwww.webofscience.com%2Fwos%2Fwoscc%2Ffull-record%2FWOS:000371404100006","View Full Record in Web of Science")</f>
        <v>View Full Record in Web of Science</v>
      </c>
    </row>
    <row r="444" spans="1:72" x14ac:dyDescent="0.15">
      <c r="A444" t="s">
        <v>72</v>
      </c>
      <c r="B444" t="s">
        <v>8791</v>
      </c>
      <c r="C444" t="s">
        <v>74</v>
      </c>
      <c r="D444" t="s">
        <v>74</v>
      </c>
      <c r="E444" t="s">
        <v>74</v>
      </c>
      <c r="F444" t="s">
        <v>8792</v>
      </c>
      <c r="G444" t="s">
        <v>74</v>
      </c>
      <c r="H444" t="s">
        <v>74</v>
      </c>
      <c r="I444" t="s">
        <v>8793</v>
      </c>
      <c r="J444" t="s">
        <v>276</v>
      </c>
      <c r="K444" t="s">
        <v>74</v>
      </c>
      <c r="L444" t="s">
        <v>74</v>
      </c>
      <c r="M444" t="s">
        <v>78</v>
      </c>
      <c r="N444" t="s">
        <v>79</v>
      </c>
      <c r="O444" t="s">
        <v>74</v>
      </c>
      <c r="P444" t="s">
        <v>74</v>
      </c>
      <c r="Q444" t="s">
        <v>74</v>
      </c>
      <c r="R444" t="s">
        <v>74</v>
      </c>
      <c r="S444" t="s">
        <v>74</v>
      </c>
      <c r="T444" t="s">
        <v>8794</v>
      </c>
      <c r="U444" t="s">
        <v>8795</v>
      </c>
      <c r="V444" t="s">
        <v>8796</v>
      </c>
      <c r="W444" t="s">
        <v>8797</v>
      </c>
      <c r="X444" t="s">
        <v>8798</v>
      </c>
      <c r="Y444" t="s">
        <v>8799</v>
      </c>
      <c r="Z444" t="s">
        <v>8800</v>
      </c>
      <c r="AA444" t="s">
        <v>8801</v>
      </c>
      <c r="AB444" t="s">
        <v>8802</v>
      </c>
      <c r="AC444" t="s">
        <v>8803</v>
      </c>
      <c r="AD444" t="s">
        <v>8803</v>
      </c>
      <c r="AE444" t="s">
        <v>8804</v>
      </c>
      <c r="AF444" t="s">
        <v>74</v>
      </c>
      <c r="AG444">
        <v>38</v>
      </c>
      <c r="AH444">
        <v>15</v>
      </c>
      <c r="AI444">
        <v>17</v>
      </c>
      <c r="AJ444">
        <v>1</v>
      </c>
      <c r="AK444">
        <v>66</v>
      </c>
      <c r="AL444" t="s">
        <v>124</v>
      </c>
      <c r="AM444" t="s">
        <v>125</v>
      </c>
      <c r="AN444" t="s">
        <v>126</v>
      </c>
      <c r="AO444" t="s">
        <v>286</v>
      </c>
      <c r="AP444" t="s">
        <v>287</v>
      </c>
      <c r="AQ444" t="s">
        <v>74</v>
      </c>
      <c r="AR444" t="s">
        <v>288</v>
      </c>
      <c r="AS444" t="s">
        <v>289</v>
      </c>
      <c r="AT444" t="s">
        <v>6000</v>
      </c>
      <c r="AU444">
        <v>2016</v>
      </c>
      <c r="AV444">
        <v>53</v>
      </c>
      <c r="AW444">
        <v>2</v>
      </c>
      <c r="AX444" t="s">
        <v>74</v>
      </c>
      <c r="AY444" t="s">
        <v>74</v>
      </c>
      <c r="AZ444" t="s">
        <v>74</v>
      </c>
      <c r="BA444" t="s">
        <v>74</v>
      </c>
      <c r="BB444">
        <v>332</v>
      </c>
      <c r="BC444">
        <v>339</v>
      </c>
      <c r="BD444" t="s">
        <v>74</v>
      </c>
      <c r="BE444" t="s">
        <v>8805</v>
      </c>
      <c r="BF444" t="str">
        <f>HYPERLINK("http://dx.doi.org/10.1111/1365-2664.12589","http://dx.doi.org/10.1111/1365-2664.12589")</f>
        <v>http://dx.doi.org/10.1111/1365-2664.12589</v>
      </c>
      <c r="BG444" t="s">
        <v>74</v>
      </c>
      <c r="BH444" t="s">
        <v>74</v>
      </c>
      <c r="BI444">
        <v>8</v>
      </c>
      <c r="BJ444" t="s">
        <v>291</v>
      </c>
      <c r="BK444" t="s">
        <v>102</v>
      </c>
      <c r="BL444" t="s">
        <v>133</v>
      </c>
      <c r="BM444" t="s">
        <v>8806</v>
      </c>
      <c r="BN444" t="s">
        <v>74</v>
      </c>
      <c r="BO444" t="s">
        <v>3370</v>
      </c>
      <c r="BP444" t="s">
        <v>74</v>
      </c>
      <c r="BQ444" t="s">
        <v>74</v>
      </c>
      <c r="BR444" t="s">
        <v>106</v>
      </c>
      <c r="BS444" t="s">
        <v>8807</v>
      </c>
      <c r="BT444" t="str">
        <f>HYPERLINK("https%3A%2F%2Fwww.webofscience.com%2Fwos%2Fwoscc%2Ffull-record%2FWOS:000370959100005","View Full Record in Web of Science")</f>
        <v>View Full Record in Web of Science</v>
      </c>
    </row>
    <row r="445" spans="1:72" x14ac:dyDescent="0.15">
      <c r="A445" t="s">
        <v>72</v>
      </c>
      <c r="B445" t="s">
        <v>8808</v>
      </c>
      <c r="C445" t="s">
        <v>74</v>
      </c>
      <c r="D445" t="s">
        <v>74</v>
      </c>
      <c r="E445" t="s">
        <v>74</v>
      </c>
      <c r="F445" t="s">
        <v>8809</v>
      </c>
      <c r="G445" t="s">
        <v>74</v>
      </c>
      <c r="H445" t="s">
        <v>74</v>
      </c>
      <c r="I445" t="s">
        <v>8810</v>
      </c>
      <c r="J445" t="s">
        <v>8811</v>
      </c>
      <c r="K445" t="s">
        <v>74</v>
      </c>
      <c r="L445" t="s">
        <v>74</v>
      </c>
      <c r="M445" t="s">
        <v>78</v>
      </c>
      <c r="N445" t="s">
        <v>79</v>
      </c>
      <c r="O445" t="s">
        <v>74</v>
      </c>
      <c r="P445" t="s">
        <v>74</v>
      </c>
      <c r="Q445" t="s">
        <v>74</v>
      </c>
      <c r="R445" t="s">
        <v>74</v>
      </c>
      <c r="S445" t="s">
        <v>74</v>
      </c>
      <c r="T445" t="s">
        <v>8812</v>
      </c>
      <c r="U445" t="s">
        <v>8813</v>
      </c>
      <c r="V445" t="s">
        <v>8814</v>
      </c>
      <c r="W445" t="s">
        <v>8815</v>
      </c>
      <c r="X445" t="s">
        <v>8816</v>
      </c>
      <c r="Y445" t="s">
        <v>8817</v>
      </c>
      <c r="Z445" t="s">
        <v>8818</v>
      </c>
      <c r="AA445" t="s">
        <v>8819</v>
      </c>
      <c r="AB445" t="s">
        <v>8820</v>
      </c>
      <c r="AC445" t="s">
        <v>74</v>
      </c>
      <c r="AD445" t="s">
        <v>74</v>
      </c>
      <c r="AE445" t="s">
        <v>74</v>
      </c>
      <c r="AF445" t="s">
        <v>74</v>
      </c>
      <c r="AG445">
        <v>25</v>
      </c>
      <c r="AH445">
        <v>15</v>
      </c>
      <c r="AI445">
        <v>16</v>
      </c>
      <c r="AJ445">
        <v>3</v>
      </c>
      <c r="AK445">
        <v>29</v>
      </c>
      <c r="AL445" t="s">
        <v>1829</v>
      </c>
      <c r="AM445" t="s">
        <v>679</v>
      </c>
      <c r="AN445" t="s">
        <v>1830</v>
      </c>
      <c r="AO445" t="s">
        <v>8821</v>
      </c>
      <c r="AP445" t="s">
        <v>74</v>
      </c>
      <c r="AQ445" t="s">
        <v>74</v>
      </c>
      <c r="AR445" t="s">
        <v>8822</v>
      </c>
      <c r="AS445" t="s">
        <v>8823</v>
      </c>
      <c r="AT445" t="s">
        <v>6000</v>
      </c>
      <c r="AU445">
        <v>2016</v>
      </c>
      <c r="AV445">
        <v>88</v>
      </c>
      <c r="AW445" t="s">
        <v>74</v>
      </c>
      <c r="AX445" t="s">
        <v>74</v>
      </c>
      <c r="AY445" t="s">
        <v>74</v>
      </c>
      <c r="AZ445" t="s">
        <v>74</v>
      </c>
      <c r="BA445" t="s">
        <v>74</v>
      </c>
      <c r="BB445">
        <v>236</v>
      </c>
      <c r="BC445">
        <v>246</v>
      </c>
      <c r="BD445" t="s">
        <v>74</v>
      </c>
      <c r="BE445" t="s">
        <v>8824</v>
      </c>
      <c r="BF445" t="str">
        <f>HYPERLINK("http://dx.doi.org/10.1016/j.renene.2015.11.014","http://dx.doi.org/10.1016/j.renene.2015.11.014")</f>
        <v>http://dx.doi.org/10.1016/j.renene.2015.11.014</v>
      </c>
      <c r="BG445" t="s">
        <v>74</v>
      </c>
      <c r="BH445" t="s">
        <v>74</v>
      </c>
      <c r="BI445">
        <v>11</v>
      </c>
      <c r="BJ445" t="s">
        <v>8825</v>
      </c>
      <c r="BK445" t="s">
        <v>102</v>
      </c>
      <c r="BL445" t="s">
        <v>8826</v>
      </c>
      <c r="BM445" t="s">
        <v>8827</v>
      </c>
      <c r="BN445" t="s">
        <v>74</v>
      </c>
      <c r="BO445" t="s">
        <v>74</v>
      </c>
      <c r="BP445" t="s">
        <v>74</v>
      </c>
      <c r="BQ445" t="s">
        <v>74</v>
      </c>
      <c r="BR445" t="s">
        <v>106</v>
      </c>
      <c r="BS445" t="s">
        <v>8828</v>
      </c>
      <c r="BT445" t="str">
        <f>HYPERLINK("https%3A%2F%2Fwww.webofscience.com%2Fwos%2Fwoscc%2Ffull-record%2FWOS:000368563900023","View Full Record in Web of Science")</f>
        <v>View Full Record in Web of Science</v>
      </c>
    </row>
    <row r="446" spans="1:72" x14ac:dyDescent="0.15">
      <c r="A446" t="s">
        <v>72</v>
      </c>
      <c r="B446" t="s">
        <v>8829</v>
      </c>
      <c r="C446" t="s">
        <v>74</v>
      </c>
      <c r="D446" t="s">
        <v>74</v>
      </c>
      <c r="E446" t="s">
        <v>74</v>
      </c>
      <c r="F446" t="s">
        <v>8830</v>
      </c>
      <c r="G446" t="s">
        <v>74</v>
      </c>
      <c r="H446" t="s">
        <v>74</v>
      </c>
      <c r="I446" t="s">
        <v>8831</v>
      </c>
      <c r="J446" t="s">
        <v>5947</v>
      </c>
      <c r="K446" t="s">
        <v>74</v>
      </c>
      <c r="L446" t="s">
        <v>74</v>
      </c>
      <c r="M446" t="s">
        <v>78</v>
      </c>
      <c r="N446" t="s">
        <v>79</v>
      </c>
      <c r="O446" t="s">
        <v>74</v>
      </c>
      <c r="P446" t="s">
        <v>74</v>
      </c>
      <c r="Q446" t="s">
        <v>74</v>
      </c>
      <c r="R446" t="s">
        <v>74</v>
      </c>
      <c r="S446" t="s">
        <v>74</v>
      </c>
      <c r="T446" t="s">
        <v>8832</v>
      </c>
      <c r="U446" t="s">
        <v>8833</v>
      </c>
      <c r="V446" t="s">
        <v>8834</v>
      </c>
      <c r="W446" t="s">
        <v>8835</v>
      </c>
      <c r="X446" t="s">
        <v>8836</v>
      </c>
      <c r="Y446" t="s">
        <v>8837</v>
      </c>
      <c r="Z446" t="s">
        <v>8838</v>
      </c>
      <c r="AA446" t="s">
        <v>74</v>
      </c>
      <c r="AB446" t="s">
        <v>8839</v>
      </c>
      <c r="AC446" t="s">
        <v>8840</v>
      </c>
      <c r="AD446" t="s">
        <v>8841</v>
      </c>
      <c r="AE446" t="s">
        <v>8842</v>
      </c>
      <c r="AF446" t="s">
        <v>74</v>
      </c>
      <c r="AG446">
        <v>46</v>
      </c>
      <c r="AH446">
        <v>11</v>
      </c>
      <c r="AI446">
        <v>11</v>
      </c>
      <c r="AJ446">
        <v>1</v>
      </c>
      <c r="AK446">
        <v>32</v>
      </c>
      <c r="AL446" t="s">
        <v>5960</v>
      </c>
      <c r="AM446" t="s">
        <v>5961</v>
      </c>
      <c r="AN446" t="s">
        <v>5962</v>
      </c>
      <c r="AO446" t="s">
        <v>5963</v>
      </c>
      <c r="AP446" t="s">
        <v>5964</v>
      </c>
      <c r="AQ446" t="s">
        <v>74</v>
      </c>
      <c r="AR446" t="s">
        <v>5965</v>
      </c>
      <c r="AS446" t="s">
        <v>5966</v>
      </c>
      <c r="AT446" t="s">
        <v>8843</v>
      </c>
      <c r="AU446">
        <v>2016</v>
      </c>
      <c r="AV446">
        <v>89</v>
      </c>
      <c r="AW446" t="s">
        <v>74</v>
      </c>
      <c r="AX446" t="s">
        <v>74</v>
      </c>
      <c r="AY446" t="s">
        <v>74</v>
      </c>
      <c r="AZ446" t="s">
        <v>74</v>
      </c>
      <c r="BA446" t="s">
        <v>74</v>
      </c>
      <c r="BB446" t="s">
        <v>74</v>
      </c>
      <c r="BC446" t="s">
        <v>74</v>
      </c>
      <c r="BD446">
        <v>7</v>
      </c>
      <c r="BE446" t="s">
        <v>8844</v>
      </c>
      <c r="BF446" t="str">
        <f>HYPERLINK("http://dx.doi.org/10.1186/s40693-016-0050-1","http://dx.doi.org/10.1186/s40693-016-0050-1")</f>
        <v>http://dx.doi.org/10.1186/s40693-016-0050-1</v>
      </c>
      <c r="BG446" t="s">
        <v>74</v>
      </c>
      <c r="BH446" t="s">
        <v>74</v>
      </c>
      <c r="BI446">
        <v>9</v>
      </c>
      <c r="BJ446" t="s">
        <v>291</v>
      </c>
      <c r="BK446" t="s">
        <v>102</v>
      </c>
      <c r="BL446" t="s">
        <v>133</v>
      </c>
      <c r="BM446" t="s">
        <v>8845</v>
      </c>
      <c r="BN446" t="s">
        <v>74</v>
      </c>
      <c r="BO446" t="s">
        <v>2176</v>
      </c>
      <c r="BP446" t="s">
        <v>74</v>
      </c>
      <c r="BQ446" t="s">
        <v>74</v>
      </c>
      <c r="BR446" t="s">
        <v>106</v>
      </c>
      <c r="BS446" t="s">
        <v>8846</v>
      </c>
      <c r="BT446" t="str">
        <f>HYPERLINK("https%3A%2F%2Fwww.webofscience.com%2Fwos%2Fwoscc%2Ffull-record%2FWOS:000373040800001","View Full Record in Web of Science")</f>
        <v>View Full Record in Web of Science</v>
      </c>
    </row>
    <row r="447" spans="1:72" x14ac:dyDescent="0.15">
      <c r="A447" t="s">
        <v>72</v>
      </c>
      <c r="B447" t="s">
        <v>8847</v>
      </c>
      <c r="C447" t="s">
        <v>74</v>
      </c>
      <c r="D447" t="s">
        <v>74</v>
      </c>
      <c r="E447" t="s">
        <v>74</v>
      </c>
      <c r="F447" t="s">
        <v>8848</v>
      </c>
      <c r="G447" t="s">
        <v>74</v>
      </c>
      <c r="H447" t="s">
        <v>74</v>
      </c>
      <c r="I447" t="s">
        <v>8849</v>
      </c>
      <c r="J447" t="s">
        <v>1577</v>
      </c>
      <c r="K447" t="s">
        <v>74</v>
      </c>
      <c r="L447" t="s">
        <v>74</v>
      </c>
      <c r="M447" t="s">
        <v>78</v>
      </c>
      <c r="N447" t="s">
        <v>8850</v>
      </c>
      <c r="O447" t="s">
        <v>74</v>
      </c>
      <c r="P447" t="s">
        <v>74</v>
      </c>
      <c r="Q447" t="s">
        <v>74</v>
      </c>
      <c r="R447" t="s">
        <v>74</v>
      </c>
      <c r="S447" t="s">
        <v>74</v>
      </c>
      <c r="T447" t="s">
        <v>74</v>
      </c>
      <c r="U447" t="s">
        <v>74</v>
      </c>
      <c r="V447" t="s">
        <v>74</v>
      </c>
      <c r="W447" t="s">
        <v>74</v>
      </c>
      <c r="X447" t="s">
        <v>74</v>
      </c>
      <c r="Y447" t="s">
        <v>74</v>
      </c>
      <c r="Z447" t="s">
        <v>74</v>
      </c>
      <c r="AA447" t="s">
        <v>74</v>
      </c>
      <c r="AB447" t="s">
        <v>74</v>
      </c>
      <c r="AC447" t="s">
        <v>74</v>
      </c>
      <c r="AD447" t="s">
        <v>74</v>
      </c>
      <c r="AE447" t="s">
        <v>74</v>
      </c>
      <c r="AF447" t="s">
        <v>74</v>
      </c>
      <c r="AG447">
        <v>4</v>
      </c>
      <c r="AH447">
        <v>1</v>
      </c>
      <c r="AI447">
        <v>2</v>
      </c>
      <c r="AJ447">
        <v>0</v>
      </c>
      <c r="AK447">
        <v>14</v>
      </c>
      <c r="AL447" t="s">
        <v>746</v>
      </c>
      <c r="AM447" t="s">
        <v>747</v>
      </c>
      <c r="AN447" t="s">
        <v>748</v>
      </c>
      <c r="AO447" t="s">
        <v>1589</v>
      </c>
      <c r="AP447" t="s">
        <v>1590</v>
      </c>
      <c r="AQ447" t="s">
        <v>74</v>
      </c>
      <c r="AR447" t="s">
        <v>1577</v>
      </c>
      <c r="AS447" t="s">
        <v>1591</v>
      </c>
      <c r="AT447" t="s">
        <v>8843</v>
      </c>
      <c r="AU447">
        <v>2016</v>
      </c>
      <c r="AV447">
        <v>531</v>
      </c>
      <c r="AW447">
        <v>7596</v>
      </c>
      <c r="AX447" t="s">
        <v>74</v>
      </c>
      <c r="AY447" t="s">
        <v>74</v>
      </c>
      <c r="AZ447" t="s">
        <v>74</v>
      </c>
      <c r="BA447" t="s">
        <v>74</v>
      </c>
      <c r="BB447">
        <v>562</v>
      </c>
      <c r="BC447">
        <v>562</v>
      </c>
      <c r="BD447" t="s">
        <v>74</v>
      </c>
      <c r="BE447" t="s">
        <v>8851</v>
      </c>
      <c r="BF447" t="str">
        <f>HYPERLINK("http://dx.doi.org/10.1038/531562a","http://dx.doi.org/10.1038/531562a")</f>
        <v>http://dx.doi.org/10.1038/531562a</v>
      </c>
      <c r="BG447" t="s">
        <v>74</v>
      </c>
      <c r="BH447" t="s">
        <v>74</v>
      </c>
      <c r="BI447">
        <v>1</v>
      </c>
      <c r="BJ447" t="s">
        <v>753</v>
      </c>
      <c r="BK447" t="s">
        <v>102</v>
      </c>
      <c r="BL447" t="s">
        <v>754</v>
      </c>
      <c r="BM447" t="s">
        <v>8852</v>
      </c>
      <c r="BN447">
        <v>27029259</v>
      </c>
      <c r="BO447" t="s">
        <v>420</v>
      </c>
      <c r="BP447" t="s">
        <v>74</v>
      </c>
      <c r="BQ447" t="s">
        <v>74</v>
      </c>
      <c r="BR447" t="s">
        <v>106</v>
      </c>
      <c r="BS447" t="s">
        <v>8853</v>
      </c>
      <c r="BT447" t="str">
        <f>HYPERLINK("https%3A%2F%2Fwww.webofscience.com%2Fwos%2Fwoscc%2Ffull-record%2FWOS:000373027400010","View Full Record in Web of Science")</f>
        <v>View Full Record in Web of Science</v>
      </c>
    </row>
    <row r="448" spans="1:72" x14ac:dyDescent="0.15">
      <c r="A448" t="s">
        <v>72</v>
      </c>
      <c r="B448" t="s">
        <v>8854</v>
      </c>
      <c r="C448" t="s">
        <v>74</v>
      </c>
      <c r="D448" t="s">
        <v>74</v>
      </c>
      <c r="E448" t="s">
        <v>74</v>
      </c>
      <c r="F448" t="s">
        <v>8855</v>
      </c>
      <c r="G448" t="s">
        <v>74</v>
      </c>
      <c r="H448" t="s">
        <v>74</v>
      </c>
      <c r="I448" t="s">
        <v>8856</v>
      </c>
      <c r="J448" t="s">
        <v>1324</v>
      </c>
      <c r="K448" t="s">
        <v>74</v>
      </c>
      <c r="L448" t="s">
        <v>74</v>
      </c>
      <c r="M448" t="s">
        <v>78</v>
      </c>
      <c r="N448" t="s">
        <v>79</v>
      </c>
      <c r="O448" t="s">
        <v>74</v>
      </c>
      <c r="P448" t="s">
        <v>74</v>
      </c>
      <c r="Q448" t="s">
        <v>74</v>
      </c>
      <c r="R448" t="s">
        <v>74</v>
      </c>
      <c r="S448" t="s">
        <v>74</v>
      </c>
      <c r="T448" t="s">
        <v>8857</v>
      </c>
      <c r="U448" t="s">
        <v>8858</v>
      </c>
      <c r="V448" t="s">
        <v>8859</v>
      </c>
      <c r="W448" t="s">
        <v>8860</v>
      </c>
      <c r="X448" t="s">
        <v>8861</v>
      </c>
      <c r="Y448" t="s">
        <v>8862</v>
      </c>
      <c r="Z448" t="s">
        <v>8863</v>
      </c>
      <c r="AA448" t="s">
        <v>8864</v>
      </c>
      <c r="AB448" t="s">
        <v>8865</v>
      </c>
      <c r="AC448" t="s">
        <v>8866</v>
      </c>
      <c r="AD448" t="s">
        <v>8867</v>
      </c>
      <c r="AE448" t="s">
        <v>8868</v>
      </c>
      <c r="AF448" t="s">
        <v>74</v>
      </c>
      <c r="AG448">
        <v>78</v>
      </c>
      <c r="AH448">
        <v>40</v>
      </c>
      <c r="AI448">
        <v>45</v>
      </c>
      <c r="AJ448">
        <v>0</v>
      </c>
      <c r="AK448">
        <v>25</v>
      </c>
      <c r="AL448" t="s">
        <v>1337</v>
      </c>
      <c r="AM448" t="s">
        <v>773</v>
      </c>
      <c r="AN448" t="s">
        <v>1338</v>
      </c>
      <c r="AO448" t="s">
        <v>1339</v>
      </c>
      <c r="AP448" t="s">
        <v>74</v>
      </c>
      <c r="AQ448" t="s">
        <v>74</v>
      </c>
      <c r="AR448" t="s">
        <v>1324</v>
      </c>
      <c r="AS448" t="s">
        <v>1340</v>
      </c>
      <c r="AT448" t="s">
        <v>8843</v>
      </c>
      <c r="AU448">
        <v>2016</v>
      </c>
      <c r="AV448">
        <v>17</v>
      </c>
      <c r="AW448" t="s">
        <v>74</v>
      </c>
      <c r="AX448" t="s">
        <v>74</v>
      </c>
      <c r="AY448" t="s">
        <v>74</v>
      </c>
      <c r="AZ448" t="s">
        <v>74</v>
      </c>
      <c r="BA448" t="s">
        <v>74</v>
      </c>
      <c r="BB448" t="s">
        <v>74</v>
      </c>
      <c r="BC448" t="s">
        <v>74</v>
      </c>
      <c r="BD448">
        <v>264</v>
      </c>
      <c r="BE448" t="s">
        <v>8869</v>
      </c>
      <c r="BF448" t="str">
        <f>HYPERLINK("http://dx.doi.org/10.1186/s12864-016-2590-9","http://dx.doi.org/10.1186/s12864-016-2590-9")</f>
        <v>http://dx.doi.org/10.1186/s12864-016-2590-9</v>
      </c>
      <c r="BG448" t="s">
        <v>74</v>
      </c>
      <c r="BH448" t="s">
        <v>74</v>
      </c>
      <c r="BI448">
        <v>16</v>
      </c>
      <c r="BJ448" t="s">
        <v>1343</v>
      </c>
      <c r="BK448" t="s">
        <v>102</v>
      </c>
      <c r="BL448" t="s">
        <v>1343</v>
      </c>
      <c r="BM448" t="s">
        <v>8870</v>
      </c>
      <c r="BN448">
        <v>27030133</v>
      </c>
      <c r="BO448" t="s">
        <v>1684</v>
      </c>
      <c r="BP448" t="s">
        <v>74</v>
      </c>
      <c r="BQ448" t="s">
        <v>74</v>
      </c>
      <c r="BR448" t="s">
        <v>106</v>
      </c>
      <c r="BS448" t="s">
        <v>8871</v>
      </c>
      <c r="BT448" t="str">
        <f>HYPERLINK("https%3A%2F%2Fwww.webofscience.com%2Fwos%2Fwoscc%2Ffull-record%2FWOS:000373558800001","View Full Record in Web of Science")</f>
        <v>View Full Record in Web of Science</v>
      </c>
    </row>
    <row r="449" spans="1:72" x14ac:dyDescent="0.15">
      <c r="A449" t="s">
        <v>72</v>
      </c>
      <c r="B449" t="s">
        <v>8872</v>
      </c>
      <c r="C449" t="s">
        <v>74</v>
      </c>
      <c r="D449" t="s">
        <v>74</v>
      </c>
      <c r="E449" t="s">
        <v>74</v>
      </c>
      <c r="F449" t="s">
        <v>8873</v>
      </c>
      <c r="G449" t="s">
        <v>74</v>
      </c>
      <c r="H449" t="s">
        <v>74</v>
      </c>
      <c r="I449" t="s">
        <v>8874</v>
      </c>
      <c r="J449" t="s">
        <v>8875</v>
      </c>
      <c r="K449" t="s">
        <v>74</v>
      </c>
      <c r="L449" t="s">
        <v>74</v>
      </c>
      <c r="M449" t="s">
        <v>78</v>
      </c>
      <c r="N449" t="s">
        <v>79</v>
      </c>
      <c r="O449" t="s">
        <v>74</v>
      </c>
      <c r="P449" t="s">
        <v>74</v>
      </c>
      <c r="Q449" t="s">
        <v>74</v>
      </c>
      <c r="R449" t="s">
        <v>74</v>
      </c>
      <c r="S449" t="s">
        <v>74</v>
      </c>
      <c r="T449" t="s">
        <v>8876</v>
      </c>
      <c r="U449" t="s">
        <v>8877</v>
      </c>
      <c r="V449" t="s">
        <v>8878</v>
      </c>
      <c r="W449" t="s">
        <v>8879</v>
      </c>
      <c r="X449" t="s">
        <v>8880</v>
      </c>
      <c r="Y449" t="s">
        <v>8881</v>
      </c>
      <c r="Z449" t="s">
        <v>8882</v>
      </c>
      <c r="AA449" t="s">
        <v>8883</v>
      </c>
      <c r="AB449" t="s">
        <v>8884</v>
      </c>
      <c r="AC449" t="s">
        <v>8885</v>
      </c>
      <c r="AD449" t="s">
        <v>8886</v>
      </c>
      <c r="AE449" t="s">
        <v>8887</v>
      </c>
      <c r="AF449" t="s">
        <v>74</v>
      </c>
      <c r="AG449">
        <v>62</v>
      </c>
      <c r="AH449">
        <v>39</v>
      </c>
      <c r="AI449">
        <v>48</v>
      </c>
      <c r="AJ449">
        <v>3</v>
      </c>
      <c r="AK449">
        <v>73</v>
      </c>
      <c r="AL449" t="s">
        <v>8888</v>
      </c>
      <c r="AM449" t="s">
        <v>8889</v>
      </c>
      <c r="AN449" t="s">
        <v>8890</v>
      </c>
      <c r="AO449" t="s">
        <v>74</v>
      </c>
      <c r="AP449" t="s">
        <v>8891</v>
      </c>
      <c r="AQ449" t="s">
        <v>74</v>
      </c>
      <c r="AR449" t="s">
        <v>8892</v>
      </c>
      <c r="AS449" t="s">
        <v>8893</v>
      </c>
      <c r="AT449" t="s">
        <v>8843</v>
      </c>
      <c r="AU449">
        <v>2016</v>
      </c>
      <c r="AV449">
        <v>7</v>
      </c>
      <c r="AW449" t="s">
        <v>74</v>
      </c>
      <c r="AX449" t="s">
        <v>74</v>
      </c>
      <c r="AY449" t="s">
        <v>74</v>
      </c>
      <c r="AZ449" t="s">
        <v>74</v>
      </c>
      <c r="BA449" t="s">
        <v>74</v>
      </c>
      <c r="BB449" t="s">
        <v>74</v>
      </c>
      <c r="BC449" t="s">
        <v>74</v>
      </c>
      <c r="BD449">
        <v>398</v>
      </c>
      <c r="BE449" t="s">
        <v>8894</v>
      </c>
      <c r="BF449" t="str">
        <f>HYPERLINK("http://dx.doi.org/10.3389/fmicb.2016.00398","http://dx.doi.org/10.3389/fmicb.2016.00398")</f>
        <v>http://dx.doi.org/10.3389/fmicb.2016.00398</v>
      </c>
      <c r="BG449" t="s">
        <v>74</v>
      </c>
      <c r="BH449" t="s">
        <v>74</v>
      </c>
      <c r="BI449">
        <v>13</v>
      </c>
      <c r="BJ449" t="s">
        <v>2538</v>
      </c>
      <c r="BK449" t="s">
        <v>102</v>
      </c>
      <c r="BL449" t="s">
        <v>2538</v>
      </c>
      <c r="BM449" t="s">
        <v>8895</v>
      </c>
      <c r="BN449">
        <v>27064693</v>
      </c>
      <c r="BO449" t="s">
        <v>1684</v>
      </c>
      <c r="BP449" t="s">
        <v>74</v>
      </c>
      <c r="BQ449" t="s">
        <v>74</v>
      </c>
      <c r="BR449" t="s">
        <v>106</v>
      </c>
      <c r="BS449" t="s">
        <v>8896</v>
      </c>
      <c r="BT449" t="str">
        <f>HYPERLINK("https%3A%2F%2Fwww.webofscience.com%2Fwos%2Fwoscc%2Ffull-record%2FWOS:000373276200003","View Full Record in Web of Science")</f>
        <v>View Full Record in Web of Science</v>
      </c>
    </row>
    <row r="450" spans="1:72" x14ac:dyDescent="0.15">
      <c r="A450" t="s">
        <v>72</v>
      </c>
      <c r="B450" t="s">
        <v>8897</v>
      </c>
      <c r="C450" t="s">
        <v>74</v>
      </c>
      <c r="D450" t="s">
        <v>74</v>
      </c>
      <c r="E450" t="s">
        <v>74</v>
      </c>
      <c r="F450" t="s">
        <v>8898</v>
      </c>
      <c r="G450" t="s">
        <v>74</v>
      </c>
      <c r="H450" t="s">
        <v>74</v>
      </c>
      <c r="I450" t="s">
        <v>8899</v>
      </c>
      <c r="J450" t="s">
        <v>1577</v>
      </c>
      <c r="K450" t="s">
        <v>74</v>
      </c>
      <c r="L450" t="s">
        <v>74</v>
      </c>
      <c r="M450" t="s">
        <v>78</v>
      </c>
      <c r="N450" t="s">
        <v>79</v>
      </c>
      <c r="O450" t="s">
        <v>74</v>
      </c>
      <c r="P450" t="s">
        <v>74</v>
      </c>
      <c r="Q450" t="s">
        <v>74</v>
      </c>
      <c r="R450" t="s">
        <v>74</v>
      </c>
      <c r="S450" t="s">
        <v>74</v>
      </c>
      <c r="T450" t="s">
        <v>74</v>
      </c>
      <c r="U450" t="s">
        <v>8900</v>
      </c>
      <c r="V450" t="s">
        <v>8901</v>
      </c>
      <c r="W450" t="s">
        <v>8902</v>
      </c>
      <c r="X450" t="s">
        <v>8903</v>
      </c>
      <c r="Y450" t="s">
        <v>8904</v>
      </c>
      <c r="Z450" t="s">
        <v>8905</v>
      </c>
      <c r="AA450" t="s">
        <v>74</v>
      </c>
      <c r="AB450" t="s">
        <v>74</v>
      </c>
      <c r="AC450" t="s">
        <v>8906</v>
      </c>
      <c r="AD450" t="s">
        <v>8907</v>
      </c>
      <c r="AE450" t="s">
        <v>8908</v>
      </c>
      <c r="AF450" t="s">
        <v>74</v>
      </c>
      <c r="AG450">
        <v>80</v>
      </c>
      <c r="AH450">
        <v>1159</v>
      </c>
      <c r="AI450">
        <v>1322</v>
      </c>
      <c r="AJ450">
        <v>32</v>
      </c>
      <c r="AK450">
        <v>725</v>
      </c>
      <c r="AL450" t="s">
        <v>772</v>
      </c>
      <c r="AM450" t="s">
        <v>773</v>
      </c>
      <c r="AN450" t="s">
        <v>774</v>
      </c>
      <c r="AO450" t="s">
        <v>1589</v>
      </c>
      <c r="AP450" t="s">
        <v>1590</v>
      </c>
      <c r="AQ450" t="s">
        <v>74</v>
      </c>
      <c r="AR450" t="s">
        <v>1577</v>
      </c>
      <c r="AS450" t="s">
        <v>1591</v>
      </c>
      <c r="AT450" t="s">
        <v>8843</v>
      </c>
      <c r="AU450">
        <v>2016</v>
      </c>
      <c r="AV450">
        <v>531</v>
      </c>
      <c r="AW450">
        <v>7596</v>
      </c>
      <c r="AX450" t="s">
        <v>74</v>
      </c>
      <c r="AY450" t="s">
        <v>74</v>
      </c>
      <c r="AZ450" t="s">
        <v>74</v>
      </c>
      <c r="BA450" t="s">
        <v>74</v>
      </c>
      <c r="BB450">
        <v>591</v>
      </c>
      <c r="BC450">
        <v>597</v>
      </c>
      <c r="BD450" t="s">
        <v>74</v>
      </c>
      <c r="BE450" t="s">
        <v>8909</v>
      </c>
      <c r="BF450" t="str">
        <f>HYPERLINK("http://dx.doi.org/10.1038/nature17145","http://dx.doi.org/10.1038/nature17145")</f>
        <v>http://dx.doi.org/10.1038/nature17145</v>
      </c>
      <c r="BG450" t="s">
        <v>74</v>
      </c>
      <c r="BH450" t="s">
        <v>74</v>
      </c>
      <c r="BI450">
        <v>7</v>
      </c>
      <c r="BJ450" t="s">
        <v>753</v>
      </c>
      <c r="BK450" t="s">
        <v>102</v>
      </c>
      <c r="BL450" t="s">
        <v>754</v>
      </c>
      <c r="BM450" t="s">
        <v>8852</v>
      </c>
      <c r="BN450">
        <v>27029274</v>
      </c>
      <c r="BO450" t="s">
        <v>74</v>
      </c>
      <c r="BP450" t="s">
        <v>1046</v>
      </c>
      <c r="BQ450" t="s">
        <v>1047</v>
      </c>
      <c r="BR450" t="s">
        <v>106</v>
      </c>
      <c r="BS450" t="s">
        <v>8910</v>
      </c>
      <c r="BT450" t="str">
        <f>HYPERLINK("https%3A%2F%2Fwww.webofscience.com%2Fwos%2Fwoscc%2Ffull-record%2FWOS:000373027400029","View Full Record in Web of Science")</f>
        <v>View Full Record in Web of Science</v>
      </c>
    </row>
    <row r="451" spans="1:72" x14ac:dyDescent="0.15">
      <c r="A451" t="s">
        <v>72</v>
      </c>
      <c r="B451" t="s">
        <v>8911</v>
      </c>
      <c r="C451" t="s">
        <v>74</v>
      </c>
      <c r="D451" t="s">
        <v>74</v>
      </c>
      <c r="E451" t="s">
        <v>74</v>
      </c>
      <c r="F451" t="s">
        <v>8912</v>
      </c>
      <c r="G451" t="s">
        <v>74</v>
      </c>
      <c r="H451" t="s">
        <v>8913</v>
      </c>
      <c r="I451" t="s">
        <v>8914</v>
      </c>
      <c r="J451" t="s">
        <v>1220</v>
      </c>
      <c r="K451" t="s">
        <v>74</v>
      </c>
      <c r="L451" t="s">
        <v>74</v>
      </c>
      <c r="M451" t="s">
        <v>78</v>
      </c>
      <c r="N451" t="s">
        <v>79</v>
      </c>
      <c r="O451" t="s">
        <v>74</v>
      </c>
      <c r="P451" t="s">
        <v>74</v>
      </c>
      <c r="Q451" t="s">
        <v>74</v>
      </c>
      <c r="R451" t="s">
        <v>74</v>
      </c>
      <c r="S451" t="s">
        <v>74</v>
      </c>
      <c r="T451" t="s">
        <v>8915</v>
      </c>
      <c r="U451" t="s">
        <v>8916</v>
      </c>
      <c r="V451" t="s">
        <v>8917</v>
      </c>
      <c r="W451" t="s">
        <v>8918</v>
      </c>
      <c r="X451" t="s">
        <v>8919</v>
      </c>
      <c r="Y451" t="s">
        <v>8920</v>
      </c>
      <c r="Z451" t="s">
        <v>8921</v>
      </c>
      <c r="AA451" t="s">
        <v>8922</v>
      </c>
      <c r="AB451" t="s">
        <v>8923</v>
      </c>
      <c r="AC451" t="s">
        <v>8924</v>
      </c>
      <c r="AD451" t="s">
        <v>8925</v>
      </c>
      <c r="AE451" t="s">
        <v>8926</v>
      </c>
      <c r="AF451" t="s">
        <v>74</v>
      </c>
      <c r="AG451">
        <v>71</v>
      </c>
      <c r="AH451">
        <v>119</v>
      </c>
      <c r="AI451">
        <v>124</v>
      </c>
      <c r="AJ451">
        <v>8</v>
      </c>
      <c r="AK451">
        <v>95</v>
      </c>
      <c r="AL451" t="s">
        <v>1230</v>
      </c>
      <c r="AM451" t="s">
        <v>93</v>
      </c>
      <c r="AN451" t="s">
        <v>1231</v>
      </c>
      <c r="AO451" t="s">
        <v>1232</v>
      </c>
      <c r="AP451" t="s">
        <v>1233</v>
      </c>
      <c r="AQ451" t="s">
        <v>74</v>
      </c>
      <c r="AR451" t="s">
        <v>1234</v>
      </c>
      <c r="AS451" t="s">
        <v>1235</v>
      </c>
      <c r="AT451" t="s">
        <v>8927</v>
      </c>
      <c r="AU451">
        <v>2016</v>
      </c>
      <c r="AV451">
        <v>113</v>
      </c>
      <c r="AW451">
        <v>13</v>
      </c>
      <c r="AX451" t="s">
        <v>74</v>
      </c>
      <c r="AY451" t="s">
        <v>74</v>
      </c>
      <c r="AZ451" t="s">
        <v>74</v>
      </c>
      <c r="BA451" t="s">
        <v>74</v>
      </c>
      <c r="BB451">
        <v>3453</v>
      </c>
      <c r="BC451">
        <v>3458</v>
      </c>
      <c r="BD451" t="s">
        <v>74</v>
      </c>
      <c r="BE451" t="s">
        <v>8928</v>
      </c>
      <c r="BF451" t="str">
        <f>HYPERLINK("http://dx.doi.org/10.1073/pnas.1516030113","http://dx.doi.org/10.1073/pnas.1516030113")</f>
        <v>http://dx.doi.org/10.1073/pnas.1516030113</v>
      </c>
      <c r="BG451" t="s">
        <v>74</v>
      </c>
      <c r="BH451" t="s">
        <v>74</v>
      </c>
      <c r="BI451">
        <v>6</v>
      </c>
      <c r="BJ451" t="s">
        <v>753</v>
      </c>
      <c r="BK451" t="s">
        <v>102</v>
      </c>
      <c r="BL451" t="s">
        <v>754</v>
      </c>
      <c r="BM451" t="s">
        <v>8929</v>
      </c>
      <c r="BN451">
        <v>26903644</v>
      </c>
      <c r="BO451" t="s">
        <v>8930</v>
      </c>
      <c r="BP451" t="s">
        <v>74</v>
      </c>
      <c r="BQ451" t="s">
        <v>74</v>
      </c>
      <c r="BR451" t="s">
        <v>106</v>
      </c>
      <c r="BS451" t="s">
        <v>8931</v>
      </c>
      <c r="BT451" t="str">
        <f>HYPERLINK("https%3A%2F%2Fwww.webofscience.com%2Fwos%2Fwoscc%2Ffull-record%2FWOS:000372876400036","View Full Record in Web of Science")</f>
        <v>View Full Record in Web of Science</v>
      </c>
    </row>
    <row r="452" spans="1:72" x14ac:dyDescent="0.15">
      <c r="A452" t="s">
        <v>72</v>
      </c>
      <c r="B452" t="s">
        <v>8932</v>
      </c>
      <c r="C452" t="s">
        <v>74</v>
      </c>
      <c r="D452" t="s">
        <v>74</v>
      </c>
      <c r="E452" t="s">
        <v>74</v>
      </c>
      <c r="F452" t="s">
        <v>8933</v>
      </c>
      <c r="G452" t="s">
        <v>74</v>
      </c>
      <c r="H452" t="s">
        <v>74</v>
      </c>
      <c r="I452" t="s">
        <v>8934</v>
      </c>
      <c r="J452" t="s">
        <v>1220</v>
      </c>
      <c r="K452" t="s">
        <v>74</v>
      </c>
      <c r="L452" t="s">
        <v>74</v>
      </c>
      <c r="M452" t="s">
        <v>78</v>
      </c>
      <c r="N452" t="s">
        <v>79</v>
      </c>
      <c r="O452" t="s">
        <v>74</v>
      </c>
      <c r="P452" t="s">
        <v>74</v>
      </c>
      <c r="Q452" t="s">
        <v>74</v>
      </c>
      <c r="R452" t="s">
        <v>74</v>
      </c>
      <c r="S452" t="s">
        <v>74</v>
      </c>
      <c r="T452" t="s">
        <v>8935</v>
      </c>
      <c r="U452" t="s">
        <v>8936</v>
      </c>
      <c r="V452" t="s">
        <v>8937</v>
      </c>
      <c r="W452" t="s">
        <v>8938</v>
      </c>
      <c r="X452" t="s">
        <v>8939</v>
      </c>
      <c r="Y452" t="s">
        <v>8940</v>
      </c>
      <c r="Z452" t="s">
        <v>8941</v>
      </c>
      <c r="AA452" t="s">
        <v>8942</v>
      </c>
      <c r="AB452" t="s">
        <v>8943</v>
      </c>
      <c r="AC452" t="s">
        <v>8944</v>
      </c>
      <c r="AD452" t="s">
        <v>8945</v>
      </c>
      <c r="AE452" t="s">
        <v>8946</v>
      </c>
      <c r="AF452" t="s">
        <v>74</v>
      </c>
      <c r="AG452">
        <v>68</v>
      </c>
      <c r="AH452">
        <v>124</v>
      </c>
      <c r="AI452">
        <v>134</v>
      </c>
      <c r="AJ452">
        <v>3</v>
      </c>
      <c r="AK452">
        <v>55</v>
      </c>
      <c r="AL452" t="s">
        <v>1230</v>
      </c>
      <c r="AM452" t="s">
        <v>93</v>
      </c>
      <c r="AN452" t="s">
        <v>1231</v>
      </c>
      <c r="AO452" t="s">
        <v>1232</v>
      </c>
      <c r="AP452" t="s">
        <v>74</v>
      </c>
      <c r="AQ452" t="s">
        <v>74</v>
      </c>
      <c r="AR452" t="s">
        <v>1234</v>
      </c>
      <c r="AS452" t="s">
        <v>1235</v>
      </c>
      <c r="AT452" t="s">
        <v>8927</v>
      </c>
      <c r="AU452">
        <v>2016</v>
      </c>
      <c r="AV452">
        <v>113</v>
      </c>
      <c r="AW452">
        <v>13</v>
      </c>
      <c r="AX452" t="s">
        <v>74</v>
      </c>
      <c r="AY452" t="s">
        <v>74</v>
      </c>
      <c r="AZ452" t="s">
        <v>74</v>
      </c>
      <c r="BA452" t="s">
        <v>74</v>
      </c>
      <c r="BB452">
        <v>3459</v>
      </c>
      <c r="BC452">
        <v>3464</v>
      </c>
      <c r="BD452" t="s">
        <v>74</v>
      </c>
      <c r="BE452" t="s">
        <v>8947</v>
      </c>
      <c r="BF452" t="str">
        <f>HYPERLINK("http://dx.doi.org/10.1073/pnas.1516130113","http://dx.doi.org/10.1073/pnas.1516130113")</f>
        <v>http://dx.doi.org/10.1073/pnas.1516130113</v>
      </c>
      <c r="BG452" t="s">
        <v>74</v>
      </c>
      <c r="BH452" t="s">
        <v>74</v>
      </c>
      <c r="BI452">
        <v>6</v>
      </c>
      <c r="BJ452" t="s">
        <v>753</v>
      </c>
      <c r="BK452" t="s">
        <v>102</v>
      </c>
      <c r="BL452" t="s">
        <v>754</v>
      </c>
      <c r="BM452" t="s">
        <v>8929</v>
      </c>
      <c r="BN452">
        <v>26903645</v>
      </c>
      <c r="BO452" t="s">
        <v>105</v>
      </c>
      <c r="BP452" t="s">
        <v>74</v>
      </c>
      <c r="BQ452" t="s">
        <v>74</v>
      </c>
      <c r="BR452" t="s">
        <v>106</v>
      </c>
      <c r="BS452" t="s">
        <v>8948</v>
      </c>
      <c r="BT452" t="str">
        <f>HYPERLINK("https%3A%2F%2Fwww.webofscience.com%2Fwos%2Fwoscc%2Ffull-record%2FWOS:000372876400037","View Full Record in Web of Science")</f>
        <v>View Full Record in Web of Science</v>
      </c>
    </row>
    <row r="453" spans="1:72" x14ac:dyDescent="0.15">
      <c r="A453" t="s">
        <v>72</v>
      </c>
      <c r="B453" t="s">
        <v>8949</v>
      </c>
      <c r="C453" t="s">
        <v>74</v>
      </c>
      <c r="D453" t="s">
        <v>74</v>
      </c>
      <c r="E453" t="s">
        <v>74</v>
      </c>
      <c r="F453" t="s">
        <v>8950</v>
      </c>
      <c r="G453" t="s">
        <v>74</v>
      </c>
      <c r="H453" t="s">
        <v>74</v>
      </c>
      <c r="I453" t="s">
        <v>8951</v>
      </c>
      <c r="J453" t="s">
        <v>1288</v>
      </c>
      <c r="K453" t="s">
        <v>74</v>
      </c>
      <c r="L453" t="s">
        <v>74</v>
      </c>
      <c r="M453" t="s">
        <v>78</v>
      </c>
      <c r="N453" t="s">
        <v>79</v>
      </c>
      <c r="O453" t="s">
        <v>74</v>
      </c>
      <c r="P453" t="s">
        <v>74</v>
      </c>
      <c r="Q453" t="s">
        <v>74</v>
      </c>
      <c r="R453" t="s">
        <v>74</v>
      </c>
      <c r="S453" t="s">
        <v>74</v>
      </c>
      <c r="T453" t="s">
        <v>8952</v>
      </c>
      <c r="U453" t="s">
        <v>8953</v>
      </c>
      <c r="V453" t="s">
        <v>8954</v>
      </c>
      <c r="W453" t="s">
        <v>8955</v>
      </c>
      <c r="X453" t="s">
        <v>8956</v>
      </c>
      <c r="Y453" t="s">
        <v>8957</v>
      </c>
      <c r="Z453" t="s">
        <v>8958</v>
      </c>
      <c r="AA453" t="s">
        <v>8959</v>
      </c>
      <c r="AB453" t="s">
        <v>8960</v>
      </c>
      <c r="AC453" t="s">
        <v>8961</v>
      </c>
      <c r="AD453" t="s">
        <v>8962</v>
      </c>
      <c r="AE453" t="s">
        <v>8963</v>
      </c>
      <c r="AF453" t="s">
        <v>74</v>
      </c>
      <c r="AG453">
        <v>44</v>
      </c>
      <c r="AH453">
        <v>72</v>
      </c>
      <c r="AI453">
        <v>90</v>
      </c>
      <c r="AJ453">
        <v>2</v>
      </c>
      <c r="AK453">
        <v>40</v>
      </c>
      <c r="AL453" t="s">
        <v>92</v>
      </c>
      <c r="AM453" t="s">
        <v>93</v>
      </c>
      <c r="AN453" t="s">
        <v>94</v>
      </c>
      <c r="AO453" t="s">
        <v>1296</v>
      </c>
      <c r="AP453" t="s">
        <v>1297</v>
      </c>
      <c r="AQ453" t="s">
        <v>74</v>
      </c>
      <c r="AR453" t="s">
        <v>1298</v>
      </c>
      <c r="AS453" t="s">
        <v>1299</v>
      </c>
      <c r="AT453" t="s">
        <v>8964</v>
      </c>
      <c r="AU453">
        <v>2016</v>
      </c>
      <c r="AV453">
        <v>43</v>
      </c>
      <c r="AW453">
        <v>6</v>
      </c>
      <c r="AX453" t="s">
        <v>74</v>
      </c>
      <c r="AY453" t="s">
        <v>74</v>
      </c>
      <c r="AZ453" t="s">
        <v>74</v>
      </c>
      <c r="BA453" t="s">
        <v>74</v>
      </c>
      <c r="BB453">
        <v>2640</v>
      </c>
      <c r="BC453">
        <v>2648</v>
      </c>
      <c r="BD453" t="s">
        <v>74</v>
      </c>
      <c r="BE453" t="s">
        <v>8965</v>
      </c>
      <c r="BF453" t="str">
        <f>HYPERLINK("http://dx.doi.org/10.1002/2016GL067758","http://dx.doi.org/10.1002/2016GL067758")</f>
        <v>http://dx.doi.org/10.1002/2016GL067758</v>
      </c>
      <c r="BG453" t="s">
        <v>74</v>
      </c>
      <c r="BH453" t="s">
        <v>74</v>
      </c>
      <c r="BI453">
        <v>9</v>
      </c>
      <c r="BJ453" t="s">
        <v>269</v>
      </c>
      <c r="BK453" t="s">
        <v>102</v>
      </c>
      <c r="BL453" t="s">
        <v>270</v>
      </c>
      <c r="BM453" t="s">
        <v>8966</v>
      </c>
      <c r="BN453" t="s">
        <v>74</v>
      </c>
      <c r="BO453" t="s">
        <v>420</v>
      </c>
      <c r="BP453" t="s">
        <v>74</v>
      </c>
      <c r="BQ453" t="s">
        <v>74</v>
      </c>
      <c r="BR453" t="s">
        <v>106</v>
      </c>
      <c r="BS453" t="s">
        <v>8967</v>
      </c>
      <c r="BT453" t="str">
        <f>HYPERLINK("https%3A%2F%2Fwww.webofscience.com%2Fwos%2Fwoscc%2Ffull-record%2FWOS:000374697200038","View Full Record in Web of Science")</f>
        <v>View Full Record in Web of Science</v>
      </c>
    </row>
    <row r="454" spans="1:72" x14ac:dyDescent="0.15">
      <c r="A454" t="s">
        <v>72</v>
      </c>
      <c r="B454" t="s">
        <v>8968</v>
      </c>
      <c r="C454" t="s">
        <v>74</v>
      </c>
      <c r="D454" t="s">
        <v>74</v>
      </c>
      <c r="E454" t="s">
        <v>74</v>
      </c>
      <c r="F454" t="s">
        <v>8969</v>
      </c>
      <c r="G454" t="s">
        <v>74</v>
      </c>
      <c r="H454" t="s">
        <v>74</v>
      </c>
      <c r="I454" t="s">
        <v>8970</v>
      </c>
      <c r="J454" t="s">
        <v>1288</v>
      </c>
      <c r="K454" t="s">
        <v>74</v>
      </c>
      <c r="L454" t="s">
        <v>74</v>
      </c>
      <c r="M454" t="s">
        <v>78</v>
      </c>
      <c r="N454" t="s">
        <v>79</v>
      </c>
      <c r="O454" t="s">
        <v>74</v>
      </c>
      <c r="P454" t="s">
        <v>74</v>
      </c>
      <c r="Q454" t="s">
        <v>74</v>
      </c>
      <c r="R454" t="s">
        <v>74</v>
      </c>
      <c r="S454" t="s">
        <v>74</v>
      </c>
      <c r="T454" t="s">
        <v>8971</v>
      </c>
      <c r="U454" t="s">
        <v>8972</v>
      </c>
      <c r="V454" t="s">
        <v>8973</v>
      </c>
      <c r="W454" t="s">
        <v>8974</v>
      </c>
      <c r="X454" t="s">
        <v>2323</v>
      </c>
      <c r="Y454" t="s">
        <v>8975</v>
      </c>
      <c r="Z454" t="s">
        <v>8976</v>
      </c>
      <c r="AA454" t="s">
        <v>74</v>
      </c>
      <c r="AB454" t="s">
        <v>8977</v>
      </c>
      <c r="AC454" t="s">
        <v>8978</v>
      </c>
      <c r="AD454" t="s">
        <v>8979</v>
      </c>
      <c r="AE454" t="s">
        <v>8980</v>
      </c>
      <c r="AF454" t="s">
        <v>74</v>
      </c>
      <c r="AG454">
        <v>39</v>
      </c>
      <c r="AH454">
        <v>23</v>
      </c>
      <c r="AI454">
        <v>25</v>
      </c>
      <c r="AJ454">
        <v>0</v>
      </c>
      <c r="AK454">
        <v>20</v>
      </c>
      <c r="AL454" t="s">
        <v>92</v>
      </c>
      <c r="AM454" t="s">
        <v>93</v>
      </c>
      <c r="AN454" t="s">
        <v>94</v>
      </c>
      <c r="AO454" t="s">
        <v>1296</v>
      </c>
      <c r="AP454" t="s">
        <v>1297</v>
      </c>
      <c r="AQ454" t="s">
        <v>74</v>
      </c>
      <c r="AR454" t="s">
        <v>1298</v>
      </c>
      <c r="AS454" t="s">
        <v>1299</v>
      </c>
      <c r="AT454" t="s">
        <v>8964</v>
      </c>
      <c r="AU454">
        <v>2016</v>
      </c>
      <c r="AV454">
        <v>43</v>
      </c>
      <c r="AW454">
        <v>6</v>
      </c>
      <c r="AX454" t="s">
        <v>74</v>
      </c>
      <c r="AY454" t="s">
        <v>74</v>
      </c>
      <c r="AZ454" t="s">
        <v>74</v>
      </c>
      <c r="BA454" t="s">
        <v>74</v>
      </c>
      <c r="BB454">
        <v>2936</v>
      </c>
      <c r="BC454">
        <v>2945</v>
      </c>
      <c r="BD454" t="s">
        <v>74</v>
      </c>
      <c r="BE454" t="s">
        <v>8981</v>
      </c>
      <c r="BF454" t="str">
        <f>HYPERLINK("http://dx.doi.org/10.1002/2015GL067246","http://dx.doi.org/10.1002/2015GL067246")</f>
        <v>http://dx.doi.org/10.1002/2015GL067246</v>
      </c>
      <c r="BG454" t="s">
        <v>74</v>
      </c>
      <c r="BH454" t="s">
        <v>74</v>
      </c>
      <c r="BI454">
        <v>10</v>
      </c>
      <c r="BJ454" t="s">
        <v>269</v>
      </c>
      <c r="BK454" t="s">
        <v>102</v>
      </c>
      <c r="BL454" t="s">
        <v>270</v>
      </c>
      <c r="BM454" t="s">
        <v>8966</v>
      </c>
      <c r="BN454" t="s">
        <v>74</v>
      </c>
      <c r="BO454" t="s">
        <v>74</v>
      </c>
      <c r="BP454" t="s">
        <v>74</v>
      </c>
      <c r="BQ454" t="s">
        <v>74</v>
      </c>
      <c r="BR454" t="s">
        <v>106</v>
      </c>
      <c r="BS454" t="s">
        <v>8982</v>
      </c>
      <c r="BT454" t="str">
        <f>HYPERLINK("https%3A%2F%2Fwww.webofscience.com%2Fwos%2Fwoscc%2Ffull-record%2FWOS:000374697200074","View Full Record in Web of Science")</f>
        <v>View Full Record in Web of Science</v>
      </c>
    </row>
    <row r="455" spans="1:72" x14ac:dyDescent="0.15">
      <c r="A455" t="s">
        <v>72</v>
      </c>
      <c r="B455" t="s">
        <v>8983</v>
      </c>
      <c r="C455" t="s">
        <v>74</v>
      </c>
      <c r="D455" t="s">
        <v>74</v>
      </c>
      <c r="E455" t="s">
        <v>74</v>
      </c>
      <c r="F455" t="s">
        <v>8984</v>
      </c>
      <c r="G455" t="s">
        <v>74</v>
      </c>
      <c r="H455" t="s">
        <v>74</v>
      </c>
      <c r="I455" t="s">
        <v>8985</v>
      </c>
      <c r="J455" t="s">
        <v>1196</v>
      </c>
      <c r="K455" t="s">
        <v>74</v>
      </c>
      <c r="L455" t="s">
        <v>74</v>
      </c>
      <c r="M455" t="s">
        <v>78</v>
      </c>
      <c r="N455" t="s">
        <v>79</v>
      </c>
      <c r="O455" t="s">
        <v>74</v>
      </c>
      <c r="P455" t="s">
        <v>74</v>
      </c>
      <c r="Q455" t="s">
        <v>74</v>
      </c>
      <c r="R455" t="s">
        <v>74</v>
      </c>
      <c r="S455" t="s">
        <v>74</v>
      </c>
      <c r="T455" t="s">
        <v>74</v>
      </c>
      <c r="U455" t="s">
        <v>8986</v>
      </c>
      <c r="V455" t="s">
        <v>8987</v>
      </c>
      <c r="W455" t="s">
        <v>8988</v>
      </c>
      <c r="X455" t="s">
        <v>8989</v>
      </c>
      <c r="Y455" t="s">
        <v>8990</v>
      </c>
      <c r="Z455" t="s">
        <v>8991</v>
      </c>
      <c r="AA455" t="s">
        <v>74</v>
      </c>
      <c r="AB455" t="s">
        <v>8992</v>
      </c>
      <c r="AC455" t="s">
        <v>8993</v>
      </c>
      <c r="AD455" t="s">
        <v>8994</v>
      </c>
      <c r="AE455" t="s">
        <v>8995</v>
      </c>
      <c r="AF455" t="s">
        <v>74</v>
      </c>
      <c r="AG455">
        <v>85</v>
      </c>
      <c r="AH455">
        <v>50</v>
      </c>
      <c r="AI455">
        <v>53</v>
      </c>
      <c r="AJ455">
        <v>3</v>
      </c>
      <c r="AK455">
        <v>24</v>
      </c>
      <c r="AL455" t="s">
        <v>1207</v>
      </c>
      <c r="AM455" t="s">
        <v>1208</v>
      </c>
      <c r="AN455" t="s">
        <v>1209</v>
      </c>
      <c r="AO455" t="s">
        <v>1210</v>
      </c>
      <c r="AP455" t="s">
        <v>74</v>
      </c>
      <c r="AQ455" t="s">
        <v>74</v>
      </c>
      <c r="AR455" t="s">
        <v>1196</v>
      </c>
      <c r="AS455" t="s">
        <v>1211</v>
      </c>
      <c r="AT455" t="s">
        <v>8964</v>
      </c>
      <c r="AU455">
        <v>2016</v>
      </c>
      <c r="AV455">
        <v>11</v>
      </c>
      <c r="AW455">
        <v>3</v>
      </c>
      <c r="AX455" t="s">
        <v>74</v>
      </c>
      <c r="AY455" t="s">
        <v>74</v>
      </c>
      <c r="AZ455" t="s">
        <v>74</v>
      </c>
      <c r="BA455" t="s">
        <v>74</v>
      </c>
      <c r="BB455" t="s">
        <v>74</v>
      </c>
      <c r="BC455" t="s">
        <v>74</v>
      </c>
      <c r="BD455" t="s">
        <v>8996</v>
      </c>
      <c r="BE455" t="s">
        <v>8997</v>
      </c>
      <c r="BF455" t="str">
        <f>HYPERLINK("http://dx.doi.org/10.1371/journal.pone.0150854","http://dx.doi.org/10.1371/journal.pone.0150854")</f>
        <v>http://dx.doi.org/10.1371/journal.pone.0150854</v>
      </c>
      <c r="BG455" t="s">
        <v>74</v>
      </c>
      <c r="BH455" t="s">
        <v>74</v>
      </c>
      <c r="BI455">
        <v>19</v>
      </c>
      <c r="BJ455" t="s">
        <v>753</v>
      </c>
      <c r="BK455" t="s">
        <v>102</v>
      </c>
      <c r="BL455" t="s">
        <v>754</v>
      </c>
      <c r="BM455" t="s">
        <v>8998</v>
      </c>
      <c r="BN455">
        <v>27018793</v>
      </c>
      <c r="BO455" t="s">
        <v>993</v>
      </c>
      <c r="BP455" t="s">
        <v>74</v>
      </c>
      <c r="BQ455" t="s">
        <v>74</v>
      </c>
      <c r="BR455" t="s">
        <v>106</v>
      </c>
      <c r="BS455" t="s">
        <v>8999</v>
      </c>
      <c r="BT455" t="str">
        <f>HYPERLINK("https%3A%2F%2Fwww.webofscience.com%2Fwos%2Fwoscc%2Ffull-record%2FWOS:000372807800007","View Full Record in Web of Science")</f>
        <v>View Full Record in Web of Science</v>
      </c>
    </row>
    <row r="456" spans="1:72" x14ac:dyDescent="0.15">
      <c r="A456" t="s">
        <v>72</v>
      </c>
      <c r="B456" t="s">
        <v>9000</v>
      </c>
      <c r="C456" t="s">
        <v>74</v>
      </c>
      <c r="D456" t="s">
        <v>74</v>
      </c>
      <c r="E456" t="s">
        <v>74</v>
      </c>
      <c r="F456" t="s">
        <v>9001</v>
      </c>
      <c r="G456" t="s">
        <v>74</v>
      </c>
      <c r="H456" t="s">
        <v>74</v>
      </c>
      <c r="I456" t="s">
        <v>9002</v>
      </c>
      <c r="J456" t="s">
        <v>1288</v>
      </c>
      <c r="K456" t="s">
        <v>74</v>
      </c>
      <c r="L456" t="s">
        <v>74</v>
      </c>
      <c r="M456" t="s">
        <v>78</v>
      </c>
      <c r="N456" t="s">
        <v>79</v>
      </c>
      <c r="O456" t="s">
        <v>74</v>
      </c>
      <c r="P456" t="s">
        <v>74</v>
      </c>
      <c r="Q456" t="s">
        <v>74</v>
      </c>
      <c r="R456" t="s">
        <v>74</v>
      </c>
      <c r="S456" t="s">
        <v>74</v>
      </c>
      <c r="T456" t="s">
        <v>9003</v>
      </c>
      <c r="U456" t="s">
        <v>9004</v>
      </c>
      <c r="V456" t="s">
        <v>9005</v>
      </c>
      <c r="W456" t="s">
        <v>9006</v>
      </c>
      <c r="X456" t="s">
        <v>9007</v>
      </c>
      <c r="Y456" t="s">
        <v>9008</v>
      </c>
      <c r="Z456" t="s">
        <v>9009</v>
      </c>
      <c r="AA456" t="s">
        <v>9010</v>
      </c>
      <c r="AB456" t="s">
        <v>9011</v>
      </c>
      <c r="AC456" t="s">
        <v>9012</v>
      </c>
      <c r="AD456" t="s">
        <v>9013</v>
      </c>
      <c r="AE456" t="s">
        <v>9014</v>
      </c>
      <c r="AF456" t="s">
        <v>74</v>
      </c>
      <c r="AG456">
        <v>45</v>
      </c>
      <c r="AH456">
        <v>68</v>
      </c>
      <c r="AI456">
        <v>70</v>
      </c>
      <c r="AJ456">
        <v>0</v>
      </c>
      <c r="AK456">
        <v>4</v>
      </c>
      <c r="AL456" t="s">
        <v>92</v>
      </c>
      <c r="AM456" t="s">
        <v>93</v>
      </c>
      <c r="AN456" t="s">
        <v>94</v>
      </c>
      <c r="AO456" t="s">
        <v>1296</v>
      </c>
      <c r="AP456" t="s">
        <v>1297</v>
      </c>
      <c r="AQ456" t="s">
        <v>74</v>
      </c>
      <c r="AR456" t="s">
        <v>1298</v>
      </c>
      <c r="AS456" t="s">
        <v>1299</v>
      </c>
      <c r="AT456" t="s">
        <v>8964</v>
      </c>
      <c r="AU456">
        <v>2016</v>
      </c>
      <c r="AV456">
        <v>43</v>
      </c>
      <c r="AW456">
        <v>6</v>
      </c>
      <c r="AX456" t="s">
        <v>74</v>
      </c>
      <c r="AY456" t="s">
        <v>74</v>
      </c>
      <c r="AZ456" t="s">
        <v>74</v>
      </c>
      <c r="BA456" t="s">
        <v>74</v>
      </c>
      <c r="BB456">
        <v>2381</v>
      </c>
      <c r="BC456">
        <v>2388</v>
      </c>
      <c r="BD456" t="s">
        <v>74</v>
      </c>
      <c r="BE456" t="s">
        <v>9015</v>
      </c>
      <c r="BF456" t="str">
        <f>HYPERLINK("http://dx.doi.org/10.1002/2016GL067938","http://dx.doi.org/10.1002/2016GL067938")</f>
        <v>http://dx.doi.org/10.1002/2016GL067938</v>
      </c>
      <c r="BG456" t="s">
        <v>74</v>
      </c>
      <c r="BH456" t="s">
        <v>74</v>
      </c>
      <c r="BI456">
        <v>8</v>
      </c>
      <c r="BJ456" t="s">
        <v>269</v>
      </c>
      <c r="BK456" t="s">
        <v>102</v>
      </c>
      <c r="BL456" t="s">
        <v>270</v>
      </c>
      <c r="BM456" t="s">
        <v>8966</v>
      </c>
      <c r="BN456" t="s">
        <v>74</v>
      </c>
      <c r="BO456" t="s">
        <v>1745</v>
      </c>
      <c r="BP456" t="s">
        <v>74</v>
      </c>
      <c r="BQ456" t="s">
        <v>74</v>
      </c>
      <c r="BR456" t="s">
        <v>106</v>
      </c>
      <c r="BS456" t="s">
        <v>9016</v>
      </c>
      <c r="BT456" t="str">
        <f>HYPERLINK("https%3A%2F%2Fwww.webofscience.com%2Fwos%2Fwoscc%2Ffull-record%2FWOS:000374697200006","View Full Record in Web of Science")</f>
        <v>View Full Record in Web of Science</v>
      </c>
    </row>
    <row r="457" spans="1:72" x14ac:dyDescent="0.15">
      <c r="A457" t="s">
        <v>72</v>
      </c>
      <c r="B457" t="s">
        <v>9017</v>
      </c>
      <c r="C457" t="s">
        <v>74</v>
      </c>
      <c r="D457" t="s">
        <v>74</v>
      </c>
      <c r="E457" t="s">
        <v>74</v>
      </c>
      <c r="F457" t="s">
        <v>9018</v>
      </c>
      <c r="G457" t="s">
        <v>74</v>
      </c>
      <c r="H457" t="s">
        <v>74</v>
      </c>
      <c r="I457" t="s">
        <v>9019</v>
      </c>
      <c r="J457" t="s">
        <v>1288</v>
      </c>
      <c r="K457" t="s">
        <v>74</v>
      </c>
      <c r="L457" t="s">
        <v>74</v>
      </c>
      <c r="M457" t="s">
        <v>78</v>
      </c>
      <c r="N457" t="s">
        <v>79</v>
      </c>
      <c r="O457" t="s">
        <v>74</v>
      </c>
      <c r="P457" t="s">
        <v>74</v>
      </c>
      <c r="Q457" t="s">
        <v>74</v>
      </c>
      <c r="R457" t="s">
        <v>74</v>
      </c>
      <c r="S457" t="s">
        <v>74</v>
      </c>
      <c r="T457" t="s">
        <v>74</v>
      </c>
      <c r="U457" t="s">
        <v>9020</v>
      </c>
      <c r="V457" t="s">
        <v>9021</v>
      </c>
      <c r="W457" t="s">
        <v>9022</v>
      </c>
      <c r="X457" t="s">
        <v>4776</v>
      </c>
      <c r="Y457" t="s">
        <v>9023</v>
      </c>
      <c r="Z457" t="s">
        <v>9024</v>
      </c>
      <c r="AA457" t="s">
        <v>9025</v>
      </c>
      <c r="AB457" t="s">
        <v>9026</v>
      </c>
      <c r="AC457" t="s">
        <v>9027</v>
      </c>
      <c r="AD457" t="s">
        <v>9027</v>
      </c>
      <c r="AE457" t="s">
        <v>9028</v>
      </c>
      <c r="AF457" t="s">
        <v>74</v>
      </c>
      <c r="AG457">
        <v>43</v>
      </c>
      <c r="AH457">
        <v>51</v>
      </c>
      <c r="AI457">
        <v>54</v>
      </c>
      <c r="AJ457">
        <v>0</v>
      </c>
      <c r="AK457">
        <v>32</v>
      </c>
      <c r="AL457" t="s">
        <v>92</v>
      </c>
      <c r="AM457" t="s">
        <v>93</v>
      </c>
      <c r="AN457" t="s">
        <v>94</v>
      </c>
      <c r="AO457" t="s">
        <v>1296</v>
      </c>
      <c r="AP457" t="s">
        <v>1297</v>
      </c>
      <c r="AQ457" t="s">
        <v>74</v>
      </c>
      <c r="AR457" t="s">
        <v>1298</v>
      </c>
      <c r="AS457" t="s">
        <v>1299</v>
      </c>
      <c r="AT457" t="s">
        <v>8964</v>
      </c>
      <c r="AU457">
        <v>2016</v>
      </c>
      <c r="AV457">
        <v>43</v>
      </c>
      <c r="AW457">
        <v>6</v>
      </c>
      <c r="AX457" t="s">
        <v>74</v>
      </c>
      <c r="AY457" t="s">
        <v>74</v>
      </c>
      <c r="AZ457" t="s">
        <v>74</v>
      </c>
      <c r="BA457" t="s">
        <v>74</v>
      </c>
      <c r="BB457">
        <v>2675</v>
      </c>
      <c r="BC457">
        <v>2682</v>
      </c>
      <c r="BD457" t="s">
        <v>74</v>
      </c>
      <c r="BE457" t="s">
        <v>9029</v>
      </c>
      <c r="BF457" t="str">
        <f>HYPERLINK("http://dx.doi.org/10.1002/2016GL067818","http://dx.doi.org/10.1002/2016GL067818")</f>
        <v>http://dx.doi.org/10.1002/2016GL067818</v>
      </c>
      <c r="BG457" t="s">
        <v>74</v>
      </c>
      <c r="BH457" t="s">
        <v>74</v>
      </c>
      <c r="BI457">
        <v>8</v>
      </c>
      <c r="BJ457" t="s">
        <v>269</v>
      </c>
      <c r="BK457" t="s">
        <v>102</v>
      </c>
      <c r="BL457" t="s">
        <v>270</v>
      </c>
      <c r="BM457" t="s">
        <v>8966</v>
      </c>
      <c r="BN457" t="s">
        <v>74</v>
      </c>
      <c r="BO457" t="s">
        <v>403</v>
      </c>
      <c r="BP457" t="s">
        <v>74</v>
      </c>
      <c r="BQ457" t="s">
        <v>74</v>
      </c>
      <c r="BR457" t="s">
        <v>106</v>
      </c>
      <c r="BS457" t="s">
        <v>9030</v>
      </c>
      <c r="BT457" t="str">
        <f>HYPERLINK("https%3A%2F%2Fwww.webofscience.com%2Fwos%2Fwoscc%2Ffull-record%2FWOS:000374697200042","View Full Record in Web of Science")</f>
        <v>View Full Record in Web of Science</v>
      </c>
    </row>
    <row r="458" spans="1:72" x14ac:dyDescent="0.15">
      <c r="A458" t="s">
        <v>72</v>
      </c>
      <c r="B458" t="s">
        <v>9031</v>
      </c>
      <c r="C458" t="s">
        <v>74</v>
      </c>
      <c r="D458" t="s">
        <v>74</v>
      </c>
      <c r="E458" t="s">
        <v>74</v>
      </c>
      <c r="F458" t="s">
        <v>9032</v>
      </c>
      <c r="G458" t="s">
        <v>74</v>
      </c>
      <c r="H458" t="s">
        <v>74</v>
      </c>
      <c r="I458" t="s">
        <v>9033</v>
      </c>
      <c r="J458" t="s">
        <v>1708</v>
      </c>
      <c r="K458" t="s">
        <v>74</v>
      </c>
      <c r="L458" t="s">
        <v>74</v>
      </c>
      <c r="M458" t="s">
        <v>78</v>
      </c>
      <c r="N458" t="s">
        <v>79</v>
      </c>
      <c r="O458" t="s">
        <v>74</v>
      </c>
      <c r="P458" t="s">
        <v>74</v>
      </c>
      <c r="Q458" t="s">
        <v>74</v>
      </c>
      <c r="R458" t="s">
        <v>74</v>
      </c>
      <c r="S458" t="s">
        <v>74</v>
      </c>
      <c r="T458" t="s">
        <v>9034</v>
      </c>
      <c r="U458" t="s">
        <v>9035</v>
      </c>
      <c r="V458" t="s">
        <v>9036</v>
      </c>
      <c r="W458" t="s">
        <v>9037</v>
      </c>
      <c r="X458" t="s">
        <v>9038</v>
      </c>
      <c r="Y458" t="s">
        <v>9039</v>
      </c>
      <c r="Z458" t="s">
        <v>9040</v>
      </c>
      <c r="AA458" t="s">
        <v>9041</v>
      </c>
      <c r="AB458" t="s">
        <v>9042</v>
      </c>
      <c r="AC458" t="s">
        <v>9043</v>
      </c>
      <c r="AD458" t="s">
        <v>9044</v>
      </c>
      <c r="AE458" t="s">
        <v>9045</v>
      </c>
      <c r="AF458" t="s">
        <v>74</v>
      </c>
      <c r="AG458">
        <v>32</v>
      </c>
      <c r="AH458">
        <v>17</v>
      </c>
      <c r="AI458">
        <v>17</v>
      </c>
      <c r="AJ458">
        <v>0</v>
      </c>
      <c r="AK458">
        <v>10</v>
      </c>
      <c r="AL458" t="s">
        <v>92</v>
      </c>
      <c r="AM458" t="s">
        <v>93</v>
      </c>
      <c r="AN458" t="s">
        <v>94</v>
      </c>
      <c r="AO458" t="s">
        <v>1720</v>
      </c>
      <c r="AP458" t="s">
        <v>1721</v>
      </c>
      <c r="AQ458" t="s">
        <v>74</v>
      </c>
      <c r="AR458" t="s">
        <v>1722</v>
      </c>
      <c r="AS458" t="s">
        <v>1723</v>
      </c>
      <c r="AT458" t="s">
        <v>9046</v>
      </c>
      <c r="AU458">
        <v>2016</v>
      </c>
      <c r="AV458">
        <v>121</v>
      </c>
      <c r="AW458">
        <v>6</v>
      </c>
      <c r="AX458" t="s">
        <v>74</v>
      </c>
      <c r="AY458" t="s">
        <v>74</v>
      </c>
      <c r="AZ458" t="s">
        <v>74</v>
      </c>
      <c r="BA458" t="s">
        <v>74</v>
      </c>
      <c r="BB458">
        <v>2814</v>
      </c>
      <c r="BC458">
        <v>2835</v>
      </c>
      <c r="BD458" t="s">
        <v>74</v>
      </c>
      <c r="BE458" t="s">
        <v>9047</v>
      </c>
      <c r="BF458" t="str">
        <f>HYPERLINK("http://dx.doi.org/10.1002/2015JD024564","http://dx.doi.org/10.1002/2015JD024564")</f>
        <v>http://dx.doi.org/10.1002/2015JD024564</v>
      </c>
      <c r="BG458" t="s">
        <v>74</v>
      </c>
      <c r="BH458" t="s">
        <v>74</v>
      </c>
      <c r="BI458">
        <v>22</v>
      </c>
      <c r="BJ458" t="s">
        <v>1726</v>
      </c>
      <c r="BK458" t="s">
        <v>102</v>
      </c>
      <c r="BL458" t="s">
        <v>1726</v>
      </c>
      <c r="BM458" t="s">
        <v>9048</v>
      </c>
      <c r="BN458" t="s">
        <v>74</v>
      </c>
      <c r="BO458" t="s">
        <v>1745</v>
      </c>
      <c r="BP458" t="s">
        <v>74</v>
      </c>
      <c r="BQ458" t="s">
        <v>74</v>
      </c>
      <c r="BR458" t="s">
        <v>106</v>
      </c>
      <c r="BS458" t="s">
        <v>9049</v>
      </c>
      <c r="BT458" t="str">
        <f>HYPERLINK("https%3A%2F%2Fwww.webofscience.com%2Fwos%2Fwoscc%2Ffull-record%2FWOS:000374710300019","View Full Record in Web of Science")</f>
        <v>View Full Record in Web of Science</v>
      </c>
    </row>
    <row r="459" spans="1:72" x14ac:dyDescent="0.15">
      <c r="A459" t="s">
        <v>72</v>
      </c>
      <c r="B459" t="s">
        <v>9050</v>
      </c>
      <c r="C459" t="s">
        <v>74</v>
      </c>
      <c r="D459" t="s">
        <v>74</v>
      </c>
      <c r="E459" t="s">
        <v>74</v>
      </c>
      <c r="F459" t="s">
        <v>9051</v>
      </c>
      <c r="G459" t="s">
        <v>74</v>
      </c>
      <c r="H459" t="s">
        <v>74</v>
      </c>
      <c r="I459" t="s">
        <v>9052</v>
      </c>
      <c r="J459" t="s">
        <v>1708</v>
      </c>
      <c r="K459" t="s">
        <v>74</v>
      </c>
      <c r="L459" t="s">
        <v>74</v>
      </c>
      <c r="M459" t="s">
        <v>78</v>
      </c>
      <c r="N459" t="s">
        <v>79</v>
      </c>
      <c r="O459" t="s">
        <v>74</v>
      </c>
      <c r="P459" t="s">
        <v>74</v>
      </c>
      <c r="Q459" t="s">
        <v>74</v>
      </c>
      <c r="R459" t="s">
        <v>74</v>
      </c>
      <c r="S459" t="s">
        <v>74</v>
      </c>
      <c r="T459" t="s">
        <v>9034</v>
      </c>
      <c r="U459" t="s">
        <v>9053</v>
      </c>
      <c r="V459" t="s">
        <v>9054</v>
      </c>
      <c r="W459" t="s">
        <v>9055</v>
      </c>
      <c r="X459" t="s">
        <v>9056</v>
      </c>
      <c r="Y459" t="s">
        <v>9057</v>
      </c>
      <c r="Z459" t="s">
        <v>9040</v>
      </c>
      <c r="AA459" t="s">
        <v>9041</v>
      </c>
      <c r="AB459" t="s">
        <v>9042</v>
      </c>
      <c r="AC459" t="s">
        <v>9058</v>
      </c>
      <c r="AD459" t="s">
        <v>9059</v>
      </c>
      <c r="AE459" t="s">
        <v>9060</v>
      </c>
      <c r="AF459" t="s">
        <v>74</v>
      </c>
      <c r="AG459">
        <v>45</v>
      </c>
      <c r="AH459">
        <v>12</v>
      </c>
      <c r="AI459">
        <v>12</v>
      </c>
      <c r="AJ459">
        <v>0</v>
      </c>
      <c r="AK459">
        <v>13</v>
      </c>
      <c r="AL459" t="s">
        <v>92</v>
      </c>
      <c r="AM459" t="s">
        <v>93</v>
      </c>
      <c r="AN459" t="s">
        <v>94</v>
      </c>
      <c r="AO459" t="s">
        <v>1720</v>
      </c>
      <c r="AP459" t="s">
        <v>1721</v>
      </c>
      <c r="AQ459" t="s">
        <v>74</v>
      </c>
      <c r="AR459" t="s">
        <v>1722</v>
      </c>
      <c r="AS459" t="s">
        <v>1723</v>
      </c>
      <c r="AT459" t="s">
        <v>9046</v>
      </c>
      <c r="AU459">
        <v>2016</v>
      </c>
      <c r="AV459">
        <v>121</v>
      </c>
      <c r="AW459">
        <v>6</v>
      </c>
      <c r="AX459" t="s">
        <v>74</v>
      </c>
      <c r="AY459" t="s">
        <v>74</v>
      </c>
      <c r="AZ459" t="s">
        <v>74</v>
      </c>
      <c r="BA459" t="s">
        <v>74</v>
      </c>
      <c r="BB459">
        <v>2836</v>
      </c>
      <c r="BC459">
        <v>2856</v>
      </c>
      <c r="BD459" t="s">
        <v>74</v>
      </c>
      <c r="BE459" t="s">
        <v>9061</v>
      </c>
      <c r="BF459" t="str">
        <f>HYPERLINK("http://dx.doi.org/10.1002/2015JD024565","http://dx.doi.org/10.1002/2015JD024565")</f>
        <v>http://dx.doi.org/10.1002/2015JD024565</v>
      </c>
      <c r="BG459" t="s">
        <v>74</v>
      </c>
      <c r="BH459" t="s">
        <v>74</v>
      </c>
      <c r="BI459">
        <v>21</v>
      </c>
      <c r="BJ459" t="s">
        <v>1726</v>
      </c>
      <c r="BK459" t="s">
        <v>102</v>
      </c>
      <c r="BL459" t="s">
        <v>1726</v>
      </c>
      <c r="BM459" t="s">
        <v>9048</v>
      </c>
      <c r="BN459" t="s">
        <v>74</v>
      </c>
      <c r="BO459" t="s">
        <v>1745</v>
      </c>
      <c r="BP459" t="s">
        <v>74</v>
      </c>
      <c r="BQ459" t="s">
        <v>74</v>
      </c>
      <c r="BR459" t="s">
        <v>106</v>
      </c>
      <c r="BS459" t="s">
        <v>9062</v>
      </c>
      <c r="BT459" t="str">
        <f>HYPERLINK("https%3A%2F%2Fwww.webofscience.com%2Fwos%2Fwoscc%2Ffull-record%2FWOS:000374710300020","View Full Record in Web of Science")</f>
        <v>View Full Record in Web of Science</v>
      </c>
    </row>
    <row r="460" spans="1:72" x14ac:dyDescent="0.15">
      <c r="A460" t="s">
        <v>72</v>
      </c>
      <c r="B460" t="s">
        <v>9063</v>
      </c>
      <c r="C460" t="s">
        <v>74</v>
      </c>
      <c r="D460" t="s">
        <v>74</v>
      </c>
      <c r="E460" t="s">
        <v>74</v>
      </c>
      <c r="F460" t="s">
        <v>9064</v>
      </c>
      <c r="G460" t="s">
        <v>74</v>
      </c>
      <c r="H460" t="s">
        <v>74</v>
      </c>
      <c r="I460" t="s">
        <v>9065</v>
      </c>
      <c r="J460" t="s">
        <v>9066</v>
      </c>
      <c r="K460" t="s">
        <v>74</v>
      </c>
      <c r="L460" t="s">
        <v>74</v>
      </c>
      <c r="M460" t="s">
        <v>78</v>
      </c>
      <c r="N460" t="s">
        <v>79</v>
      </c>
      <c r="O460" t="s">
        <v>74</v>
      </c>
      <c r="P460" t="s">
        <v>74</v>
      </c>
      <c r="Q460" t="s">
        <v>74</v>
      </c>
      <c r="R460" t="s">
        <v>74</v>
      </c>
      <c r="S460" t="s">
        <v>74</v>
      </c>
      <c r="T460" t="s">
        <v>9067</v>
      </c>
      <c r="U460" t="s">
        <v>74</v>
      </c>
      <c r="V460" t="s">
        <v>9068</v>
      </c>
      <c r="W460" t="s">
        <v>9069</v>
      </c>
      <c r="X460" t="s">
        <v>9070</v>
      </c>
      <c r="Y460" t="s">
        <v>9071</v>
      </c>
      <c r="Z460" t="s">
        <v>9072</v>
      </c>
      <c r="AA460" t="s">
        <v>9073</v>
      </c>
      <c r="AB460" t="s">
        <v>74</v>
      </c>
      <c r="AC460" t="s">
        <v>9074</v>
      </c>
      <c r="AD460" t="s">
        <v>9075</v>
      </c>
      <c r="AE460" t="s">
        <v>9076</v>
      </c>
      <c r="AF460" t="s">
        <v>74</v>
      </c>
      <c r="AG460">
        <v>11</v>
      </c>
      <c r="AH460">
        <v>2</v>
      </c>
      <c r="AI460">
        <v>2</v>
      </c>
      <c r="AJ460">
        <v>0</v>
      </c>
      <c r="AK460">
        <v>2</v>
      </c>
      <c r="AL460" t="s">
        <v>1630</v>
      </c>
      <c r="AM460" t="s">
        <v>1631</v>
      </c>
      <c r="AN460" t="s">
        <v>1632</v>
      </c>
      <c r="AO460" t="s">
        <v>9077</v>
      </c>
      <c r="AP460" t="s">
        <v>9078</v>
      </c>
      <c r="AQ460" t="s">
        <v>74</v>
      </c>
      <c r="AR460" t="s">
        <v>9066</v>
      </c>
      <c r="AS460" t="s">
        <v>9079</v>
      </c>
      <c r="AT460" t="s">
        <v>9080</v>
      </c>
      <c r="AU460">
        <v>2016</v>
      </c>
      <c r="AV460">
        <v>4093</v>
      </c>
      <c r="AW460">
        <v>3</v>
      </c>
      <c r="AX460" t="s">
        <v>74</v>
      </c>
      <c r="AY460" t="s">
        <v>74</v>
      </c>
      <c r="AZ460" t="s">
        <v>74</v>
      </c>
      <c r="BA460" t="s">
        <v>74</v>
      </c>
      <c r="BB460">
        <v>391</v>
      </c>
      <c r="BC460">
        <v>406</v>
      </c>
      <c r="BD460" t="s">
        <v>74</v>
      </c>
      <c r="BE460" t="s">
        <v>9081</v>
      </c>
      <c r="BF460" t="str">
        <f>HYPERLINK("http://dx.doi.org/10.11646/zootaxa.4093.3.6","http://dx.doi.org/10.11646/zootaxa.4093.3.6")</f>
        <v>http://dx.doi.org/10.11646/zootaxa.4093.3.6</v>
      </c>
      <c r="BG460" t="s">
        <v>74</v>
      </c>
      <c r="BH460" t="s">
        <v>74</v>
      </c>
      <c r="BI460">
        <v>16</v>
      </c>
      <c r="BJ460" t="s">
        <v>541</v>
      </c>
      <c r="BK460" t="s">
        <v>102</v>
      </c>
      <c r="BL460" t="s">
        <v>541</v>
      </c>
      <c r="BM460" t="s">
        <v>9082</v>
      </c>
      <c r="BN460">
        <v>27394503</v>
      </c>
      <c r="BO460" t="s">
        <v>74</v>
      </c>
      <c r="BP460" t="s">
        <v>74</v>
      </c>
      <c r="BQ460" t="s">
        <v>74</v>
      </c>
      <c r="BR460" t="s">
        <v>106</v>
      </c>
      <c r="BS460" t="s">
        <v>9083</v>
      </c>
      <c r="BT460" t="str">
        <f>HYPERLINK("https%3A%2F%2Fwww.webofscience.com%2Fwos%2Fwoscc%2Ffull-record%2FWOS:000375259000006","View Full Record in Web of Science")</f>
        <v>View Full Record in Web of Science</v>
      </c>
    </row>
    <row r="461" spans="1:72" x14ac:dyDescent="0.15">
      <c r="A461" t="s">
        <v>72</v>
      </c>
      <c r="B461" t="s">
        <v>9084</v>
      </c>
      <c r="C461" t="s">
        <v>74</v>
      </c>
      <c r="D461" t="s">
        <v>74</v>
      </c>
      <c r="E461" t="s">
        <v>74</v>
      </c>
      <c r="F461" t="s">
        <v>9085</v>
      </c>
      <c r="G461" t="s">
        <v>74</v>
      </c>
      <c r="H461" t="s">
        <v>74</v>
      </c>
      <c r="I461" t="s">
        <v>9086</v>
      </c>
      <c r="J461" t="s">
        <v>8875</v>
      </c>
      <c r="K461" t="s">
        <v>74</v>
      </c>
      <c r="L461" t="s">
        <v>74</v>
      </c>
      <c r="M461" t="s">
        <v>78</v>
      </c>
      <c r="N461" t="s">
        <v>79</v>
      </c>
      <c r="O461" t="s">
        <v>74</v>
      </c>
      <c r="P461" t="s">
        <v>74</v>
      </c>
      <c r="Q461" t="s">
        <v>74</v>
      </c>
      <c r="R461" t="s">
        <v>74</v>
      </c>
      <c r="S461" t="s">
        <v>74</v>
      </c>
      <c r="T461" t="s">
        <v>9087</v>
      </c>
      <c r="U461" t="s">
        <v>9088</v>
      </c>
      <c r="V461" t="s">
        <v>9089</v>
      </c>
      <c r="W461" t="s">
        <v>9090</v>
      </c>
      <c r="X461" t="s">
        <v>9091</v>
      </c>
      <c r="Y461" t="s">
        <v>9092</v>
      </c>
      <c r="Z461" t="s">
        <v>9093</v>
      </c>
      <c r="AA461" t="s">
        <v>9094</v>
      </c>
      <c r="AB461" t="s">
        <v>9095</v>
      </c>
      <c r="AC461" t="s">
        <v>9096</v>
      </c>
      <c r="AD461" t="s">
        <v>9097</v>
      </c>
      <c r="AE461" t="s">
        <v>9098</v>
      </c>
      <c r="AF461" t="s">
        <v>74</v>
      </c>
      <c r="AG461">
        <v>102</v>
      </c>
      <c r="AH461">
        <v>41</v>
      </c>
      <c r="AI461">
        <v>44</v>
      </c>
      <c r="AJ461">
        <v>2</v>
      </c>
      <c r="AK461">
        <v>71</v>
      </c>
      <c r="AL461" t="s">
        <v>8888</v>
      </c>
      <c r="AM461" t="s">
        <v>8889</v>
      </c>
      <c r="AN461" t="s">
        <v>8890</v>
      </c>
      <c r="AO461" t="s">
        <v>74</v>
      </c>
      <c r="AP461" t="s">
        <v>8891</v>
      </c>
      <c r="AQ461" t="s">
        <v>74</v>
      </c>
      <c r="AR461" t="s">
        <v>8892</v>
      </c>
      <c r="AS461" t="s">
        <v>8893</v>
      </c>
      <c r="AT461" t="s">
        <v>9080</v>
      </c>
      <c r="AU461">
        <v>2016</v>
      </c>
      <c r="AV461">
        <v>7</v>
      </c>
      <c r="AW461" t="s">
        <v>74</v>
      </c>
      <c r="AX461" t="s">
        <v>74</v>
      </c>
      <c r="AY461" t="s">
        <v>74</v>
      </c>
      <c r="AZ461" t="s">
        <v>74</v>
      </c>
      <c r="BA461" t="s">
        <v>74</v>
      </c>
      <c r="BB461" t="s">
        <v>74</v>
      </c>
      <c r="BC461" t="s">
        <v>74</v>
      </c>
      <c r="BD461">
        <v>284</v>
      </c>
      <c r="BE461" t="s">
        <v>9099</v>
      </c>
      <c r="BF461" t="str">
        <f>HYPERLINK("http://dx.doi.org/10.3389/fmicb.2016.00284","http://dx.doi.org/10.3389/fmicb.2016.00284")</f>
        <v>http://dx.doi.org/10.3389/fmicb.2016.00284</v>
      </c>
      <c r="BG461" t="s">
        <v>74</v>
      </c>
      <c r="BH461" t="s">
        <v>74</v>
      </c>
      <c r="BI461">
        <v>11</v>
      </c>
      <c r="BJ461" t="s">
        <v>2538</v>
      </c>
      <c r="BK461" t="s">
        <v>102</v>
      </c>
      <c r="BL461" t="s">
        <v>2538</v>
      </c>
      <c r="BM461" t="s">
        <v>9100</v>
      </c>
      <c r="BN461">
        <v>27047451</v>
      </c>
      <c r="BO461" t="s">
        <v>1684</v>
      </c>
      <c r="BP461" t="s">
        <v>74</v>
      </c>
      <c r="BQ461" t="s">
        <v>74</v>
      </c>
      <c r="BR461" t="s">
        <v>106</v>
      </c>
      <c r="BS461" t="s">
        <v>9101</v>
      </c>
      <c r="BT461" t="str">
        <f>HYPERLINK("https%3A%2F%2Fwww.webofscience.com%2Fwos%2Fwoscc%2Ffull-record%2FWOS:000372589700001","View Full Record in Web of Science")</f>
        <v>View Full Record in Web of Science</v>
      </c>
    </row>
    <row r="462" spans="1:72" x14ac:dyDescent="0.15">
      <c r="A462" t="s">
        <v>72</v>
      </c>
      <c r="B462" t="s">
        <v>9102</v>
      </c>
      <c r="C462" t="s">
        <v>74</v>
      </c>
      <c r="D462" t="s">
        <v>74</v>
      </c>
      <c r="E462" t="s">
        <v>74</v>
      </c>
      <c r="F462" t="s">
        <v>9103</v>
      </c>
      <c r="G462" t="s">
        <v>74</v>
      </c>
      <c r="H462" t="s">
        <v>74</v>
      </c>
      <c r="I462" t="s">
        <v>9104</v>
      </c>
      <c r="J462" t="s">
        <v>9066</v>
      </c>
      <c r="K462" t="s">
        <v>74</v>
      </c>
      <c r="L462" t="s">
        <v>74</v>
      </c>
      <c r="M462" t="s">
        <v>78</v>
      </c>
      <c r="N462" t="s">
        <v>79</v>
      </c>
      <c r="O462" t="s">
        <v>74</v>
      </c>
      <c r="P462" t="s">
        <v>74</v>
      </c>
      <c r="Q462" t="s">
        <v>74</v>
      </c>
      <c r="R462" t="s">
        <v>74</v>
      </c>
      <c r="S462" t="s">
        <v>74</v>
      </c>
      <c r="T462" t="s">
        <v>9105</v>
      </c>
      <c r="U462" t="s">
        <v>9106</v>
      </c>
      <c r="V462" t="s">
        <v>9107</v>
      </c>
      <c r="W462" t="s">
        <v>9108</v>
      </c>
      <c r="X462" t="s">
        <v>9109</v>
      </c>
      <c r="Y462" t="s">
        <v>9110</v>
      </c>
      <c r="Z462" t="s">
        <v>74</v>
      </c>
      <c r="AA462" t="s">
        <v>9111</v>
      </c>
      <c r="AB462" t="s">
        <v>9112</v>
      </c>
      <c r="AC462" t="s">
        <v>9113</v>
      </c>
      <c r="AD462" t="s">
        <v>9114</v>
      </c>
      <c r="AE462" t="s">
        <v>9115</v>
      </c>
      <c r="AF462" t="s">
        <v>74</v>
      </c>
      <c r="AG462">
        <v>77</v>
      </c>
      <c r="AH462">
        <v>15</v>
      </c>
      <c r="AI462">
        <v>17</v>
      </c>
      <c r="AJ462">
        <v>0</v>
      </c>
      <c r="AK462">
        <v>21</v>
      </c>
      <c r="AL462" t="s">
        <v>1630</v>
      </c>
      <c r="AM462" t="s">
        <v>1631</v>
      </c>
      <c r="AN462" t="s">
        <v>9116</v>
      </c>
      <c r="AO462" t="s">
        <v>9077</v>
      </c>
      <c r="AP462" t="s">
        <v>9078</v>
      </c>
      <c r="AQ462" t="s">
        <v>74</v>
      </c>
      <c r="AR462" t="s">
        <v>9066</v>
      </c>
      <c r="AS462" t="s">
        <v>9079</v>
      </c>
      <c r="AT462" t="s">
        <v>9117</v>
      </c>
      <c r="AU462">
        <v>2016</v>
      </c>
      <c r="AV462">
        <v>4093</v>
      </c>
      <c r="AW462">
        <v>2</v>
      </c>
      <c r="AX462" t="s">
        <v>74</v>
      </c>
      <c r="AY462" t="s">
        <v>74</v>
      </c>
      <c r="AZ462" t="s">
        <v>74</v>
      </c>
      <c r="BA462" t="s">
        <v>74</v>
      </c>
      <c r="BB462">
        <v>151</v>
      </c>
      <c r="BC462">
        <v>180</v>
      </c>
      <c r="BD462" t="s">
        <v>74</v>
      </c>
      <c r="BE462" t="s">
        <v>9118</v>
      </c>
      <c r="BF462" t="str">
        <f>HYPERLINK("http://dx.doi.org/10.11646/zootaxa.4093.2.1","http://dx.doi.org/10.11646/zootaxa.4093.2.1")</f>
        <v>http://dx.doi.org/10.11646/zootaxa.4093.2.1</v>
      </c>
      <c r="BG462" t="s">
        <v>74</v>
      </c>
      <c r="BH462" t="s">
        <v>74</v>
      </c>
      <c r="BI462">
        <v>30</v>
      </c>
      <c r="BJ462" t="s">
        <v>541</v>
      </c>
      <c r="BK462" t="s">
        <v>102</v>
      </c>
      <c r="BL462" t="s">
        <v>541</v>
      </c>
      <c r="BM462" t="s">
        <v>9119</v>
      </c>
      <c r="BN462">
        <v>27394488</v>
      </c>
      <c r="BO462" t="s">
        <v>1412</v>
      </c>
      <c r="BP462" t="s">
        <v>74</v>
      </c>
      <c r="BQ462" t="s">
        <v>74</v>
      </c>
      <c r="BR462" t="s">
        <v>106</v>
      </c>
      <c r="BS462" t="s">
        <v>9120</v>
      </c>
      <c r="BT462" t="str">
        <f>HYPERLINK("https%3A%2F%2Fwww.webofscience.com%2Fwos%2Fwoscc%2Ffull-record%2FWOS:000375258700001","View Full Record in Web of Science")</f>
        <v>View Full Record in Web of Science</v>
      </c>
    </row>
    <row r="463" spans="1:72" x14ac:dyDescent="0.15">
      <c r="A463" t="s">
        <v>72</v>
      </c>
      <c r="B463" t="s">
        <v>9121</v>
      </c>
      <c r="C463" t="s">
        <v>74</v>
      </c>
      <c r="D463" t="s">
        <v>74</v>
      </c>
      <c r="E463" t="s">
        <v>74</v>
      </c>
      <c r="F463" t="s">
        <v>9122</v>
      </c>
      <c r="G463" t="s">
        <v>74</v>
      </c>
      <c r="H463" t="s">
        <v>74</v>
      </c>
      <c r="I463" t="s">
        <v>9123</v>
      </c>
      <c r="J463" t="s">
        <v>1350</v>
      </c>
      <c r="K463" t="s">
        <v>74</v>
      </c>
      <c r="L463" t="s">
        <v>74</v>
      </c>
      <c r="M463" t="s">
        <v>78</v>
      </c>
      <c r="N463" t="s">
        <v>79</v>
      </c>
      <c r="O463" t="s">
        <v>74</v>
      </c>
      <c r="P463" t="s">
        <v>74</v>
      </c>
      <c r="Q463" t="s">
        <v>74</v>
      </c>
      <c r="R463" t="s">
        <v>74</v>
      </c>
      <c r="S463" t="s">
        <v>74</v>
      </c>
      <c r="T463" t="s">
        <v>74</v>
      </c>
      <c r="U463" t="s">
        <v>9124</v>
      </c>
      <c r="V463" t="s">
        <v>9125</v>
      </c>
      <c r="W463" t="s">
        <v>9126</v>
      </c>
      <c r="X463" t="s">
        <v>9127</v>
      </c>
      <c r="Y463" t="s">
        <v>9128</v>
      </c>
      <c r="Z463" t="s">
        <v>9129</v>
      </c>
      <c r="AA463" t="s">
        <v>9130</v>
      </c>
      <c r="AB463" t="s">
        <v>9131</v>
      </c>
      <c r="AC463" t="s">
        <v>9132</v>
      </c>
      <c r="AD463" t="s">
        <v>9133</v>
      </c>
      <c r="AE463" t="s">
        <v>9134</v>
      </c>
      <c r="AF463" t="s">
        <v>74</v>
      </c>
      <c r="AG463">
        <v>60</v>
      </c>
      <c r="AH463">
        <v>31</v>
      </c>
      <c r="AI463">
        <v>35</v>
      </c>
      <c r="AJ463">
        <v>1</v>
      </c>
      <c r="AK463">
        <v>30</v>
      </c>
      <c r="AL463" t="s">
        <v>746</v>
      </c>
      <c r="AM463" t="s">
        <v>747</v>
      </c>
      <c r="AN463" t="s">
        <v>748</v>
      </c>
      <c r="AO463" t="s">
        <v>1362</v>
      </c>
      <c r="AP463" t="s">
        <v>74</v>
      </c>
      <c r="AQ463" t="s">
        <v>74</v>
      </c>
      <c r="AR463" t="s">
        <v>1363</v>
      </c>
      <c r="AS463" t="s">
        <v>1364</v>
      </c>
      <c r="AT463" t="s">
        <v>9117</v>
      </c>
      <c r="AU463">
        <v>2016</v>
      </c>
      <c r="AV463">
        <v>6</v>
      </c>
      <c r="AW463" t="s">
        <v>74</v>
      </c>
      <c r="AX463" t="s">
        <v>74</v>
      </c>
      <c r="AY463" t="s">
        <v>74</v>
      </c>
      <c r="AZ463" t="s">
        <v>74</v>
      </c>
      <c r="BA463" t="s">
        <v>74</v>
      </c>
      <c r="BB463" t="s">
        <v>74</v>
      </c>
      <c r="BC463" t="s">
        <v>74</v>
      </c>
      <c r="BD463">
        <v>23447</v>
      </c>
      <c r="BE463" t="s">
        <v>9135</v>
      </c>
      <c r="BF463" t="str">
        <f>HYPERLINK("http://dx.doi.org/10.1038/srep23447","http://dx.doi.org/10.1038/srep23447")</f>
        <v>http://dx.doi.org/10.1038/srep23447</v>
      </c>
      <c r="BG463" t="s">
        <v>74</v>
      </c>
      <c r="BH463" t="s">
        <v>74</v>
      </c>
      <c r="BI463">
        <v>11</v>
      </c>
      <c r="BJ463" t="s">
        <v>753</v>
      </c>
      <c r="BK463" t="s">
        <v>102</v>
      </c>
      <c r="BL463" t="s">
        <v>754</v>
      </c>
      <c r="BM463" t="s">
        <v>9136</v>
      </c>
      <c r="BN463">
        <v>27001141</v>
      </c>
      <c r="BO463" t="s">
        <v>756</v>
      </c>
      <c r="BP463" t="s">
        <v>74</v>
      </c>
      <c r="BQ463" t="s">
        <v>74</v>
      </c>
      <c r="BR463" t="s">
        <v>106</v>
      </c>
      <c r="BS463" t="s">
        <v>9137</v>
      </c>
      <c r="BT463" t="str">
        <f>HYPERLINK("https%3A%2F%2Fwww.webofscience.com%2Fwos%2Fwoscc%2Ffull-record%2FWOS:000372532400001","View Full Record in Web of Science")</f>
        <v>View Full Record in Web of Science</v>
      </c>
    </row>
    <row r="464" spans="1:72" x14ac:dyDescent="0.15">
      <c r="A464" t="s">
        <v>72</v>
      </c>
      <c r="B464" t="s">
        <v>9138</v>
      </c>
      <c r="C464" t="s">
        <v>74</v>
      </c>
      <c r="D464" t="s">
        <v>74</v>
      </c>
      <c r="E464" t="s">
        <v>74</v>
      </c>
      <c r="F464" t="s">
        <v>9139</v>
      </c>
      <c r="G464" t="s">
        <v>74</v>
      </c>
      <c r="H464" t="s">
        <v>74</v>
      </c>
      <c r="I464" t="s">
        <v>9140</v>
      </c>
      <c r="J464" t="s">
        <v>1387</v>
      </c>
      <c r="K464" t="s">
        <v>74</v>
      </c>
      <c r="L464" t="s">
        <v>74</v>
      </c>
      <c r="M464" t="s">
        <v>78</v>
      </c>
      <c r="N464" t="s">
        <v>79</v>
      </c>
      <c r="O464" t="s">
        <v>74</v>
      </c>
      <c r="P464" t="s">
        <v>74</v>
      </c>
      <c r="Q464" t="s">
        <v>74</v>
      </c>
      <c r="R464" t="s">
        <v>74</v>
      </c>
      <c r="S464" t="s">
        <v>74</v>
      </c>
      <c r="T464" t="s">
        <v>9141</v>
      </c>
      <c r="U464" t="s">
        <v>9142</v>
      </c>
      <c r="V464" t="s">
        <v>9143</v>
      </c>
      <c r="W464" t="s">
        <v>9144</v>
      </c>
      <c r="X464" t="s">
        <v>9145</v>
      </c>
      <c r="Y464" t="s">
        <v>9146</v>
      </c>
      <c r="Z464" t="s">
        <v>9147</v>
      </c>
      <c r="AA464" t="s">
        <v>9148</v>
      </c>
      <c r="AB464" t="s">
        <v>9149</v>
      </c>
      <c r="AC464" t="s">
        <v>9150</v>
      </c>
      <c r="AD464" t="s">
        <v>9151</v>
      </c>
      <c r="AE464" t="s">
        <v>9152</v>
      </c>
      <c r="AF464" t="s">
        <v>74</v>
      </c>
      <c r="AG464">
        <v>19</v>
      </c>
      <c r="AH464">
        <v>16</v>
      </c>
      <c r="AI464">
        <v>17</v>
      </c>
      <c r="AJ464">
        <v>0</v>
      </c>
      <c r="AK464">
        <v>20</v>
      </c>
      <c r="AL464" t="s">
        <v>1400</v>
      </c>
      <c r="AM464" t="s">
        <v>1401</v>
      </c>
      <c r="AN464" t="s">
        <v>1402</v>
      </c>
      <c r="AO464" t="s">
        <v>1403</v>
      </c>
      <c r="AP464" t="s">
        <v>1404</v>
      </c>
      <c r="AQ464" t="s">
        <v>74</v>
      </c>
      <c r="AR464" t="s">
        <v>1405</v>
      </c>
      <c r="AS464" t="s">
        <v>1406</v>
      </c>
      <c r="AT464" t="s">
        <v>9153</v>
      </c>
      <c r="AU464">
        <v>2016</v>
      </c>
      <c r="AV464">
        <v>546</v>
      </c>
      <c r="AW464" t="s">
        <v>74</v>
      </c>
      <c r="AX464" t="s">
        <v>74</v>
      </c>
      <c r="AY464" t="s">
        <v>74</v>
      </c>
      <c r="AZ464" t="s">
        <v>74</v>
      </c>
      <c r="BA464" t="s">
        <v>74</v>
      </c>
      <c r="BB464">
        <v>271</v>
      </c>
      <c r="BC464">
        <v>276</v>
      </c>
      <c r="BD464" t="s">
        <v>74</v>
      </c>
      <c r="BE464" t="s">
        <v>9154</v>
      </c>
      <c r="BF464" t="str">
        <f>HYPERLINK("http://dx.doi.org/10.3354/meps11675","http://dx.doi.org/10.3354/meps11675")</f>
        <v>http://dx.doi.org/10.3354/meps11675</v>
      </c>
      <c r="BG464" t="s">
        <v>74</v>
      </c>
      <c r="BH464" t="s">
        <v>74</v>
      </c>
      <c r="BI464">
        <v>6</v>
      </c>
      <c r="BJ464" t="s">
        <v>1409</v>
      </c>
      <c r="BK464" t="s">
        <v>102</v>
      </c>
      <c r="BL464" t="s">
        <v>1410</v>
      </c>
      <c r="BM464" t="s">
        <v>9155</v>
      </c>
      <c r="BN464" t="s">
        <v>74</v>
      </c>
      <c r="BO464" t="s">
        <v>9156</v>
      </c>
      <c r="BP464" t="s">
        <v>74</v>
      </c>
      <c r="BQ464" t="s">
        <v>74</v>
      </c>
      <c r="BR464" t="s">
        <v>106</v>
      </c>
      <c r="BS464" t="s">
        <v>9157</v>
      </c>
      <c r="BT464" t="str">
        <f>HYPERLINK("https%3A%2F%2Fwww.webofscience.com%2Fwos%2Fwoscc%2Ffull-record%2FWOS:000374240800022","View Full Record in Web of Science")</f>
        <v>View Full Record in Web of Science</v>
      </c>
    </row>
    <row r="465" spans="1:72" x14ac:dyDescent="0.15">
      <c r="A465" t="s">
        <v>72</v>
      </c>
      <c r="B465" t="s">
        <v>9158</v>
      </c>
      <c r="C465" t="s">
        <v>74</v>
      </c>
      <c r="D465" t="s">
        <v>74</v>
      </c>
      <c r="E465" t="s">
        <v>74</v>
      </c>
      <c r="F465" t="s">
        <v>9159</v>
      </c>
      <c r="G465" t="s">
        <v>74</v>
      </c>
      <c r="H465" t="s">
        <v>74</v>
      </c>
      <c r="I465" t="s">
        <v>9160</v>
      </c>
      <c r="J465" t="s">
        <v>1387</v>
      </c>
      <c r="K465" t="s">
        <v>74</v>
      </c>
      <c r="L465" t="s">
        <v>74</v>
      </c>
      <c r="M465" t="s">
        <v>78</v>
      </c>
      <c r="N465" t="s">
        <v>79</v>
      </c>
      <c r="O465" t="s">
        <v>74</v>
      </c>
      <c r="P465" t="s">
        <v>74</v>
      </c>
      <c r="Q465" t="s">
        <v>74</v>
      </c>
      <c r="R465" t="s">
        <v>74</v>
      </c>
      <c r="S465" t="s">
        <v>74</v>
      </c>
      <c r="T465" t="s">
        <v>9161</v>
      </c>
      <c r="U465" t="s">
        <v>9162</v>
      </c>
      <c r="V465" t="s">
        <v>9163</v>
      </c>
      <c r="W465" t="s">
        <v>9164</v>
      </c>
      <c r="X465" t="s">
        <v>9165</v>
      </c>
      <c r="Y465" t="s">
        <v>9166</v>
      </c>
      <c r="Z465" t="s">
        <v>9167</v>
      </c>
      <c r="AA465" t="s">
        <v>9168</v>
      </c>
      <c r="AB465" t="s">
        <v>9169</v>
      </c>
      <c r="AC465" t="s">
        <v>9170</v>
      </c>
      <c r="AD465" t="s">
        <v>9171</v>
      </c>
      <c r="AE465" t="s">
        <v>9172</v>
      </c>
      <c r="AF465" t="s">
        <v>74</v>
      </c>
      <c r="AG465">
        <v>29</v>
      </c>
      <c r="AH465">
        <v>9</v>
      </c>
      <c r="AI465">
        <v>10</v>
      </c>
      <c r="AJ465">
        <v>1</v>
      </c>
      <c r="AK465">
        <v>28</v>
      </c>
      <c r="AL465" t="s">
        <v>1400</v>
      </c>
      <c r="AM465" t="s">
        <v>1401</v>
      </c>
      <c r="AN465" t="s">
        <v>1402</v>
      </c>
      <c r="AO465" t="s">
        <v>1403</v>
      </c>
      <c r="AP465" t="s">
        <v>1404</v>
      </c>
      <c r="AQ465" t="s">
        <v>74</v>
      </c>
      <c r="AR465" t="s">
        <v>1405</v>
      </c>
      <c r="AS465" t="s">
        <v>1406</v>
      </c>
      <c r="AT465" t="s">
        <v>9153</v>
      </c>
      <c r="AU465">
        <v>2016</v>
      </c>
      <c r="AV465">
        <v>546</v>
      </c>
      <c r="AW465" t="s">
        <v>74</v>
      </c>
      <c r="AX465" t="s">
        <v>74</v>
      </c>
      <c r="AY465" t="s">
        <v>74</v>
      </c>
      <c r="AZ465" t="s">
        <v>74</v>
      </c>
      <c r="BA465" t="s">
        <v>74</v>
      </c>
      <c r="BB465">
        <v>263</v>
      </c>
      <c r="BC465">
        <v>269</v>
      </c>
      <c r="BD465" t="s">
        <v>74</v>
      </c>
      <c r="BE465" t="s">
        <v>9173</v>
      </c>
      <c r="BF465" t="str">
        <f>HYPERLINK("http://dx.doi.org/10.3354/meps11669","http://dx.doi.org/10.3354/meps11669")</f>
        <v>http://dx.doi.org/10.3354/meps11669</v>
      </c>
      <c r="BG465" t="s">
        <v>74</v>
      </c>
      <c r="BH465" t="s">
        <v>74</v>
      </c>
      <c r="BI465">
        <v>7</v>
      </c>
      <c r="BJ465" t="s">
        <v>1409</v>
      </c>
      <c r="BK465" t="s">
        <v>102</v>
      </c>
      <c r="BL465" t="s">
        <v>1410</v>
      </c>
      <c r="BM465" t="s">
        <v>9155</v>
      </c>
      <c r="BN465" t="s">
        <v>74</v>
      </c>
      <c r="BO465" t="s">
        <v>74</v>
      </c>
      <c r="BP465" t="s">
        <v>74</v>
      </c>
      <c r="BQ465" t="s">
        <v>74</v>
      </c>
      <c r="BR465" t="s">
        <v>106</v>
      </c>
      <c r="BS465" t="s">
        <v>9174</v>
      </c>
      <c r="BT465" t="str">
        <f>HYPERLINK("https%3A%2F%2Fwww.webofscience.com%2Fwos%2Fwoscc%2Ffull-record%2FWOS:000374240800021","View Full Record in Web of Science")</f>
        <v>View Full Record in Web of Science</v>
      </c>
    </row>
    <row r="466" spans="1:72" x14ac:dyDescent="0.15">
      <c r="A466" t="s">
        <v>72</v>
      </c>
      <c r="B466" t="s">
        <v>9175</v>
      </c>
      <c r="C466" t="s">
        <v>74</v>
      </c>
      <c r="D466" t="s">
        <v>74</v>
      </c>
      <c r="E466" t="s">
        <v>74</v>
      </c>
      <c r="F466" t="s">
        <v>9176</v>
      </c>
      <c r="G466" t="s">
        <v>74</v>
      </c>
      <c r="H466" t="s">
        <v>74</v>
      </c>
      <c r="I466" t="s">
        <v>9177</v>
      </c>
      <c r="J466" t="s">
        <v>1467</v>
      </c>
      <c r="K466" t="s">
        <v>74</v>
      </c>
      <c r="L466" t="s">
        <v>74</v>
      </c>
      <c r="M466" t="s">
        <v>78</v>
      </c>
      <c r="N466" t="s">
        <v>79</v>
      </c>
      <c r="O466" t="s">
        <v>74</v>
      </c>
      <c r="P466" t="s">
        <v>74</v>
      </c>
      <c r="Q466" t="s">
        <v>74</v>
      </c>
      <c r="R466" t="s">
        <v>74</v>
      </c>
      <c r="S466" t="s">
        <v>74</v>
      </c>
      <c r="T466" t="s">
        <v>9178</v>
      </c>
      <c r="U466" t="s">
        <v>9179</v>
      </c>
      <c r="V466" t="s">
        <v>9180</v>
      </c>
      <c r="W466" t="s">
        <v>9181</v>
      </c>
      <c r="X466" t="s">
        <v>9182</v>
      </c>
      <c r="Y466" t="s">
        <v>9183</v>
      </c>
      <c r="Z466" t="s">
        <v>9184</v>
      </c>
      <c r="AA466" t="s">
        <v>9185</v>
      </c>
      <c r="AB466" t="s">
        <v>9186</v>
      </c>
      <c r="AC466" t="s">
        <v>9187</v>
      </c>
      <c r="AD466" t="s">
        <v>9188</v>
      </c>
      <c r="AE466" t="s">
        <v>9189</v>
      </c>
      <c r="AF466" t="s">
        <v>74</v>
      </c>
      <c r="AG466">
        <v>12</v>
      </c>
      <c r="AH466">
        <v>11</v>
      </c>
      <c r="AI466">
        <v>12</v>
      </c>
      <c r="AJ466">
        <v>4</v>
      </c>
      <c r="AK466">
        <v>26</v>
      </c>
      <c r="AL466" t="s">
        <v>582</v>
      </c>
      <c r="AM466" t="s">
        <v>583</v>
      </c>
      <c r="AN466" t="s">
        <v>584</v>
      </c>
      <c r="AO466" t="s">
        <v>1478</v>
      </c>
      <c r="AP466" t="s">
        <v>1479</v>
      </c>
      <c r="AQ466" t="s">
        <v>74</v>
      </c>
      <c r="AR466" t="s">
        <v>1480</v>
      </c>
      <c r="AS466" t="s">
        <v>1481</v>
      </c>
      <c r="AT466" t="s">
        <v>9190</v>
      </c>
      <c r="AU466">
        <v>2016</v>
      </c>
      <c r="AV466">
        <v>222</v>
      </c>
      <c r="AW466" t="s">
        <v>74</v>
      </c>
      <c r="AX466" t="s">
        <v>74</v>
      </c>
      <c r="AY466" t="s">
        <v>74</v>
      </c>
      <c r="AZ466" t="s">
        <v>74</v>
      </c>
      <c r="BA466" t="s">
        <v>74</v>
      </c>
      <c r="BB466">
        <v>84</v>
      </c>
      <c r="BC466">
        <v>85</v>
      </c>
      <c r="BD466" t="s">
        <v>74</v>
      </c>
      <c r="BE466" t="s">
        <v>9191</v>
      </c>
      <c r="BF466" t="str">
        <f>HYPERLINK("http://dx.doi.org/10.1016/j.jbiotec.2016.02.017","http://dx.doi.org/10.1016/j.jbiotec.2016.02.017")</f>
        <v>http://dx.doi.org/10.1016/j.jbiotec.2016.02.017</v>
      </c>
      <c r="BG466" t="s">
        <v>74</v>
      </c>
      <c r="BH466" t="s">
        <v>74</v>
      </c>
      <c r="BI466">
        <v>2</v>
      </c>
      <c r="BJ466" t="s">
        <v>1484</v>
      </c>
      <c r="BK466" t="s">
        <v>102</v>
      </c>
      <c r="BL466" t="s">
        <v>1484</v>
      </c>
      <c r="BM466" t="s">
        <v>9192</v>
      </c>
      <c r="BN466">
        <v>26876481</v>
      </c>
      <c r="BO466" t="s">
        <v>380</v>
      </c>
      <c r="BP466" t="s">
        <v>74</v>
      </c>
      <c r="BQ466" t="s">
        <v>74</v>
      </c>
      <c r="BR466" t="s">
        <v>106</v>
      </c>
      <c r="BS466" t="s">
        <v>9193</v>
      </c>
      <c r="BT466" t="str">
        <f>HYPERLINK("https%3A%2F%2Fwww.webofscience.com%2Fwos%2Fwoscc%2Ffull-record%2FWOS:000371459600017","View Full Record in Web of Science")</f>
        <v>View Full Record in Web of Science</v>
      </c>
    </row>
    <row r="467" spans="1:72" x14ac:dyDescent="0.15">
      <c r="A467" t="s">
        <v>72</v>
      </c>
      <c r="B467" t="s">
        <v>9194</v>
      </c>
      <c r="C467" t="s">
        <v>74</v>
      </c>
      <c r="D467" t="s">
        <v>74</v>
      </c>
      <c r="E467" t="s">
        <v>74</v>
      </c>
      <c r="F467" t="s">
        <v>9195</v>
      </c>
      <c r="G467" t="s">
        <v>74</v>
      </c>
      <c r="H467" t="s">
        <v>74</v>
      </c>
      <c r="I467" t="s">
        <v>9196</v>
      </c>
      <c r="J467" t="s">
        <v>9066</v>
      </c>
      <c r="K467" t="s">
        <v>74</v>
      </c>
      <c r="L467" t="s">
        <v>74</v>
      </c>
      <c r="M467" t="s">
        <v>78</v>
      </c>
      <c r="N467" t="s">
        <v>79</v>
      </c>
      <c r="O467" t="s">
        <v>74</v>
      </c>
      <c r="P467" t="s">
        <v>74</v>
      </c>
      <c r="Q467" t="s">
        <v>74</v>
      </c>
      <c r="R467" t="s">
        <v>74</v>
      </c>
      <c r="S467" t="s">
        <v>74</v>
      </c>
      <c r="T467" t="s">
        <v>9197</v>
      </c>
      <c r="U467" t="s">
        <v>9198</v>
      </c>
      <c r="V467" t="s">
        <v>9199</v>
      </c>
      <c r="W467" t="s">
        <v>9200</v>
      </c>
      <c r="X467" t="s">
        <v>9201</v>
      </c>
      <c r="Y467" t="s">
        <v>9202</v>
      </c>
      <c r="Z467" t="s">
        <v>9203</v>
      </c>
      <c r="AA467" t="s">
        <v>74</v>
      </c>
      <c r="AB467" t="s">
        <v>74</v>
      </c>
      <c r="AC467" t="s">
        <v>9204</v>
      </c>
      <c r="AD467" t="s">
        <v>9205</v>
      </c>
      <c r="AE467" t="s">
        <v>9206</v>
      </c>
      <c r="AF467" t="s">
        <v>74</v>
      </c>
      <c r="AG467">
        <v>46</v>
      </c>
      <c r="AH467">
        <v>5</v>
      </c>
      <c r="AI467">
        <v>7</v>
      </c>
      <c r="AJ467">
        <v>0</v>
      </c>
      <c r="AK467">
        <v>2</v>
      </c>
      <c r="AL467" t="s">
        <v>1630</v>
      </c>
      <c r="AM467" t="s">
        <v>1631</v>
      </c>
      <c r="AN467" t="s">
        <v>1632</v>
      </c>
      <c r="AO467" t="s">
        <v>9077</v>
      </c>
      <c r="AP467" t="s">
        <v>9078</v>
      </c>
      <c r="AQ467" t="s">
        <v>74</v>
      </c>
      <c r="AR467" t="s">
        <v>9066</v>
      </c>
      <c r="AS467" t="s">
        <v>9079</v>
      </c>
      <c r="AT467" t="s">
        <v>9207</v>
      </c>
      <c r="AU467">
        <v>2016</v>
      </c>
      <c r="AV467">
        <v>4092</v>
      </c>
      <c r="AW467">
        <v>4</v>
      </c>
      <c r="AX467" t="s">
        <v>74</v>
      </c>
      <c r="AY467" t="s">
        <v>74</v>
      </c>
      <c r="AZ467" t="s">
        <v>74</v>
      </c>
      <c r="BA467" t="s">
        <v>74</v>
      </c>
      <c r="BB467">
        <v>451</v>
      </c>
      <c r="BC467">
        <v>488</v>
      </c>
      <c r="BD467" t="s">
        <v>74</v>
      </c>
      <c r="BE467" t="s">
        <v>74</v>
      </c>
      <c r="BF467" t="s">
        <v>74</v>
      </c>
      <c r="BG467" t="s">
        <v>74</v>
      </c>
      <c r="BH467" t="s">
        <v>74</v>
      </c>
      <c r="BI467">
        <v>38</v>
      </c>
      <c r="BJ467" t="s">
        <v>541</v>
      </c>
      <c r="BK467" t="s">
        <v>102</v>
      </c>
      <c r="BL467" t="s">
        <v>541</v>
      </c>
      <c r="BM467" t="s">
        <v>9208</v>
      </c>
      <c r="BN467">
        <v>27394469</v>
      </c>
      <c r="BO467" t="s">
        <v>74</v>
      </c>
      <c r="BP467" t="s">
        <v>74</v>
      </c>
      <c r="BQ467" t="s">
        <v>74</v>
      </c>
      <c r="BR467" t="s">
        <v>106</v>
      </c>
      <c r="BS467" t="s">
        <v>9209</v>
      </c>
      <c r="BT467" t="str">
        <f>HYPERLINK("https%3A%2F%2Fwww.webofscience.com%2Fwos%2Fwoscc%2Ffull-record%2FWOS:000375257700001","View Full Record in Web of Science")</f>
        <v>View Full Record in Web of Science</v>
      </c>
    </row>
    <row r="468" spans="1:72" x14ac:dyDescent="0.15">
      <c r="A468" t="s">
        <v>72</v>
      </c>
      <c r="B468" t="s">
        <v>9210</v>
      </c>
      <c r="C468" t="s">
        <v>74</v>
      </c>
      <c r="D468" t="s">
        <v>74</v>
      </c>
      <c r="E468" t="s">
        <v>74</v>
      </c>
      <c r="F468" t="s">
        <v>9211</v>
      </c>
      <c r="G468" t="s">
        <v>74</v>
      </c>
      <c r="H468" t="s">
        <v>74</v>
      </c>
      <c r="I468" t="s">
        <v>9212</v>
      </c>
      <c r="J468" t="s">
        <v>9213</v>
      </c>
      <c r="K468" t="s">
        <v>74</v>
      </c>
      <c r="L468" t="s">
        <v>74</v>
      </c>
      <c r="M468" t="s">
        <v>78</v>
      </c>
      <c r="N468" t="s">
        <v>79</v>
      </c>
      <c r="O468" t="s">
        <v>74</v>
      </c>
      <c r="P468" t="s">
        <v>74</v>
      </c>
      <c r="Q468" t="s">
        <v>74</v>
      </c>
      <c r="R468" t="s">
        <v>74</v>
      </c>
      <c r="S468" t="s">
        <v>74</v>
      </c>
      <c r="T468" t="s">
        <v>9214</v>
      </c>
      <c r="U468" t="s">
        <v>9215</v>
      </c>
      <c r="V468" t="s">
        <v>9216</v>
      </c>
      <c r="W468" t="s">
        <v>9217</v>
      </c>
      <c r="X468" t="s">
        <v>9218</v>
      </c>
      <c r="Y468" t="s">
        <v>9219</v>
      </c>
      <c r="Z468" t="s">
        <v>9220</v>
      </c>
      <c r="AA468" t="s">
        <v>74</v>
      </c>
      <c r="AB468" t="s">
        <v>9221</v>
      </c>
      <c r="AC468" t="s">
        <v>9222</v>
      </c>
      <c r="AD468" t="s">
        <v>9223</v>
      </c>
      <c r="AE468" t="s">
        <v>9224</v>
      </c>
      <c r="AF468" t="s">
        <v>74</v>
      </c>
      <c r="AG468">
        <v>62</v>
      </c>
      <c r="AH468">
        <v>22</v>
      </c>
      <c r="AI468">
        <v>26</v>
      </c>
      <c r="AJ468">
        <v>0</v>
      </c>
      <c r="AK468">
        <v>23</v>
      </c>
      <c r="AL468" t="s">
        <v>1829</v>
      </c>
      <c r="AM468" t="s">
        <v>679</v>
      </c>
      <c r="AN468" t="s">
        <v>1830</v>
      </c>
      <c r="AO468" t="s">
        <v>9225</v>
      </c>
      <c r="AP468" t="s">
        <v>9226</v>
      </c>
      <c r="AQ468" t="s">
        <v>74</v>
      </c>
      <c r="AR468" t="s">
        <v>9227</v>
      </c>
      <c r="AS468" t="s">
        <v>9228</v>
      </c>
      <c r="AT468" t="s">
        <v>9207</v>
      </c>
      <c r="AU468">
        <v>2016</v>
      </c>
      <c r="AV468">
        <v>397</v>
      </c>
      <c r="AW468" t="s">
        <v>74</v>
      </c>
      <c r="AX468" t="s">
        <v>74</v>
      </c>
      <c r="AY468" t="s">
        <v>74</v>
      </c>
      <c r="AZ468" t="s">
        <v>74</v>
      </c>
      <c r="BA468" t="s">
        <v>74</v>
      </c>
      <c r="BB468">
        <v>342</v>
      </c>
      <c r="BC468">
        <v>348</v>
      </c>
      <c r="BD468" t="s">
        <v>74</v>
      </c>
      <c r="BE468" t="s">
        <v>9229</v>
      </c>
      <c r="BF468" t="str">
        <f>HYPERLINK("http://dx.doi.org/10.1016/j.quaint.2015.03.030","http://dx.doi.org/10.1016/j.quaint.2015.03.030")</f>
        <v>http://dx.doi.org/10.1016/j.quaint.2015.03.030</v>
      </c>
      <c r="BG468" t="s">
        <v>74</v>
      </c>
      <c r="BH468" t="s">
        <v>74</v>
      </c>
      <c r="BI468">
        <v>7</v>
      </c>
      <c r="BJ468" t="s">
        <v>1904</v>
      </c>
      <c r="BK468" t="s">
        <v>102</v>
      </c>
      <c r="BL468" t="s">
        <v>1905</v>
      </c>
      <c r="BM468" t="s">
        <v>9230</v>
      </c>
      <c r="BN468" t="s">
        <v>74</v>
      </c>
      <c r="BO468" t="s">
        <v>74</v>
      </c>
      <c r="BP468" t="s">
        <v>74</v>
      </c>
      <c r="BQ468" t="s">
        <v>74</v>
      </c>
      <c r="BR468" t="s">
        <v>106</v>
      </c>
      <c r="BS468" t="s">
        <v>9231</v>
      </c>
      <c r="BT468" t="str">
        <f>HYPERLINK("https%3A%2F%2Fwww.webofscience.com%2Fwos%2Fwoscc%2Ffull-record%2FWOS:000372959900029","View Full Record in Web of Science")</f>
        <v>View Full Record in Web of Science</v>
      </c>
    </row>
    <row r="469" spans="1:72" x14ac:dyDescent="0.15">
      <c r="A469" t="s">
        <v>72</v>
      </c>
      <c r="B469" t="s">
        <v>9232</v>
      </c>
      <c r="C469" t="s">
        <v>74</v>
      </c>
      <c r="D469" t="s">
        <v>74</v>
      </c>
      <c r="E469" t="s">
        <v>74</v>
      </c>
      <c r="F469" t="s">
        <v>9233</v>
      </c>
      <c r="G469" t="s">
        <v>74</v>
      </c>
      <c r="H469" t="s">
        <v>74</v>
      </c>
      <c r="I469" t="s">
        <v>9234</v>
      </c>
      <c r="J469" t="s">
        <v>8875</v>
      </c>
      <c r="K469" t="s">
        <v>74</v>
      </c>
      <c r="L469" t="s">
        <v>74</v>
      </c>
      <c r="M469" t="s">
        <v>78</v>
      </c>
      <c r="N469" t="s">
        <v>79</v>
      </c>
      <c r="O469" t="s">
        <v>74</v>
      </c>
      <c r="P469" t="s">
        <v>74</v>
      </c>
      <c r="Q469" t="s">
        <v>74</v>
      </c>
      <c r="R469" t="s">
        <v>74</v>
      </c>
      <c r="S469" t="s">
        <v>74</v>
      </c>
      <c r="T469" t="s">
        <v>9235</v>
      </c>
      <c r="U469" t="s">
        <v>9236</v>
      </c>
      <c r="V469" t="s">
        <v>9237</v>
      </c>
      <c r="W469" t="s">
        <v>9238</v>
      </c>
      <c r="X469" t="s">
        <v>9239</v>
      </c>
      <c r="Y469" t="s">
        <v>9240</v>
      </c>
      <c r="Z469" t="s">
        <v>9241</v>
      </c>
      <c r="AA469" t="s">
        <v>9242</v>
      </c>
      <c r="AB469" t="s">
        <v>9243</v>
      </c>
      <c r="AC469" t="s">
        <v>9244</v>
      </c>
      <c r="AD469" t="s">
        <v>9245</v>
      </c>
      <c r="AE469" t="s">
        <v>9246</v>
      </c>
      <c r="AF469" t="s">
        <v>74</v>
      </c>
      <c r="AG469">
        <v>47</v>
      </c>
      <c r="AH469">
        <v>2</v>
      </c>
      <c r="AI469">
        <v>2</v>
      </c>
      <c r="AJ469">
        <v>1</v>
      </c>
      <c r="AK469">
        <v>29</v>
      </c>
      <c r="AL469" t="s">
        <v>8888</v>
      </c>
      <c r="AM469" t="s">
        <v>8889</v>
      </c>
      <c r="AN469" t="s">
        <v>8890</v>
      </c>
      <c r="AO469" t="s">
        <v>74</v>
      </c>
      <c r="AP469" t="s">
        <v>8891</v>
      </c>
      <c r="AQ469" t="s">
        <v>74</v>
      </c>
      <c r="AR469" t="s">
        <v>8892</v>
      </c>
      <c r="AS469" t="s">
        <v>8893</v>
      </c>
      <c r="AT469" t="s">
        <v>9207</v>
      </c>
      <c r="AU469">
        <v>2016</v>
      </c>
      <c r="AV469">
        <v>7</v>
      </c>
      <c r="AW469" t="s">
        <v>74</v>
      </c>
      <c r="AX469" t="s">
        <v>74</v>
      </c>
      <c r="AY469" t="s">
        <v>74</v>
      </c>
      <c r="AZ469" t="s">
        <v>74</v>
      </c>
      <c r="BA469" t="s">
        <v>74</v>
      </c>
      <c r="BB469" t="s">
        <v>74</v>
      </c>
      <c r="BC469" t="s">
        <v>74</v>
      </c>
      <c r="BD469">
        <v>337</v>
      </c>
      <c r="BE469" t="s">
        <v>9247</v>
      </c>
      <c r="BF469" t="str">
        <f>HYPERLINK("http://dx.doi.org/10.3382/finicb.2016.00337","http://dx.doi.org/10.3382/finicb.2016.00337")</f>
        <v>http://dx.doi.org/10.3382/finicb.2016.00337</v>
      </c>
      <c r="BG469" t="s">
        <v>74</v>
      </c>
      <c r="BH469" t="s">
        <v>74</v>
      </c>
      <c r="BI469">
        <v>11</v>
      </c>
      <c r="BJ469" t="s">
        <v>2538</v>
      </c>
      <c r="BK469" t="s">
        <v>102</v>
      </c>
      <c r="BL469" t="s">
        <v>2538</v>
      </c>
      <c r="BM469" t="s">
        <v>9248</v>
      </c>
      <c r="BN469" t="s">
        <v>74</v>
      </c>
      <c r="BO469" t="s">
        <v>74</v>
      </c>
      <c r="BP469" t="s">
        <v>74</v>
      </c>
      <c r="BQ469" t="s">
        <v>74</v>
      </c>
      <c r="BR469" t="s">
        <v>106</v>
      </c>
      <c r="BS469" t="s">
        <v>9249</v>
      </c>
      <c r="BT469" t="str">
        <f>HYPERLINK("https%3A%2F%2Fwww.webofscience.com%2Fwos%2Fwoscc%2Ffull-record%2FWOS:000372487700001","View Full Record in Web of Science")</f>
        <v>View Full Record in Web of Science</v>
      </c>
    </row>
    <row r="470" spans="1:72" x14ac:dyDescent="0.15">
      <c r="A470" t="s">
        <v>72</v>
      </c>
      <c r="B470" t="s">
        <v>9250</v>
      </c>
      <c r="C470" t="s">
        <v>74</v>
      </c>
      <c r="D470" t="s">
        <v>74</v>
      </c>
      <c r="E470" t="s">
        <v>74</v>
      </c>
      <c r="F470" t="s">
        <v>9251</v>
      </c>
      <c r="G470" t="s">
        <v>74</v>
      </c>
      <c r="H470" t="s">
        <v>74</v>
      </c>
      <c r="I470" t="s">
        <v>9252</v>
      </c>
      <c r="J470" t="s">
        <v>1350</v>
      </c>
      <c r="K470" t="s">
        <v>74</v>
      </c>
      <c r="L470" t="s">
        <v>74</v>
      </c>
      <c r="M470" t="s">
        <v>78</v>
      </c>
      <c r="N470" t="s">
        <v>79</v>
      </c>
      <c r="O470" t="s">
        <v>74</v>
      </c>
      <c r="P470" t="s">
        <v>74</v>
      </c>
      <c r="Q470" t="s">
        <v>74</v>
      </c>
      <c r="R470" t="s">
        <v>74</v>
      </c>
      <c r="S470" t="s">
        <v>74</v>
      </c>
      <c r="T470" t="s">
        <v>74</v>
      </c>
      <c r="U470" t="s">
        <v>74</v>
      </c>
      <c r="V470" t="s">
        <v>9253</v>
      </c>
      <c r="W470" t="s">
        <v>9254</v>
      </c>
      <c r="X470" t="s">
        <v>9255</v>
      </c>
      <c r="Y470" t="s">
        <v>9256</v>
      </c>
      <c r="Z470" t="s">
        <v>9257</v>
      </c>
      <c r="AA470" t="s">
        <v>9258</v>
      </c>
      <c r="AB470" t="s">
        <v>9259</v>
      </c>
      <c r="AC470" t="s">
        <v>9260</v>
      </c>
      <c r="AD470" t="s">
        <v>9260</v>
      </c>
      <c r="AE470" t="s">
        <v>9261</v>
      </c>
      <c r="AF470" t="s">
        <v>74</v>
      </c>
      <c r="AG470">
        <v>19</v>
      </c>
      <c r="AH470">
        <v>278</v>
      </c>
      <c r="AI470">
        <v>334</v>
      </c>
      <c r="AJ470">
        <v>14</v>
      </c>
      <c r="AK470">
        <v>144</v>
      </c>
      <c r="AL470" t="s">
        <v>746</v>
      </c>
      <c r="AM470" t="s">
        <v>747</v>
      </c>
      <c r="AN470" t="s">
        <v>748</v>
      </c>
      <c r="AO470" t="s">
        <v>1362</v>
      </c>
      <c r="AP470" t="s">
        <v>74</v>
      </c>
      <c r="AQ470" t="s">
        <v>74</v>
      </c>
      <c r="AR470" t="s">
        <v>1363</v>
      </c>
      <c r="AS470" t="s">
        <v>1364</v>
      </c>
      <c r="AT470" t="s">
        <v>9262</v>
      </c>
      <c r="AU470">
        <v>2016</v>
      </c>
      <c r="AV470">
        <v>6</v>
      </c>
      <c r="AW470" t="s">
        <v>74</v>
      </c>
      <c r="AX470" t="s">
        <v>74</v>
      </c>
      <c r="AY470" t="s">
        <v>74</v>
      </c>
      <c r="AZ470" t="s">
        <v>74</v>
      </c>
      <c r="BA470" t="s">
        <v>74</v>
      </c>
      <c r="BB470" t="s">
        <v>74</v>
      </c>
      <c r="BC470" t="s">
        <v>74</v>
      </c>
      <c r="BD470">
        <v>22574</v>
      </c>
      <c r="BE470" t="s">
        <v>9263</v>
      </c>
      <c r="BF470" t="str">
        <f>HYPERLINK("http://dx.doi.org/10.1038/srep22574","http://dx.doi.org/10.1038/srep22574")</f>
        <v>http://dx.doi.org/10.1038/srep22574</v>
      </c>
      <c r="BG470" t="s">
        <v>74</v>
      </c>
      <c r="BH470" t="s">
        <v>74</v>
      </c>
      <c r="BI470">
        <v>7</v>
      </c>
      <c r="BJ470" t="s">
        <v>753</v>
      </c>
      <c r="BK470" t="s">
        <v>102</v>
      </c>
      <c r="BL470" t="s">
        <v>754</v>
      </c>
      <c r="BM470" t="s">
        <v>9264</v>
      </c>
      <c r="BN470">
        <v>26986721</v>
      </c>
      <c r="BO470" t="s">
        <v>2606</v>
      </c>
      <c r="BP470" t="s">
        <v>74</v>
      </c>
      <c r="BQ470" t="s">
        <v>74</v>
      </c>
      <c r="BR470" t="s">
        <v>106</v>
      </c>
      <c r="BS470" t="s">
        <v>9265</v>
      </c>
      <c r="BT470" t="str">
        <f>HYPERLINK("https%3A%2F%2Fwww.webofscience.com%2Fwos%2Fwoscc%2Ffull-record%2FWOS:000372163900001","View Full Record in Web of Science")</f>
        <v>View Full Record in Web of Science</v>
      </c>
    </row>
    <row r="471" spans="1:72" x14ac:dyDescent="0.15">
      <c r="A471" t="s">
        <v>72</v>
      </c>
      <c r="B471" t="s">
        <v>9266</v>
      </c>
      <c r="C471" t="s">
        <v>74</v>
      </c>
      <c r="D471" t="s">
        <v>74</v>
      </c>
      <c r="E471" t="s">
        <v>74</v>
      </c>
      <c r="F471" t="s">
        <v>9267</v>
      </c>
      <c r="G471" t="s">
        <v>74</v>
      </c>
      <c r="H471" t="s">
        <v>74</v>
      </c>
      <c r="I471" t="s">
        <v>9268</v>
      </c>
      <c r="J471" t="s">
        <v>1288</v>
      </c>
      <c r="K471" t="s">
        <v>74</v>
      </c>
      <c r="L471" t="s">
        <v>74</v>
      </c>
      <c r="M471" t="s">
        <v>78</v>
      </c>
      <c r="N471" t="s">
        <v>79</v>
      </c>
      <c r="O471" t="s">
        <v>74</v>
      </c>
      <c r="P471" t="s">
        <v>74</v>
      </c>
      <c r="Q471" t="s">
        <v>74</v>
      </c>
      <c r="R471" t="s">
        <v>74</v>
      </c>
      <c r="S471" t="s">
        <v>74</v>
      </c>
      <c r="T471" t="s">
        <v>9269</v>
      </c>
      <c r="U471" t="s">
        <v>9270</v>
      </c>
      <c r="V471" t="s">
        <v>9271</v>
      </c>
      <c r="W471" t="s">
        <v>9272</v>
      </c>
      <c r="X471" t="s">
        <v>2549</v>
      </c>
      <c r="Y471" t="s">
        <v>9273</v>
      </c>
      <c r="Z471" t="s">
        <v>9274</v>
      </c>
      <c r="AA471" t="s">
        <v>9275</v>
      </c>
      <c r="AB471" t="s">
        <v>9276</v>
      </c>
      <c r="AC471" t="s">
        <v>9277</v>
      </c>
      <c r="AD471" t="s">
        <v>9278</v>
      </c>
      <c r="AE471" t="s">
        <v>9279</v>
      </c>
      <c r="AF471" t="s">
        <v>74</v>
      </c>
      <c r="AG471">
        <v>40</v>
      </c>
      <c r="AH471">
        <v>39</v>
      </c>
      <c r="AI471">
        <v>39</v>
      </c>
      <c r="AJ471">
        <v>0</v>
      </c>
      <c r="AK471">
        <v>7</v>
      </c>
      <c r="AL471" t="s">
        <v>92</v>
      </c>
      <c r="AM471" t="s">
        <v>93</v>
      </c>
      <c r="AN471" t="s">
        <v>94</v>
      </c>
      <c r="AO471" t="s">
        <v>1296</v>
      </c>
      <c r="AP471" t="s">
        <v>1297</v>
      </c>
      <c r="AQ471" t="s">
        <v>74</v>
      </c>
      <c r="AR471" t="s">
        <v>1298</v>
      </c>
      <c r="AS471" t="s">
        <v>1299</v>
      </c>
      <c r="AT471" t="s">
        <v>9280</v>
      </c>
      <c r="AU471">
        <v>2016</v>
      </c>
      <c r="AV471">
        <v>43</v>
      </c>
      <c r="AW471">
        <v>5</v>
      </c>
      <c r="AX471" t="s">
        <v>74</v>
      </c>
      <c r="AY471" t="s">
        <v>74</v>
      </c>
      <c r="AZ471" t="s">
        <v>74</v>
      </c>
      <c r="BA471" t="s">
        <v>74</v>
      </c>
      <c r="BB471">
        <v>2102</v>
      </c>
      <c r="BC471">
        <v>2110</v>
      </c>
      <c r="BD471" t="s">
        <v>74</v>
      </c>
      <c r="BE471" t="s">
        <v>9281</v>
      </c>
      <c r="BF471" t="str">
        <f>HYPERLINK("http://dx.doi.org/10.1002/2016GL068177","http://dx.doi.org/10.1002/2016GL068177")</f>
        <v>http://dx.doi.org/10.1002/2016GL068177</v>
      </c>
      <c r="BG471" t="s">
        <v>74</v>
      </c>
      <c r="BH471" t="s">
        <v>74</v>
      </c>
      <c r="BI471">
        <v>9</v>
      </c>
      <c r="BJ471" t="s">
        <v>269</v>
      </c>
      <c r="BK471" t="s">
        <v>102</v>
      </c>
      <c r="BL471" t="s">
        <v>270</v>
      </c>
      <c r="BM471" t="s">
        <v>9282</v>
      </c>
      <c r="BN471" t="s">
        <v>74</v>
      </c>
      <c r="BO471" t="s">
        <v>842</v>
      </c>
      <c r="BP471" t="s">
        <v>74</v>
      </c>
      <c r="BQ471" t="s">
        <v>74</v>
      </c>
      <c r="BR471" t="s">
        <v>106</v>
      </c>
      <c r="BS471" t="s">
        <v>9283</v>
      </c>
      <c r="BT471" t="str">
        <f>HYPERLINK("https%3A%2F%2Fwww.webofscience.com%2Fwos%2Fwoscc%2Ffull-record%2FWOS:000373109800039","View Full Record in Web of Science")</f>
        <v>View Full Record in Web of Science</v>
      </c>
    </row>
    <row r="472" spans="1:72" x14ac:dyDescent="0.15">
      <c r="A472" t="s">
        <v>72</v>
      </c>
      <c r="B472" t="s">
        <v>9284</v>
      </c>
      <c r="C472" t="s">
        <v>74</v>
      </c>
      <c r="D472" t="s">
        <v>74</v>
      </c>
      <c r="E472" t="s">
        <v>74</v>
      </c>
      <c r="F472" t="s">
        <v>9285</v>
      </c>
      <c r="G472" t="s">
        <v>74</v>
      </c>
      <c r="H472" t="s">
        <v>74</v>
      </c>
      <c r="I472" t="s">
        <v>9286</v>
      </c>
      <c r="J472" t="s">
        <v>1288</v>
      </c>
      <c r="K472" t="s">
        <v>74</v>
      </c>
      <c r="L472" t="s">
        <v>74</v>
      </c>
      <c r="M472" t="s">
        <v>78</v>
      </c>
      <c r="N472" t="s">
        <v>79</v>
      </c>
      <c r="O472" t="s">
        <v>74</v>
      </c>
      <c r="P472" t="s">
        <v>74</v>
      </c>
      <c r="Q472" t="s">
        <v>74</v>
      </c>
      <c r="R472" t="s">
        <v>74</v>
      </c>
      <c r="S472" t="s">
        <v>74</v>
      </c>
      <c r="T472" t="s">
        <v>9287</v>
      </c>
      <c r="U472" t="s">
        <v>9288</v>
      </c>
      <c r="V472" t="s">
        <v>9289</v>
      </c>
      <c r="W472" t="s">
        <v>9290</v>
      </c>
      <c r="X472" t="s">
        <v>9291</v>
      </c>
      <c r="Y472" t="s">
        <v>9292</v>
      </c>
      <c r="Z472" t="s">
        <v>9293</v>
      </c>
      <c r="AA472" t="s">
        <v>9294</v>
      </c>
      <c r="AB472" t="s">
        <v>9295</v>
      </c>
      <c r="AC472" t="s">
        <v>9296</v>
      </c>
      <c r="AD472" t="s">
        <v>9297</v>
      </c>
      <c r="AE472" t="s">
        <v>9298</v>
      </c>
      <c r="AF472" t="s">
        <v>74</v>
      </c>
      <c r="AG472">
        <v>53</v>
      </c>
      <c r="AH472">
        <v>33</v>
      </c>
      <c r="AI472">
        <v>37</v>
      </c>
      <c r="AJ472">
        <v>0</v>
      </c>
      <c r="AK472">
        <v>19</v>
      </c>
      <c r="AL472" t="s">
        <v>92</v>
      </c>
      <c r="AM472" t="s">
        <v>93</v>
      </c>
      <c r="AN472" t="s">
        <v>94</v>
      </c>
      <c r="AO472" t="s">
        <v>1296</v>
      </c>
      <c r="AP472" t="s">
        <v>1297</v>
      </c>
      <c r="AQ472" t="s">
        <v>74</v>
      </c>
      <c r="AR472" t="s">
        <v>1298</v>
      </c>
      <c r="AS472" t="s">
        <v>1299</v>
      </c>
      <c r="AT472" t="s">
        <v>9280</v>
      </c>
      <c r="AU472">
        <v>2016</v>
      </c>
      <c r="AV472">
        <v>43</v>
      </c>
      <c r="AW472">
        <v>5</v>
      </c>
      <c r="AX472" t="s">
        <v>74</v>
      </c>
      <c r="AY472" t="s">
        <v>74</v>
      </c>
      <c r="AZ472" t="s">
        <v>74</v>
      </c>
      <c r="BA472" t="s">
        <v>74</v>
      </c>
      <c r="BB472">
        <v>1845</v>
      </c>
      <c r="BC472">
        <v>1853</v>
      </c>
      <c r="BD472" t="s">
        <v>74</v>
      </c>
      <c r="BE472" t="s">
        <v>9299</v>
      </c>
      <c r="BF472" t="str">
        <f>HYPERLINK("http://dx.doi.org/10.1002/2016GL067897","http://dx.doi.org/10.1002/2016GL067897")</f>
        <v>http://dx.doi.org/10.1002/2016GL067897</v>
      </c>
      <c r="BG472" t="s">
        <v>74</v>
      </c>
      <c r="BH472" t="s">
        <v>74</v>
      </c>
      <c r="BI472">
        <v>9</v>
      </c>
      <c r="BJ472" t="s">
        <v>269</v>
      </c>
      <c r="BK472" t="s">
        <v>102</v>
      </c>
      <c r="BL472" t="s">
        <v>270</v>
      </c>
      <c r="BM472" t="s">
        <v>9282</v>
      </c>
      <c r="BN472" t="s">
        <v>74</v>
      </c>
      <c r="BO472" t="s">
        <v>105</v>
      </c>
      <c r="BP472" t="s">
        <v>74</v>
      </c>
      <c r="BQ472" t="s">
        <v>74</v>
      </c>
      <c r="BR472" t="s">
        <v>106</v>
      </c>
      <c r="BS472" t="s">
        <v>9300</v>
      </c>
      <c r="BT472" t="str">
        <f>HYPERLINK("https%3A%2F%2Fwww.webofscience.com%2Fwos%2Fwoscc%2Ffull-record%2FWOS:000373109800007","View Full Record in Web of Science")</f>
        <v>View Full Record in Web of Science</v>
      </c>
    </row>
    <row r="473" spans="1:72" x14ac:dyDescent="0.15">
      <c r="A473" t="s">
        <v>72</v>
      </c>
      <c r="B473" t="s">
        <v>9301</v>
      </c>
      <c r="C473" t="s">
        <v>74</v>
      </c>
      <c r="D473" t="s">
        <v>74</v>
      </c>
      <c r="E473" t="s">
        <v>74</v>
      </c>
      <c r="F473" t="s">
        <v>9302</v>
      </c>
      <c r="G473" t="s">
        <v>74</v>
      </c>
      <c r="H473" t="s">
        <v>74</v>
      </c>
      <c r="I473" t="s">
        <v>9303</v>
      </c>
      <c r="J473" t="s">
        <v>1288</v>
      </c>
      <c r="K473" t="s">
        <v>74</v>
      </c>
      <c r="L473" t="s">
        <v>74</v>
      </c>
      <c r="M473" t="s">
        <v>78</v>
      </c>
      <c r="N473" t="s">
        <v>79</v>
      </c>
      <c r="O473" t="s">
        <v>74</v>
      </c>
      <c r="P473" t="s">
        <v>74</v>
      </c>
      <c r="Q473" t="s">
        <v>74</v>
      </c>
      <c r="R473" t="s">
        <v>74</v>
      </c>
      <c r="S473" t="s">
        <v>74</v>
      </c>
      <c r="T473" t="s">
        <v>9304</v>
      </c>
      <c r="U473" t="s">
        <v>9305</v>
      </c>
      <c r="V473" t="s">
        <v>9306</v>
      </c>
      <c r="W473" t="s">
        <v>9307</v>
      </c>
      <c r="X473" t="s">
        <v>9308</v>
      </c>
      <c r="Y473" t="s">
        <v>9309</v>
      </c>
      <c r="Z473" t="s">
        <v>9310</v>
      </c>
      <c r="AA473" t="s">
        <v>9311</v>
      </c>
      <c r="AB473" t="s">
        <v>9312</v>
      </c>
      <c r="AC473" t="s">
        <v>9313</v>
      </c>
      <c r="AD473" t="s">
        <v>9314</v>
      </c>
      <c r="AE473" t="s">
        <v>9315</v>
      </c>
      <c r="AF473" t="s">
        <v>74</v>
      </c>
      <c r="AG473">
        <v>44</v>
      </c>
      <c r="AH473">
        <v>22</v>
      </c>
      <c r="AI473">
        <v>23</v>
      </c>
      <c r="AJ473">
        <v>1</v>
      </c>
      <c r="AK473">
        <v>9</v>
      </c>
      <c r="AL473" t="s">
        <v>92</v>
      </c>
      <c r="AM473" t="s">
        <v>93</v>
      </c>
      <c r="AN473" t="s">
        <v>94</v>
      </c>
      <c r="AO473" t="s">
        <v>1296</v>
      </c>
      <c r="AP473" t="s">
        <v>1297</v>
      </c>
      <c r="AQ473" t="s">
        <v>74</v>
      </c>
      <c r="AR473" t="s">
        <v>1298</v>
      </c>
      <c r="AS473" t="s">
        <v>1299</v>
      </c>
      <c r="AT473" t="s">
        <v>9280</v>
      </c>
      <c r="AU473">
        <v>2016</v>
      </c>
      <c r="AV473">
        <v>43</v>
      </c>
      <c r="AW473">
        <v>5</v>
      </c>
      <c r="AX473" t="s">
        <v>74</v>
      </c>
      <c r="AY473" t="s">
        <v>74</v>
      </c>
      <c r="AZ473" t="s">
        <v>74</v>
      </c>
      <c r="BA473" t="s">
        <v>74</v>
      </c>
      <c r="BB473">
        <v>1918</v>
      </c>
      <c r="BC473">
        <v>1927</v>
      </c>
      <c r="BD473" t="s">
        <v>74</v>
      </c>
      <c r="BE473" t="s">
        <v>9316</v>
      </c>
      <c r="BF473" t="str">
        <f>HYPERLINK("http://dx.doi.org/10.1002/2016GL067773","http://dx.doi.org/10.1002/2016GL067773")</f>
        <v>http://dx.doi.org/10.1002/2016GL067773</v>
      </c>
      <c r="BG473" t="s">
        <v>74</v>
      </c>
      <c r="BH473" t="s">
        <v>74</v>
      </c>
      <c r="BI473">
        <v>10</v>
      </c>
      <c r="BJ473" t="s">
        <v>269</v>
      </c>
      <c r="BK473" t="s">
        <v>102</v>
      </c>
      <c r="BL473" t="s">
        <v>270</v>
      </c>
      <c r="BM473" t="s">
        <v>9282</v>
      </c>
      <c r="BN473" t="s">
        <v>74</v>
      </c>
      <c r="BO473" t="s">
        <v>420</v>
      </c>
      <c r="BP473" t="s">
        <v>74</v>
      </c>
      <c r="BQ473" t="s">
        <v>74</v>
      </c>
      <c r="BR473" t="s">
        <v>106</v>
      </c>
      <c r="BS473" t="s">
        <v>9317</v>
      </c>
      <c r="BT473" t="str">
        <f>HYPERLINK("https%3A%2F%2Fwww.webofscience.com%2Fwos%2Fwoscc%2Ffull-record%2FWOS:000373109800016","View Full Record in Web of Science")</f>
        <v>View Full Record in Web of Science</v>
      </c>
    </row>
    <row r="474" spans="1:72" x14ac:dyDescent="0.15">
      <c r="A474" t="s">
        <v>72</v>
      </c>
      <c r="B474" t="s">
        <v>9318</v>
      </c>
      <c r="C474" t="s">
        <v>74</v>
      </c>
      <c r="D474" t="s">
        <v>74</v>
      </c>
      <c r="E474" t="s">
        <v>74</v>
      </c>
      <c r="F474" t="s">
        <v>9319</v>
      </c>
      <c r="G474" t="s">
        <v>74</v>
      </c>
      <c r="H474" t="s">
        <v>74</v>
      </c>
      <c r="I474" t="s">
        <v>9320</v>
      </c>
      <c r="J474" t="s">
        <v>1288</v>
      </c>
      <c r="K474" t="s">
        <v>74</v>
      </c>
      <c r="L474" t="s">
        <v>74</v>
      </c>
      <c r="M474" t="s">
        <v>78</v>
      </c>
      <c r="N474" t="s">
        <v>79</v>
      </c>
      <c r="O474" t="s">
        <v>74</v>
      </c>
      <c r="P474" t="s">
        <v>74</v>
      </c>
      <c r="Q474" t="s">
        <v>74</v>
      </c>
      <c r="R474" t="s">
        <v>74</v>
      </c>
      <c r="S474" t="s">
        <v>74</v>
      </c>
      <c r="T474" t="s">
        <v>9321</v>
      </c>
      <c r="U474" t="s">
        <v>9322</v>
      </c>
      <c r="V474" t="s">
        <v>9323</v>
      </c>
      <c r="W474" t="s">
        <v>9324</v>
      </c>
      <c r="X474" t="s">
        <v>9325</v>
      </c>
      <c r="Y474" t="s">
        <v>9326</v>
      </c>
      <c r="Z474" t="s">
        <v>9327</v>
      </c>
      <c r="AA474" t="s">
        <v>9328</v>
      </c>
      <c r="AB474" t="s">
        <v>9329</v>
      </c>
      <c r="AC474" t="s">
        <v>9330</v>
      </c>
      <c r="AD474" t="s">
        <v>9331</v>
      </c>
      <c r="AE474" t="s">
        <v>9332</v>
      </c>
      <c r="AF474" t="s">
        <v>74</v>
      </c>
      <c r="AG474">
        <v>37</v>
      </c>
      <c r="AH474">
        <v>21</v>
      </c>
      <c r="AI474">
        <v>24</v>
      </c>
      <c r="AJ474">
        <v>2</v>
      </c>
      <c r="AK474">
        <v>16</v>
      </c>
      <c r="AL474" t="s">
        <v>92</v>
      </c>
      <c r="AM474" t="s">
        <v>93</v>
      </c>
      <c r="AN474" t="s">
        <v>94</v>
      </c>
      <c r="AO474" t="s">
        <v>1296</v>
      </c>
      <c r="AP474" t="s">
        <v>1297</v>
      </c>
      <c r="AQ474" t="s">
        <v>74</v>
      </c>
      <c r="AR474" t="s">
        <v>1298</v>
      </c>
      <c r="AS474" t="s">
        <v>1299</v>
      </c>
      <c r="AT474" t="s">
        <v>9280</v>
      </c>
      <c r="AU474">
        <v>2016</v>
      </c>
      <c r="AV474">
        <v>43</v>
      </c>
      <c r="AW474">
        <v>5</v>
      </c>
      <c r="AX474" t="s">
        <v>74</v>
      </c>
      <c r="AY474" t="s">
        <v>74</v>
      </c>
      <c r="AZ474" t="s">
        <v>74</v>
      </c>
      <c r="BA474" t="s">
        <v>74</v>
      </c>
      <c r="BB474">
        <v>2019</v>
      </c>
      <c r="BC474">
        <v>2026</v>
      </c>
      <c r="BD474" t="s">
        <v>74</v>
      </c>
      <c r="BE474" t="s">
        <v>9333</v>
      </c>
      <c r="BF474" t="str">
        <f>HYPERLINK("http://dx.doi.org/10.1002/2015GL066476","http://dx.doi.org/10.1002/2015GL066476")</f>
        <v>http://dx.doi.org/10.1002/2015GL066476</v>
      </c>
      <c r="BG474" t="s">
        <v>74</v>
      </c>
      <c r="BH474" t="s">
        <v>74</v>
      </c>
      <c r="BI474">
        <v>8</v>
      </c>
      <c r="BJ474" t="s">
        <v>269</v>
      </c>
      <c r="BK474" t="s">
        <v>102</v>
      </c>
      <c r="BL474" t="s">
        <v>270</v>
      </c>
      <c r="BM474" t="s">
        <v>9282</v>
      </c>
      <c r="BN474" t="s">
        <v>74</v>
      </c>
      <c r="BO474" t="s">
        <v>160</v>
      </c>
      <c r="BP474" t="s">
        <v>74</v>
      </c>
      <c r="BQ474" t="s">
        <v>74</v>
      </c>
      <c r="BR474" t="s">
        <v>106</v>
      </c>
      <c r="BS474" t="s">
        <v>9334</v>
      </c>
      <c r="BT474" t="str">
        <f>HYPERLINK("https%3A%2F%2Fwww.webofscience.com%2Fwos%2Fwoscc%2Ffull-record%2FWOS:000373109800029","View Full Record in Web of Science")</f>
        <v>View Full Record in Web of Science</v>
      </c>
    </row>
    <row r="475" spans="1:72" x14ac:dyDescent="0.15">
      <c r="A475" t="s">
        <v>72</v>
      </c>
      <c r="B475" t="s">
        <v>9335</v>
      </c>
      <c r="C475" t="s">
        <v>74</v>
      </c>
      <c r="D475" t="s">
        <v>74</v>
      </c>
      <c r="E475" t="s">
        <v>74</v>
      </c>
      <c r="F475" t="s">
        <v>9336</v>
      </c>
      <c r="G475" t="s">
        <v>74</v>
      </c>
      <c r="H475" t="s">
        <v>74</v>
      </c>
      <c r="I475" t="s">
        <v>9337</v>
      </c>
      <c r="J475" t="s">
        <v>1288</v>
      </c>
      <c r="K475" t="s">
        <v>74</v>
      </c>
      <c r="L475" t="s">
        <v>74</v>
      </c>
      <c r="M475" t="s">
        <v>78</v>
      </c>
      <c r="N475" t="s">
        <v>79</v>
      </c>
      <c r="O475" t="s">
        <v>74</v>
      </c>
      <c r="P475" t="s">
        <v>74</v>
      </c>
      <c r="Q475" t="s">
        <v>74</v>
      </c>
      <c r="R475" t="s">
        <v>74</v>
      </c>
      <c r="S475" t="s">
        <v>74</v>
      </c>
      <c r="T475" t="s">
        <v>9338</v>
      </c>
      <c r="U475" t="s">
        <v>9339</v>
      </c>
      <c r="V475" t="s">
        <v>9340</v>
      </c>
      <c r="W475" t="s">
        <v>9341</v>
      </c>
      <c r="X475" t="s">
        <v>9342</v>
      </c>
      <c r="Y475" t="s">
        <v>9343</v>
      </c>
      <c r="Z475" t="s">
        <v>9344</v>
      </c>
      <c r="AA475" t="s">
        <v>9345</v>
      </c>
      <c r="AB475" t="s">
        <v>9346</v>
      </c>
      <c r="AC475" t="s">
        <v>9347</v>
      </c>
      <c r="AD475" t="s">
        <v>9348</v>
      </c>
      <c r="AE475" t="s">
        <v>9349</v>
      </c>
      <c r="AF475" t="s">
        <v>74</v>
      </c>
      <c r="AG475">
        <v>33</v>
      </c>
      <c r="AH475">
        <v>35</v>
      </c>
      <c r="AI475">
        <v>42</v>
      </c>
      <c r="AJ475">
        <v>1</v>
      </c>
      <c r="AK475">
        <v>36</v>
      </c>
      <c r="AL475" t="s">
        <v>92</v>
      </c>
      <c r="AM475" t="s">
        <v>93</v>
      </c>
      <c r="AN475" t="s">
        <v>94</v>
      </c>
      <c r="AO475" t="s">
        <v>1296</v>
      </c>
      <c r="AP475" t="s">
        <v>1297</v>
      </c>
      <c r="AQ475" t="s">
        <v>74</v>
      </c>
      <c r="AR475" t="s">
        <v>1298</v>
      </c>
      <c r="AS475" t="s">
        <v>1299</v>
      </c>
      <c r="AT475" t="s">
        <v>9280</v>
      </c>
      <c r="AU475">
        <v>2016</v>
      </c>
      <c r="AV475">
        <v>43</v>
      </c>
      <c r="AW475">
        <v>5</v>
      </c>
      <c r="AX475" t="s">
        <v>74</v>
      </c>
      <c r="AY475" t="s">
        <v>74</v>
      </c>
      <c r="AZ475" t="s">
        <v>74</v>
      </c>
      <c r="BA475" t="s">
        <v>74</v>
      </c>
      <c r="BB475">
        <v>2027</v>
      </c>
      <c r="BC475">
        <v>2035</v>
      </c>
      <c r="BD475" t="s">
        <v>74</v>
      </c>
      <c r="BE475" t="s">
        <v>9350</v>
      </c>
      <c r="BF475" t="str">
        <f>HYPERLINK("http://dx.doi.org/10.1002/2015GL067365","http://dx.doi.org/10.1002/2015GL067365")</f>
        <v>http://dx.doi.org/10.1002/2015GL067365</v>
      </c>
      <c r="BG475" t="s">
        <v>74</v>
      </c>
      <c r="BH475" t="s">
        <v>74</v>
      </c>
      <c r="BI475">
        <v>9</v>
      </c>
      <c r="BJ475" t="s">
        <v>269</v>
      </c>
      <c r="BK475" t="s">
        <v>102</v>
      </c>
      <c r="BL475" t="s">
        <v>270</v>
      </c>
      <c r="BM475" t="s">
        <v>9282</v>
      </c>
      <c r="BN475" t="s">
        <v>74</v>
      </c>
      <c r="BO475" t="s">
        <v>842</v>
      </c>
      <c r="BP475" t="s">
        <v>74</v>
      </c>
      <c r="BQ475" t="s">
        <v>74</v>
      </c>
      <c r="BR475" t="s">
        <v>106</v>
      </c>
      <c r="BS475" t="s">
        <v>9351</v>
      </c>
      <c r="BT475" t="str">
        <f>HYPERLINK("https%3A%2F%2Fwww.webofscience.com%2Fwos%2Fwoscc%2Ffull-record%2FWOS:000373109800030","View Full Record in Web of Science")</f>
        <v>View Full Record in Web of Science</v>
      </c>
    </row>
    <row r="476" spans="1:72" x14ac:dyDescent="0.15">
      <c r="A476" t="s">
        <v>72</v>
      </c>
      <c r="B476" t="s">
        <v>9352</v>
      </c>
      <c r="C476" t="s">
        <v>74</v>
      </c>
      <c r="D476" t="s">
        <v>74</v>
      </c>
      <c r="E476" t="s">
        <v>74</v>
      </c>
      <c r="F476" t="s">
        <v>9353</v>
      </c>
      <c r="G476" t="s">
        <v>74</v>
      </c>
      <c r="H476" t="s">
        <v>74</v>
      </c>
      <c r="I476" t="s">
        <v>9354</v>
      </c>
      <c r="J476" t="s">
        <v>1288</v>
      </c>
      <c r="K476" t="s">
        <v>74</v>
      </c>
      <c r="L476" t="s">
        <v>74</v>
      </c>
      <c r="M476" t="s">
        <v>78</v>
      </c>
      <c r="N476" t="s">
        <v>79</v>
      </c>
      <c r="O476" t="s">
        <v>74</v>
      </c>
      <c r="P476" t="s">
        <v>74</v>
      </c>
      <c r="Q476" t="s">
        <v>74</v>
      </c>
      <c r="R476" t="s">
        <v>74</v>
      </c>
      <c r="S476" t="s">
        <v>74</v>
      </c>
      <c r="T476" t="s">
        <v>9355</v>
      </c>
      <c r="U476" t="s">
        <v>9356</v>
      </c>
      <c r="V476" t="s">
        <v>9357</v>
      </c>
      <c r="W476" t="s">
        <v>9358</v>
      </c>
      <c r="X476" t="s">
        <v>9359</v>
      </c>
      <c r="Y476" t="s">
        <v>9360</v>
      </c>
      <c r="Z476" t="s">
        <v>9361</v>
      </c>
      <c r="AA476" t="s">
        <v>9362</v>
      </c>
      <c r="AB476" t="s">
        <v>9363</v>
      </c>
      <c r="AC476" t="s">
        <v>9364</v>
      </c>
      <c r="AD476" t="s">
        <v>9365</v>
      </c>
      <c r="AE476" t="s">
        <v>9366</v>
      </c>
      <c r="AF476" t="s">
        <v>74</v>
      </c>
      <c r="AG476">
        <v>36</v>
      </c>
      <c r="AH476">
        <v>17</v>
      </c>
      <c r="AI476">
        <v>22</v>
      </c>
      <c r="AJ476">
        <v>3</v>
      </c>
      <c r="AK476">
        <v>39</v>
      </c>
      <c r="AL476" t="s">
        <v>92</v>
      </c>
      <c r="AM476" t="s">
        <v>93</v>
      </c>
      <c r="AN476" t="s">
        <v>94</v>
      </c>
      <c r="AO476" t="s">
        <v>1296</v>
      </c>
      <c r="AP476" t="s">
        <v>1297</v>
      </c>
      <c r="AQ476" t="s">
        <v>74</v>
      </c>
      <c r="AR476" t="s">
        <v>1298</v>
      </c>
      <c r="AS476" t="s">
        <v>1299</v>
      </c>
      <c r="AT476" t="s">
        <v>9280</v>
      </c>
      <c r="AU476">
        <v>2016</v>
      </c>
      <c r="AV476">
        <v>43</v>
      </c>
      <c r="AW476">
        <v>5</v>
      </c>
      <c r="AX476" t="s">
        <v>74</v>
      </c>
      <c r="AY476" t="s">
        <v>74</v>
      </c>
      <c r="AZ476" t="s">
        <v>74</v>
      </c>
      <c r="BA476" t="s">
        <v>74</v>
      </c>
      <c r="BB476">
        <v>2086</v>
      </c>
      <c r="BC476">
        <v>2093</v>
      </c>
      <c r="BD476" t="s">
        <v>74</v>
      </c>
      <c r="BE476" t="s">
        <v>9367</v>
      </c>
      <c r="BF476" t="str">
        <f>HYPERLINK("http://dx.doi.org/10.1002/2016GL067937","http://dx.doi.org/10.1002/2016GL067937")</f>
        <v>http://dx.doi.org/10.1002/2016GL067937</v>
      </c>
      <c r="BG476" t="s">
        <v>74</v>
      </c>
      <c r="BH476" t="s">
        <v>74</v>
      </c>
      <c r="BI476">
        <v>8</v>
      </c>
      <c r="BJ476" t="s">
        <v>269</v>
      </c>
      <c r="BK476" t="s">
        <v>102</v>
      </c>
      <c r="BL476" t="s">
        <v>270</v>
      </c>
      <c r="BM476" t="s">
        <v>9282</v>
      </c>
      <c r="BN476" t="s">
        <v>74</v>
      </c>
      <c r="BO476" t="s">
        <v>293</v>
      </c>
      <c r="BP476" t="s">
        <v>74</v>
      </c>
      <c r="BQ476" t="s">
        <v>74</v>
      </c>
      <c r="BR476" t="s">
        <v>106</v>
      </c>
      <c r="BS476" t="s">
        <v>9368</v>
      </c>
      <c r="BT476" t="str">
        <f>HYPERLINK("https%3A%2F%2Fwww.webofscience.com%2Fwos%2Fwoscc%2Ffull-record%2FWOS:000373109800037","View Full Record in Web of Science")</f>
        <v>View Full Record in Web of Science</v>
      </c>
    </row>
    <row r="477" spans="1:72" x14ac:dyDescent="0.15">
      <c r="A477" t="s">
        <v>72</v>
      </c>
      <c r="B477" t="s">
        <v>9369</v>
      </c>
      <c r="C477" t="s">
        <v>74</v>
      </c>
      <c r="D477" t="s">
        <v>74</v>
      </c>
      <c r="E477" t="s">
        <v>74</v>
      </c>
      <c r="F477" t="s">
        <v>9370</v>
      </c>
      <c r="G477" t="s">
        <v>74</v>
      </c>
      <c r="H477" t="s">
        <v>74</v>
      </c>
      <c r="I477" t="s">
        <v>9371</v>
      </c>
      <c r="J477" t="s">
        <v>1288</v>
      </c>
      <c r="K477" t="s">
        <v>74</v>
      </c>
      <c r="L477" t="s">
        <v>74</v>
      </c>
      <c r="M477" t="s">
        <v>78</v>
      </c>
      <c r="N477" t="s">
        <v>79</v>
      </c>
      <c r="O477" t="s">
        <v>74</v>
      </c>
      <c r="P477" t="s">
        <v>74</v>
      </c>
      <c r="Q477" t="s">
        <v>74</v>
      </c>
      <c r="R477" t="s">
        <v>74</v>
      </c>
      <c r="S477" t="s">
        <v>74</v>
      </c>
      <c r="T477" t="s">
        <v>9372</v>
      </c>
      <c r="U477" t="s">
        <v>9373</v>
      </c>
      <c r="V477" t="s">
        <v>9374</v>
      </c>
      <c r="W477" t="s">
        <v>9375</v>
      </c>
      <c r="X477" t="s">
        <v>9376</v>
      </c>
      <c r="Y477" t="s">
        <v>9377</v>
      </c>
      <c r="Z477" t="s">
        <v>9378</v>
      </c>
      <c r="AA477" t="s">
        <v>9379</v>
      </c>
      <c r="AB477" t="s">
        <v>9380</v>
      </c>
      <c r="AC477" t="s">
        <v>9381</v>
      </c>
      <c r="AD477" t="s">
        <v>9382</v>
      </c>
      <c r="AE477" t="s">
        <v>9383</v>
      </c>
      <c r="AF477" t="s">
        <v>74</v>
      </c>
      <c r="AG477">
        <v>58</v>
      </c>
      <c r="AH477">
        <v>36</v>
      </c>
      <c r="AI477">
        <v>40</v>
      </c>
      <c r="AJ477">
        <v>3</v>
      </c>
      <c r="AK477">
        <v>48</v>
      </c>
      <c r="AL477" t="s">
        <v>92</v>
      </c>
      <c r="AM477" t="s">
        <v>93</v>
      </c>
      <c r="AN477" t="s">
        <v>94</v>
      </c>
      <c r="AO477" t="s">
        <v>1296</v>
      </c>
      <c r="AP477" t="s">
        <v>1297</v>
      </c>
      <c r="AQ477" t="s">
        <v>74</v>
      </c>
      <c r="AR477" t="s">
        <v>1298</v>
      </c>
      <c r="AS477" t="s">
        <v>1299</v>
      </c>
      <c r="AT477" t="s">
        <v>9280</v>
      </c>
      <c r="AU477">
        <v>2016</v>
      </c>
      <c r="AV477">
        <v>43</v>
      </c>
      <c r="AW477">
        <v>5</v>
      </c>
      <c r="AX477" t="s">
        <v>74</v>
      </c>
      <c r="AY477" t="s">
        <v>74</v>
      </c>
      <c r="AZ477" t="s">
        <v>74</v>
      </c>
      <c r="BA477" t="s">
        <v>74</v>
      </c>
      <c r="BB477">
        <v>2192</v>
      </c>
      <c r="BC477">
        <v>2199</v>
      </c>
      <c r="BD477" t="s">
        <v>74</v>
      </c>
      <c r="BE477" t="s">
        <v>9384</v>
      </c>
      <c r="BF477" t="str">
        <f>HYPERLINK("http://dx.doi.org/10.1002/2016GL067861","http://dx.doi.org/10.1002/2016GL067861")</f>
        <v>http://dx.doi.org/10.1002/2016GL067861</v>
      </c>
      <c r="BG477" t="s">
        <v>74</v>
      </c>
      <c r="BH477" t="s">
        <v>74</v>
      </c>
      <c r="BI477">
        <v>8</v>
      </c>
      <c r="BJ477" t="s">
        <v>269</v>
      </c>
      <c r="BK477" t="s">
        <v>102</v>
      </c>
      <c r="BL477" t="s">
        <v>270</v>
      </c>
      <c r="BM477" t="s">
        <v>9282</v>
      </c>
      <c r="BN477" t="s">
        <v>74</v>
      </c>
      <c r="BO477" t="s">
        <v>363</v>
      </c>
      <c r="BP477" t="s">
        <v>74</v>
      </c>
      <c r="BQ477" t="s">
        <v>74</v>
      </c>
      <c r="BR477" t="s">
        <v>106</v>
      </c>
      <c r="BS477" t="s">
        <v>9385</v>
      </c>
      <c r="BT477" t="str">
        <f>HYPERLINK("https%3A%2F%2Fwww.webofscience.com%2Fwos%2Fwoscc%2Ffull-record%2FWOS:000373109800050","View Full Record in Web of Science")</f>
        <v>View Full Record in Web of Science</v>
      </c>
    </row>
    <row r="478" spans="1:72" x14ac:dyDescent="0.15">
      <c r="A478" t="s">
        <v>72</v>
      </c>
      <c r="B478" t="s">
        <v>9386</v>
      </c>
      <c r="C478" t="s">
        <v>74</v>
      </c>
      <c r="D478" t="s">
        <v>74</v>
      </c>
      <c r="E478" t="s">
        <v>74</v>
      </c>
      <c r="F478" t="s">
        <v>9387</v>
      </c>
      <c r="G478" t="s">
        <v>74</v>
      </c>
      <c r="H478" t="s">
        <v>74</v>
      </c>
      <c r="I478" t="s">
        <v>9388</v>
      </c>
      <c r="J478" t="s">
        <v>1288</v>
      </c>
      <c r="K478" t="s">
        <v>74</v>
      </c>
      <c r="L478" t="s">
        <v>74</v>
      </c>
      <c r="M478" t="s">
        <v>78</v>
      </c>
      <c r="N478" t="s">
        <v>79</v>
      </c>
      <c r="O478" t="s">
        <v>74</v>
      </c>
      <c r="P478" t="s">
        <v>74</v>
      </c>
      <c r="Q478" t="s">
        <v>74</v>
      </c>
      <c r="R478" t="s">
        <v>74</v>
      </c>
      <c r="S478" t="s">
        <v>74</v>
      </c>
      <c r="T478" t="s">
        <v>9389</v>
      </c>
      <c r="U478" t="s">
        <v>9390</v>
      </c>
      <c r="V478" t="s">
        <v>9391</v>
      </c>
      <c r="W478" t="s">
        <v>9392</v>
      </c>
      <c r="X478" t="s">
        <v>9393</v>
      </c>
      <c r="Y478" t="s">
        <v>9394</v>
      </c>
      <c r="Z478" t="s">
        <v>9395</v>
      </c>
      <c r="AA478" t="s">
        <v>9396</v>
      </c>
      <c r="AB478" t="s">
        <v>9397</v>
      </c>
      <c r="AC478" t="s">
        <v>9398</v>
      </c>
      <c r="AD478" t="s">
        <v>9399</v>
      </c>
      <c r="AE478" t="s">
        <v>9400</v>
      </c>
      <c r="AF478" t="s">
        <v>74</v>
      </c>
      <c r="AG478">
        <v>40</v>
      </c>
      <c r="AH478">
        <v>44</v>
      </c>
      <c r="AI478">
        <v>49</v>
      </c>
      <c r="AJ478">
        <v>0</v>
      </c>
      <c r="AK478">
        <v>36</v>
      </c>
      <c r="AL478" t="s">
        <v>92</v>
      </c>
      <c r="AM478" t="s">
        <v>93</v>
      </c>
      <c r="AN478" t="s">
        <v>94</v>
      </c>
      <c r="AO478" t="s">
        <v>1296</v>
      </c>
      <c r="AP478" t="s">
        <v>1297</v>
      </c>
      <c r="AQ478" t="s">
        <v>74</v>
      </c>
      <c r="AR478" t="s">
        <v>1298</v>
      </c>
      <c r="AS478" t="s">
        <v>1299</v>
      </c>
      <c r="AT478" t="s">
        <v>9280</v>
      </c>
      <c r="AU478">
        <v>2016</v>
      </c>
      <c r="AV478">
        <v>43</v>
      </c>
      <c r="AW478">
        <v>5</v>
      </c>
      <c r="AX478" t="s">
        <v>74</v>
      </c>
      <c r="AY478" t="s">
        <v>74</v>
      </c>
      <c r="AZ478" t="s">
        <v>74</v>
      </c>
      <c r="BA478" t="s">
        <v>74</v>
      </c>
      <c r="BB478">
        <v>2291</v>
      </c>
      <c r="BC478">
        <v>2298</v>
      </c>
      <c r="BD478" t="s">
        <v>74</v>
      </c>
      <c r="BE478" t="s">
        <v>9401</v>
      </c>
      <c r="BF478" t="str">
        <f>HYPERLINK("http://dx.doi.org/10.1002/2016GL068244","http://dx.doi.org/10.1002/2016GL068244")</f>
        <v>http://dx.doi.org/10.1002/2016GL068244</v>
      </c>
      <c r="BG478" t="s">
        <v>74</v>
      </c>
      <c r="BH478" t="s">
        <v>74</v>
      </c>
      <c r="BI478">
        <v>8</v>
      </c>
      <c r="BJ478" t="s">
        <v>269</v>
      </c>
      <c r="BK478" t="s">
        <v>102</v>
      </c>
      <c r="BL478" t="s">
        <v>270</v>
      </c>
      <c r="BM478" t="s">
        <v>9282</v>
      </c>
      <c r="BN478" t="s">
        <v>74</v>
      </c>
      <c r="BO478" t="s">
        <v>420</v>
      </c>
      <c r="BP478" t="s">
        <v>74</v>
      </c>
      <c r="BQ478" t="s">
        <v>74</v>
      </c>
      <c r="BR478" t="s">
        <v>106</v>
      </c>
      <c r="BS478" t="s">
        <v>9402</v>
      </c>
      <c r="BT478" t="str">
        <f>HYPERLINK("https%3A%2F%2Fwww.webofscience.com%2Fwos%2Fwoscc%2Ffull-record%2FWOS:000373109800062","View Full Record in Web of Science")</f>
        <v>View Full Record in Web of Science</v>
      </c>
    </row>
    <row r="479" spans="1:72" x14ac:dyDescent="0.15">
      <c r="A479" t="s">
        <v>72</v>
      </c>
      <c r="B479" t="s">
        <v>9403</v>
      </c>
      <c r="C479" t="s">
        <v>74</v>
      </c>
      <c r="D479" t="s">
        <v>74</v>
      </c>
      <c r="E479" t="s">
        <v>74</v>
      </c>
      <c r="F479" t="s">
        <v>9403</v>
      </c>
      <c r="G479" t="s">
        <v>74</v>
      </c>
      <c r="H479" t="s">
        <v>74</v>
      </c>
      <c r="I479" t="s">
        <v>9404</v>
      </c>
      <c r="J479" t="s">
        <v>1817</v>
      </c>
      <c r="K479" t="s">
        <v>74</v>
      </c>
      <c r="L479" t="s">
        <v>74</v>
      </c>
      <c r="M479" t="s">
        <v>78</v>
      </c>
      <c r="N479" t="s">
        <v>8850</v>
      </c>
      <c r="O479" t="s">
        <v>74</v>
      </c>
      <c r="P479" t="s">
        <v>74</v>
      </c>
      <c r="Q479" t="s">
        <v>74</v>
      </c>
      <c r="R479" t="s">
        <v>74</v>
      </c>
      <c r="S479" t="s">
        <v>74</v>
      </c>
      <c r="T479" t="s">
        <v>74</v>
      </c>
      <c r="U479" t="s">
        <v>74</v>
      </c>
      <c r="V479" t="s">
        <v>74</v>
      </c>
      <c r="W479" t="s">
        <v>74</v>
      </c>
      <c r="X479" t="s">
        <v>74</v>
      </c>
      <c r="Y479" t="s">
        <v>74</v>
      </c>
      <c r="Z479" t="s">
        <v>74</v>
      </c>
      <c r="AA479" t="s">
        <v>74</v>
      </c>
      <c r="AB479" t="s">
        <v>74</v>
      </c>
      <c r="AC479" t="s">
        <v>74</v>
      </c>
      <c r="AD479" t="s">
        <v>74</v>
      </c>
      <c r="AE479" t="s">
        <v>74</v>
      </c>
      <c r="AF479" t="s">
        <v>74</v>
      </c>
      <c r="AG479">
        <v>0</v>
      </c>
      <c r="AH479">
        <v>0</v>
      </c>
      <c r="AI479">
        <v>0</v>
      </c>
      <c r="AJ479">
        <v>0</v>
      </c>
      <c r="AK479">
        <v>10</v>
      </c>
      <c r="AL479" t="s">
        <v>1829</v>
      </c>
      <c r="AM479" t="s">
        <v>679</v>
      </c>
      <c r="AN479" t="s">
        <v>1830</v>
      </c>
      <c r="AO479" t="s">
        <v>1831</v>
      </c>
      <c r="AP479" t="s">
        <v>1832</v>
      </c>
      <c r="AQ479" t="s">
        <v>74</v>
      </c>
      <c r="AR479" t="s">
        <v>1833</v>
      </c>
      <c r="AS479" t="s">
        <v>1834</v>
      </c>
      <c r="AT479" t="s">
        <v>9405</v>
      </c>
      <c r="AU479">
        <v>2016</v>
      </c>
      <c r="AV479">
        <v>104</v>
      </c>
      <c r="AW479" t="s">
        <v>1836</v>
      </c>
      <c r="AX479" t="s">
        <v>74</v>
      </c>
      <c r="AY479" t="s">
        <v>74</v>
      </c>
      <c r="AZ479" t="s">
        <v>74</v>
      </c>
      <c r="BA479" t="s">
        <v>74</v>
      </c>
      <c r="BB479">
        <v>4</v>
      </c>
      <c r="BC479">
        <v>4</v>
      </c>
      <c r="BD479" t="s">
        <v>74</v>
      </c>
      <c r="BE479" t="s">
        <v>74</v>
      </c>
      <c r="BF479" t="s">
        <v>74</v>
      </c>
      <c r="BG479" t="s">
        <v>74</v>
      </c>
      <c r="BH479" t="s">
        <v>74</v>
      </c>
      <c r="BI479">
        <v>1</v>
      </c>
      <c r="BJ479" t="s">
        <v>1838</v>
      </c>
      <c r="BK479" t="s">
        <v>102</v>
      </c>
      <c r="BL479" t="s">
        <v>1839</v>
      </c>
      <c r="BM479" t="s">
        <v>9406</v>
      </c>
      <c r="BN479" t="s">
        <v>74</v>
      </c>
      <c r="BO479" t="s">
        <v>74</v>
      </c>
      <c r="BP479" t="s">
        <v>74</v>
      </c>
      <c r="BQ479" t="s">
        <v>74</v>
      </c>
      <c r="BR479" t="s">
        <v>106</v>
      </c>
      <c r="BS479" t="s">
        <v>9407</v>
      </c>
      <c r="BT479" t="str">
        <f>HYPERLINK("https%3A%2F%2Fwww.webofscience.com%2Fwos%2Fwoscc%2Ffull-record%2FWOS:000374198100005","View Full Record in Web of Science")</f>
        <v>View Full Record in Web of Science</v>
      </c>
    </row>
    <row r="480" spans="1:72" x14ac:dyDescent="0.15">
      <c r="A480" t="s">
        <v>72</v>
      </c>
      <c r="B480" t="s">
        <v>9408</v>
      </c>
      <c r="C480" t="s">
        <v>74</v>
      </c>
      <c r="D480" t="s">
        <v>74</v>
      </c>
      <c r="E480" t="s">
        <v>74</v>
      </c>
      <c r="F480" t="s">
        <v>9409</v>
      </c>
      <c r="G480" t="s">
        <v>74</v>
      </c>
      <c r="H480" t="s">
        <v>74</v>
      </c>
      <c r="I480" t="s">
        <v>9410</v>
      </c>
      <c r="J480" t="s">
        <v>1817</v>
      </c>
      <c r="K480" t="s">
        <v>74</v>
      </c>
      <c r="L480" t="s">
        <v>74</v>
      </c>
      <c r="M480" t="s">
        <v>78</v>
      </c>
      <c r="N480" t="s">
        <v>79</v>
      </c>
      <c r="O480" t="s">
        <v>74</v>
      </c>
      <c r="P480" t="s">
        <v>74</v>
      </c>
      <c r="Q480" t="s">
        <v>74</v>
      </c>
      <c r="R480" t="s">
        <v>74</v>
      </c>
      <c r="S480" t="s">
        <v>74</v>
      </c>
      <c r="T480" t="s">
        <v>9411</v>
      </c>
      <c r="U480" t="s">
        <v>9412</v>
      </c>
      <c r="V480" t="s">
        <v>9413</v>
      </c>
      <c r="W480" t="s">
        <v>9414</v>
      </c>
      <c r="X480" t="s">
        <v>9415</v>
      </c>
      <c r="Y480" t="s">
        <v>9416</v>
      </c>
      <c r="Z480" t="s">
        <v>9417</v>
      </c>
      <c r="AA480" t="s">
        <v>9418</v>
      </c>
      <c r="AB480" t="s">
        <v>9419</v>
      </c>
      <c r="AC480" t="s">
        <v>9420</v>
      </c>
      <c r="AD480" t="s">
        <v>9420</v>
      </c>
      <c r="AE480" t="s">
        <v>9421</v>
      </c>
      <c r="AF480" t="s">
        <v>74</v>
      </c>
      <c r="AG480">
        <v>35</v>
      </c>
      <c r="AH480">
        <v>48</v>
      </c>
      <c r="AI480">
        <v>48</v>
      </c>
      <c r="AJ480">
        <v>2</v>
      </c>
      <c r="AK480">
        <v>68</v>
      </c>
      <c r="AL480" t="s">
        <v>1829</v>
      </c>
      <c r="AM480" t="s">
        <v>679</v>
      </c>
      <c r="AN480" t="s">
        <v>1830</v>
      </c>
      <c r="AO480" t="s">
        <v>1831</v>
      </c>
      <c r="AP480" t="s">
        <v>1832</v>
      </c>
      <c r="AQ480" t="s">
        <v>74</v>
      </c>
      <c r="AR480" t="s">
        <v>1833</v>
      </c>
      <c r="AS480" t="s">
        <v>1834</v>
      </c>
      <c r="AT480" t="s">
        <v>9405</v>
      </c>
      <c r="AU480">
        <v>2016</v>
      </c>
      <c r="AV480">
        <v>104</v>
      </c>
      <c r="AW480" t="s">
        <v>1836</v>
      </c>
      <c r="AX480" t="s">
        <v>74</v>
      </c>
      <c r="AY480" t="s">
        <v>74</v>
      </c>
      <c r="AZ480" t="s">
        <v>74</v>
      </c>
      <c r="BA480" t="s">
        <v>74</v>
      </c>
      <c r="BB480">
        <v>207</v>
      </c>
      <c r="BC480">
        <v>210</v>
      </c>
      <c r="BD480" t="s">
        <v>74</v>
      </c>
      <c r="BE480" t="s">
        <v>9422</v>
      </c>
      <c r="BF480" t="str">
        <f>HYPERLINK("http://dx.doi.org/10.1016/j.marpolbul.2016.01.032","http://dx.doi.org/10.1016/j.marpolbul.2016.01.032")</f>
        <v>http://dx.doi.org/10.1016/j.marpolbul.2016.01.032</v>
      </c>
      <c r="BG480" t="s">
        <v>74</v>
      </c>
      <c r="BH480" t="s">
        <v>74</v>
      </c>
      <c r="BI480">
        <v>4</v>
      </c>
      <c r="BJ480" t="s">
        <v>1838</v>
      </c>
      <c r="BK480" t="s">
        <v>102</v>
      </c>
      <c r="BL480" t="s">
        <v>1839</v>
      </c>
      <c r="BM480" t="s">
        <v>9406</v>
      </c>
      <c r="BN480">
        <v>26827096</v>
      </c>
      <c r="BO480" t="s">
        <v>1412</v>
      </c>
      <c r="BP480" t="s">
        <v>74</v>
      </c>
      <c r="BQ480" t="s">
        <v>74</v>
      </c>
      <c r="BR480" t="s">
        <v>106</v>
      </c>
      <c r="BS480" t="s">
        <v>9423</v>
      </c>
      <c r="BT480" t="str">
        <f>HYPERLINK("https%3A%2F%2Fwww.webofscience.com%2Fwos%2Fwoscc%2Ffull-record%2FWOS:000374198100036","View Full Record in Web of Science")</f>
        <v>View Full Record in Web of Science</v>
      </c>
    </row>
    <row r="481" spans="1:72" x14ac:dyDescent="0.15">
      <c r="A481" t="s">
        <v>72</v>
      </c>
      <c r="B481" t="s">
        <v>9424</v>
      </c>
      <c r="C481" t="s">
        <v>74</v>
      </c>
      <c r="D481" t="s">
        <v>74</v>
      </c>
      <c r="E481" t="s">
        <v>74</v>
      </c>
      <c r="F481" t="s">
        <v>9425</v>
      </c>
      <c r="G481" t="s">
        <v>74</v>
      </c>
      <c r="H481" t="s">
        <v>74</v>
      </c>
      <c r="I481" t="s">
        <v>9426</v>
      </c>
      <c r="J481" t="s">
        <v>9427</v>
      </c>
      <c r="K481" t="s">
        <v>74</v>
      </c>
      <c r="L481" t="s">
        <v>74</v>
      </c>
      <c r="M481" t="s">
        <v>78</v>
      </c>
      <c r="N481" t="s">
        <v>79</v>
      </c>
      <c r="O481" t="s">
        <v>74</v>
      </c>
      <c r="P481" t="s">
        <v>74</v>
      </c>
      <c r="Q481" t="s">
        <v>74</v>
      </c>
      <c r="R481" t="s">
        <v>74</v>
      </c>
      <c r="S481" t="s">
        <v>74</v>
      </c>
      <c r="T481" t="s">
        <v>9428</v>
      </c>
      <c r="U481" t="s">
        <v>9429</v>
      </c>
      <c r="V481" t="s">
        <v>9430</v>
      </c>
      <c r="W481" t="s">
        <v>9431</v>
      </c>
      <c r="X481" t="s">
        <v>9432</v>
      </c>
      <c r="Y481" t="s">
        <v>9433</v>
      </c>
      <c r="Z481" t="s">
        <v>9434</v>
      </c>
      <c r="AA481" t="s">
        <v>74</v>
      </c>
      <c r="AB481" t="s">
        <v>74</v>
      </c>
      <c r="AC481" t="s">
        <v>74</v>
      </c>
      <c r="AD481" t="s">
        <v>74</v>
      </c>
      <c r="AE481" t="s">
        <v>74</v>
      </c>
      <c r="AF481" t="s">
        <v>74</v>
      </c>
      <c r="AG481">
        <v>40</v>
      </c>
      <c r="AH481">
        <v>2</v>
      </c>
      <c r="AI481">
        <v>3</v>
      </c>
      <c r="AJ481">
        <v>0</v>
      </c>
      <c r="AK481">
        <v>11</v>
      </c>
      <c r="AL481" t="s">
        <v>678</v>
      </c>
      <c r="AM481" t="s">
        <v>679</v>
      </c>
      <c r="AN481" t="s">
        <v>680</v>
      </c>
      <c r="AO481" t="s">
        <v>9435</v>
      </c>
      <c r="AP481" t="s">
        <v>9436</v>
      </c>
      <c r="AQ481" t="s">
        <v>74</v>
      </c>
      <c r="AR481" t="s">
        <v>9437</v>
      </c>
      <c r="AS481" t="s">
        <v>9438</v>
      </c>
      <c r="AT481" t="s">
        <v>9405</v>
      </c>
      <c r="AU481">
        <v>2016</v>
      </c>
      <c r="AV481">
        <v>57</v>
      </c>
      <c r="AW481">
        <v>6</v>
      </c>
      <c r="AX481" t="s">
        <v>74</v>
      </c>
      <c r="AY481" t="s">
        <v>74</v>
      </c>
      <c r="AZ481" t="s">
        <v>74</v>
      </c>
      <c r="BA481" t="s">
        <v>74</v>
      </c>
      <c r="BB481">
        <v>1319</v>
      </c>
      <c r="BC481">
        <v>1327</v>
      </c>
      <c r="BD481" t="s">
        <v>74</v>
      </c>
      <c r="BE481" t="s">
        <v>9439</v>
      </c>
      <c r="BF481" t="str">
        <f>HYPERLINK("http://dx.doi.org/10.1016/j.asr.2015.05.028","http://dx.doi.org/10.1016/j.asr.2015.05.028")</f>
        <v>http://dx.doi.org/10.1016/j.asr.2015.05.028</v>
      </c>
      <c r="BG481" t="s">
        <v>74</v>
      </c>
      <c r="BH481" t="s">
        <v>74</v>
      </c>
      <c r="BI481">
        <v>9</v>
      </c>
      <c r="BJ481" t="s">
        <v>9440</v>
      </c>
      <c r="BK481" t="s">
        <v>102</v>
      </c>
      <c r="BL481" t="s">
        <v>9441</v>
      </c>
      <c r="BM481" t="s">
        <v>9442</v>
      </c>
      <c r="BN481" t="s">
        <v>74</v>
      </c>
      <c r="BO481" t="s">
        <v>74</v>
      </c>
      <c r="BP481" t="s">
        <v>74</v>
      </c>
      <c r="BQ481" t="s">
        <v>74</v>
      </c>
      <c r="BR481" t="s">
        <v>106</v>
      </c>
      <c r="BS481" t="s">
        <v>9443</v>
      </c>
      <c r="BT481" t="str">
        <f>HYPERLINK("https%3A%2F%2Fwww.webofscience.com%2Fwos%2Fwoscc%2Ffull-record%2FWOS:000372681800006","View Full Record in Web of Science")</f>
        <v>View Full Record in Web of Science</v>
      </c>
    </row>
    <row r="482" spans="1:72" x14ac:dyDescent="0.15">
      <c r="A482" t="s">
        <v>72</v>
      </c>
      <c r="B482" t="s">
        <v>9444</v>
      </c>
      <c r="C482" t="s">
        <v>74</v>
      </c>
      <c r="D482" t="s">
        <v>74</v>
      </c>
      <c r="E482" t="s">
        <v>74</v>
      </c>
      <c r="F482" t="s">
        <v>9445</v>
      </c>
      <c r="G482" t="s">
        <v>74</v>
      </c>
      <c r="H482" t="s">
        <v>74</v>
      </c>
      <c r="I482" t="s">
        <v>9446</v>
      </c>
      <c r="J482" t="s">
        <v>9427</v>
      </c>
      <c r="K482" t="s">
        <v>74</v>
      </c>
      <c r="L482" t="s">
        <v>74</v>
      </c>
      <c r="M482" t="s">
        <v>78</v>
      </c>
      <c r="N482" t="s">
        <v>79</v>
      </c>
      <c r="O482" t="s">
        <v>74</v>
      </c>
      <c r="P482" t="s">
        <v>74</v>
      </c>
      <c r="Q482" t="s">
        <v>74</v>
      </c>
      <c r="R482" t="s">
        <v>74</v>
      </c>
      <c r="S482" t="s">
        <v>74</v>
      </c>
      <c r="T482" t="s">
        <v>9447</v>
      </c>
      <c r="U482" t="s">
        <v>9448</v>
      </c>
      <c r="V482" t="s">
        <v>9449</v>
      </c>
      <c r="W482" t="s">
        <v>9450</v>
      </c>
      <c r="X482" t="s">
        <v>9451</v>
      </c>
      <c r="Y482" t="s">
        <v>9452</v>
      </c>
      <c r="Z482" t="s">
        <v>9453</v>
      </c>
      <c r="AA482" t="s">
        <v>74</v>
      </c>
      <c r="AB482" t="s">
        <v>74</v>
      </c>
      <c r="AC482" t="s">
        <v>74</v>
      </c>
      <c r="AD482" t="s">
        <v>74</v>
      </c>
      <c r="AE482" t="s">
        <v>74</v>
      </c>
      <c r="AF482" t="s">
        <v>74</v>
      </c>
      <c r="AG482">
        <v>30</v>
      </c>
      <c r="AH482">
        <v>0</v>
      </c>
      <c r="AI482">
        <v>0</v>
      </c>
      <c r="AJ482">
        <v>0</v>
      </c>
      <c r="AK482">
        <v>1</v>
      </c>
      <c r="AL482" t="s">
        <v>678</v>
      </c>
      <c r="AM482" t="s">
        <v>679</v>
      </c>
      <c r="AN482" t="s">
        <v>680</v>
      </c>
      <c r="AO482" t="s">
        <v>9435</v>
      </c>
      <c r="AP482" t="s">
        <v>9436</v>
      </c>
      <c r="AQ482" t="s">
        <v>74</v>
      </c>
      <c r="AR482" t="s">
        <v>9437</v>
      </c>
      <c r="AS482" t="s">
        <v>9438</v>
      </c>
      <c r="AT482" t="s">
        <v>9405</v>
      </c>
      <c r="AU482">
        <v>2016</v>
      </c>
      <c r="AV482">
        <v>57</v>
      </c>
      <c r="AW482">
        <v>6</v>
      </c>
      <c r="AX482" t="s">
        <v>74</v>
      </c>
      <c r="AY482" t="s">
        <v>74</v>
      </c>
      <c r="AZ482" t="s">
        <v>74</v>
      </c>
      <c r="BA482" t="s">
        <v>74</v>
      </c>
      <c r="BB482">
        <v>1328</v>
      </c>
      <c r="BC482">
        <v>1337</v>
      </c>
      <c r="BD482" t="s">
        <v>74</v>
      </c>
      <c r="BE482" t="s">
        <v>9454</v>
      </c>
      <c r="BF482" t="str">
        <f>HYPERLINK("http://dx.doi.org/10.1016/j.asr.2015.08.020","http://dx.doi.org/10.1016/j.asr.2015.08.020")</f>
        <v>http://dx.doi.org/10.1016/j.asr.2015.08.020</v>
      </c>
      <c r="BG482" t="s">
        <v>74</v>
      </c>
      <c r="BH482" t="s">
        <v>74</v>
      </c>
      <c r="BI482">
        <v>10</v>
      </c>
      <c r="BJ482" t="s">
        <v>9440</v>
      </c>
      <c r="BK482" t="s">
        <v>102</v>
      </c>
      <c r="BL482" t="s">
        <v>9441</v>
      </c>
      <c r="BM482" t="s">
        <v>9442</v>
      </c>
      <c r="BN482" t="s">
        <v>74</v>
      </c>
      <c r="BO482" t="s">
        <v>74</v>
      </c>
      <c r="BP482" t="s">
        <v>74</v>
      </c>
      <c r="BQ482" t="s">
        <v>74</v>
      </c>
      <c r="BR482" t="s">
        <v>106</v>
      </c>
      <c r="BS482" t="s">
        <v>9455</v>
      </c>
      <c r="BT482" t="str">
        <f>HYPERLINK("https%3A%2F%2Fwww.webofscience.com%2Fwos%2Fwoscc%2Ffull-record%2FWOS:000372681800007","View Full Record in Web of Science")</f>
        <v>View Full Record in Web of Science</v>
      </c>
    </row>
    <row r="483" spans="1:72" x14ac:dyDescent="0.15">
      <c r="A483" t="s">
        <v>72</v>
      </c>
      <c r="B483" t="s">
        <v>9456</v>
      </c>
      <c r="C483" t="s">
        <v>74</v>
      </c>
      <c r="D483" t="s">
        <v>74</v>
      </c>
      <c r="E483" t="s">
        <v>74</v>
      </c>
      <c r="F483" t="s">
        <v>9457</v>
      </c>
      <c r="G483" t="s">
        <v>74</v>
      </c>
      <c r="H483" t="s">
        <v>74</v>
      </c>
      <c r="I483" t="s">
        <v>9458</v>
      </c>
      <c r="J483" t="s">
        <v>9427</v>
      </c>
      <c r="K483" t="s">
        <v>74</v>
      </c>
      <c r="L483" t="s">
        <v>74</v>
      </c>
      <c r="M483" t="s">
        <v>78</v>
      </c>
      <c r="N483" t="s">
        <v>79</v>
      </c>
      <c r="O483" t="s">
        <v>74</v>
      </c>
      <c r="P483" t="s">
        <v>74</v>
      </c>
      <c r="Q483" t="s">
        <v>74</v>
      </c>
      <c r="R483" t="s">
        <v>74</v>
      </c>
      <c r="S483" t="s">
        <v>74</v>
      </c>
      <c r="T483" t="s">
        <v>9459</v>
      </c>
      <c r="U483" t="s">
        <v>9460</v>
      </c>
      <c r="V483" t="s">
        <v>9461</v>
      </c>
      <c r="W483" t="s">
        <v>9462</v>
      </c>
      <c r="X483" t="s">
        <v>9463</v>
      </c>
      <c r="Y483" t="s">
        <v>9464</v>
      </c>
      <c r="Z483" t="s">
        <v>9465</v>
      </c>
      <c r="AA483" t="s">
        <v>9466</v>
      </c>
      <c r="AB483" t="s">
        <v>9467</v>
      </c>
      <c r="AC483" t="s">
        <v>9468</v>
      </c>
      <c r="AD483" t="s">
        <v>9469</v>
      </c>
      <c r="AE483" t="s">
        <v>9470</v>
      </c>
      <c r="AF483" t="s">
        <v>74</v>
      </c>
      <c r="AG483">
        <v>19</v>
      </c>
      <c r="AH483">
        <v>0</v>
      </c>
      <c r="AI483">
        <v>0</v>
      </c>
      <c r="AJ483">
        <v>0</v>
      </c>
      <c r="AK483">
        <v>9</v>
      </c>
      <c r="AL483" t="s">
        <v>678</v>
      </c>
      <c r="AM483" t="s">
        <v>679</v>
      </c>
      <c r="AN483" t="s">
        <v>680</v>
      </c>
      <c r="AO483" t="s">
        <v>9435</v>
      </c>
      <c r="AP483" t="s">
        <v>9436</v>
      </c>
      <c r="AQ483" t="s">
        <v>74</v>
      </c>
      <c r="AR483" t="s">
        <v>9437</v>
      </c>
      <c r="AS483" t="s">
        <v>9438</v>
      </c>
      <c r="AT483" t="s">
        <v>9405</v>
      </c>
      <c r="AU483">
        <v>2016</v>
      </c>
      <c r="AV483">
        <v>57</v>
      </c>
      <c r="AW483">
        <v>6</v>
      </c>
      <c r="AX483" t="s">
        <v>74</v>
      </c>
      <c r="AY483" t="s">
        <v>74</v>
      </c>
      <c r="AZ483" t="s">
        <v>74</v>
      </c>
      <c r="BA483" t="s">
        <v>74</v>
      </c>
      <c r="BB483">
        <v>1338</v>
      </c>
      <c r="BC483">
        <v>1344</v>
      </c>
      <c r="BD483" t="s">
        <v>74</v>
      </c>
      <c r="BE483" t="s">
        <v>9471</v>
      </c>
      <c r="BF483" t="str">
        <f>HYPERLINK("http://dx.doi.org/10.1016/j.asr.2015.08.038","http://dx.doi.org/10.1016/j.asr.2015.08.038")</f>
        <v>http://dx.doi.org/10.1016/j.asr.2015.08.038</v>
      </c>
      <c r="BG483" t="s">
        <v>74</v>
      </c>
      <c r="BH483" t="s">
        <v>74</v>
      </c>
      <c r="BI483">
        <v>7</v>
      </c>
      <c r="BJ483" t="s">
        <v>9440</v>
      </c>
      <c r="BK483" t="s">
        <v>102</v>
      </c>
      <c r="BL483" t="s">
        <v>9441</v>
      </c>
      <c r="BM483" t="s">
        <v>9442</v>
      </c>
      <c r="BN483" t="s">
        <v>74</v>
      </c>
      <c r="BO483" t="s">
        <v>222</v>
      </c>
      <c r="BP483" t="s">
        <v>74</v>
      </c>
      <c r="BQ483" t="s">
        <v>74</v>
      </c>
      <c r="BR483" t="s">
        <v>106</v>
      </c>
      <c r="BS483" t="s">
        <v>9472</v>
      </c>
      <c r="BT483" t="str">
        <f>HYPERLINK("https%3A%2F%2Fwww.webofscience.com%2Fwos%2Fwoscc%2Ffull-record%2FWOS:000372681800008","View Full Record in Web of Science")</f>
        <v>View Full Record in Web of Science</v>
      </c>
    </row>
    <row r="484" spans="1:72" x14ac:dyDescent="0.15">
      <c r="A484" t="s">
        <v>72</v>
      </c>
      <c r="B484" t="s">
        <v>9473</v>
      </c>
      <c r="C484" t="s">
        <v>74</v>
      </c>
      <c r="D484" t="s">
        <v>74</v>
      </c>
      <c r="E484" t="s">
        <v>74</v>
      </c>
      <c r="F484" t="s">
        <v>9474</v>
      </c>
      <c r="G484" t="s">
        <v>74</v>
      </c>
      <c r="H484" t="s">
        <v>74</v>
      </c>
      <c r="I484" t="s">
        <v>9475</v>
      </c>
      <c r="J484" t="s">
        <v>9476</v>
      </c>
      <c r="K484" t="s">
        <v>74</v>
      </c>
      <c r="L484" t="s">
        <v>74</v>
      </c>
      <c r="M484" t="s">
        <v>78</v>
      </c>
      <c r="N484" t="s">
        <v>79</v>
      </c>
      <c r="O484" t="s">
        <v>74</v>
      </c>
      <c r="P484" t="s">
        <v>74</v>
      </c>
      <c r="Q484" t="s">
        <v>74</v>
      </c>
      <c r="R484" t="s">
        <v>74</v>
      </c>
      <c r="S484" t="s">
        <v>74</v>
      </c>
      <c r="T484" t="s">
        <v>9477</v>
      </c>
      <c r="U484" t="s">
        <v>9478</v>
      </c>
      <c r="V484" t="s">
        <v>9479</v>
      </c>
      <c r="W484" t="s">
        <v>9480</v>
      </c>
      <c r="X484" t="s">
        <v>9481</v>
      </c>
      <c r="Y484" t="s">
        <v>9482</v>
      </c>
      <c r="Z484" t="s">
        <v>9483</v>
      </c>
      <c r="AA484" t="s">
        <v>9484</v>
      </c>
      <c r="AB484" t="s">
        <v>9485</v>
      </c>
      <c r="AC484" t="s">
        <v>9486</v>
      </c>
      <c r="AD484" t="s">
        <v>9487</v>
      </c>
      <c r="AE484" t="s">
        <v>9488</v>
      </c>
      <c r="AF484" t="s">
        <v>74</v>
      </c>
      <c r="AG484">
        <v>61</v>
      </c>
      <c r="AH484">
        <v>12</v>
      </c>
      <c r="AI484">
        <v>16</v>
      </c>
      <c r="AJ484">
        <v>0</v>
      </c>
      <c r="AK484">
        <v>23</v>
      </c>
      <c r="AL484" t="s">
        <v>5598</v>
      </c>
      <c r="AM484" t="s">
        <v>1427</v>
      </c>
      <c r="AN484" t="s">
        <v>5599</v>
      </c>
      <c r="AO484" t="s">
        <v>9489</v>
      </c>
      <c r="AP484" t="s">
        <v>74</v>
      </c>
      <c r="AQ484" t="s">
        <v>74</v>
      </c>
      <c r="AR484" t="s">
        <v>9490</v>
      </c>
      <c r="AS484" t="s">
        <v>9491</v>
      </c>
      <c r="AT484" t="s">
        <v>9405</v>
      </c>
      <c r="AU484">
        <v>2016</v>
      </c>
      <c r="AV484">
        <v>5</v>
      </c>
      <c r="AW484">
        <v>3</v>
      </c>
      <c r="AX484" t="s">
        <v>74</v>
      </c>
      <c r="AY484" t="s">
        <v>74</v>
      </c>
      <c r="AZ484" t="s">
        <v>74</v>
      </c>
      <c r="BA484" t="s">
        <v>74</v>
      </c>
      <c r="BB484">
        <v>262</v>
      </c>
      <c r="BC484">
        <v>271</v>
      </c>
      <c r="BD484" t="s">
        <v>74</v>
      </c>
      <c r="BE484" t="s">
        <v>9492</v>
      </c>
      <c r="BF484" t="str">
        <f>HYPERLINK("http://dx.doi.org/10.1242/bio.016659","http://dx.doi.org/10.1242/bio.016659")</f>
        <v>http://dx.doi.org/10.1242/bio.016659</v>
      </c>
      <c r="BG484" t="s">
        <v>74</v>
      </c>
      <c r="BH484" t="s">
        <v>74</v>
      </c>
      <c r="BI484">
        <v>10</v>
      </c>
      <c r="BJ484" t="s">
        <v>3021</v>
      </c>
      <c r="BK484" t="s">
        <v>102</v>
      </c>
      <c r="BL484" t="s">
        <v>3022</v>
      </c>
      <c r="BM484" t="s">
        <v>9493</v>
      </c>
      <c r="BN484">
        <v>26873950</v>
      </c>
      <c r="BO484" t="s">
        <v>818</v>
      </c>
      <c r="BP484" t="s">
        <v>74</v>
      </c>
      <c r="BQ484" t="s">
        <v>74</v>
      </c>
      <c r="BR484" t="s">
        <v>106</v>
      </c>
      <c r="BS484" t="s">
        <v>9494</v>
      </c>
      <c r="BT484" t="str">
        <f>HYPERLINK("https%3A%2F%2Fwww.webofscience.com%2Fwos%2Fwoscc%2Ffull-record%2FWOS:000372304500008","View Full Record in Web of Science")</f>
        <v>View Full Record in Web of Science</v>
      </c>
    </row>
    <row r="485" spans="1:72" x14ac:dyDescent="0.15">
      <c r="A485" t="s">
        <v>72</v>
      </c>
      <c r="B485" t="s">
        <v>9495</v>
      </c>
      <c r="C485" t="s">
        <v>74</v>
      </c>
      <c r="D485" t="s">
        <v>74</v>
      </c>
      <c r="E485" t="s">
        <v>74</v>
      </c>
      <c r="F485" t="s">
        <v>9496</v>
      </c>
      <c r="G485" t="s">
        <v>74</v>
      </c>
      <c r="H485" t="s">
        <v>74</v>
      </c>
      <c r="I485" t="s">
        <v>9497</v>
      </c>
      <c r="J485" t="s">
        <v>9498</v>
      </c>
      <c r="K485" t="s">
        <v>74</v>
      </c>
      <c r="L485" t="s">
        <v>74</v>
      </c>
      <c r="M485" t="s">
        <v>78</v>
      </c>
      <c r="N485" t="s">
        <v>79</v>
      </c>
      <c r="O485" t="s">
        <v>74</v>
      </c>
      <c r="P485" t="s">
        <v>74</v>
      </c>
      <c r="Q485" t="s">
        <v>74</v>
      </c>
      <c r="R485" t="s">
        <v>74</v>
      </c>
      <c r="S485" t="s">
        <v>74</v>
      </c>
      <c r="T485" t="s">
        <v>9499</v>
      </c>
      <c r="U485" t="s">
        <v>9500</v>
      </c>
      <c r="V485" t="s">
        <v>9501</v>
      </c>
      <c r="W485" t="s">
        <v>9502</v>
      </c>
      <c r="X485" t="s">
        <v>9503</v>
      </c>
      <c r="Y485" t="s">
        <v>9504</v>
      </c>
      <c r="Z485" t="s">
        <v>9505</v>
      </c>
      <c r="AA485" t="s">
        <v>9506</v>
      </c>
      <c r="AB485" t="s">
        <v>9507</v>
      </c>
      <c r="AC485" t="s">
        <v>9508</v>
      </c>
      <c r="AD485" t="s">
        <v>5285</v>
      </c>
      <c r="AE485" t="s">
        <v>9509</v>
      </c>
      <c r="AF485" t="s">
        <v>74</v>
      </c>
      <c r="AG485">
        <v>47</v>
      </c>
      <c r="AH485">
        <v>7</v>
      </c>
      <c r="AI485">
        <v>7</v>
      </c>
      <c r="AJ485">
        <v>0</v>
      </c>
      <c r="AK485">
        <v>10</v>
      </c>
      <c r="AL485" t="s">
        <v>9510</v>
      </c>
      <c r="AM485" t="s">
        <v>455</v>
      </c>
      <c r="AN485" t="s">
        <v>9511</v>
      </c>
      <c r="AO485" t="s">
        <v>9512</v>
      </c>
      <c r="AP485" t="s">
        <v>9513</v>
      </c>
      <c r="AQ485" t="s">
        <v>74</v>
      </c>
      <c r="AR485" t="s">
        <v>9514</v>
      </c>
      <c r="AS485" t="s">
        <v>9515</v>
      </c>
      <c r="AT485" t="s">
        <v>9405</v>
      </c>
      <c r="AU485">
        <v>2016</v>
      </c>
      <c r="AV485">
        <v>22</v>
      </c>
      <c r="AW485">
        <v>3</v>
      </c>
      <c r="AX485" t="s">
        <v>74</v>
      </c>
      <c r="AY485" t="s">
        <v>74</v>
      </c>
      <c r="AZ485" t="s">
        <v>74</v>
      </c>
      <c r="BA485" t="s">
        <v>74</v>
      </c>
      <c r="BB485">
        <v>214</v>
      </c>
      <c r="BC485">
        <v>227</v>
      </c>
      <c r="BD485" t="s">
        <v>74</v>
      </c>
      <c r="BE485" t="s">
        <v>9516</v>
      </c>
      <c r="BF485" t="str">
        <f>HYPERLINK("http://dx.doi.org/10.1080/13527258.2015.1114010","http://dx.doi.org/10.1080/13527258.2015.1114010")</f>
        <v>http://dx.doi.org/10.1080/13527258.2015.1114010</v>
      </c>
      <c r="BG485" t="s">
        <v>74</v>
      </c>
      <c r="BH485" t="s">
        <v>74</v>
      </c>
      <c r="BI485">
        <v>14</v>
      </c>
      <c r="BJ485" t="s">
        <v>9517</v>
      </c>
      <c r="BK485" t="s">
        <v>9518</v>
      </c>
      <c r="BL485" t="s">
        <v>9519</v>
      </c>
      <c r="BM485" t="s">
        <v>9520</v>
      </c>
      <c r="BN485" t="s">
        <v>74</v>
      </c>
      <c r="BO485" t="s">
        <v>74</v>
      </c>
      <c r="BP485" t="s">
        <v>74</v>
      </c>
      <c r="BQ485" t="s">
        <v>74</v>
      </c>
      <c r="BR485" t="s">
        <v>106</v>
      </c>
      <c r="BS485" t="s">
        <v>9521</v>
      </c>
      <c r="BT485" t="str">
        <f>HYPERLINK("https%3A%2F%2Fwww.webofscience.com%2Fwos%2Fwoscc%2Ffull-record%2FWOS:000371821500003","View Full Record in Web of Science")</f>
        <v>View Full Record in Web of Science</v>
      </c>
    </row>
    <row r="486" spans="1:72" x14ac:dyDescent="0.15">
      <c r="A486" t="s">
        <v>72</v>
      </c>
      <c r="B486" t="s">
        <v>9522</v>
      </c>
      <c r="C486" t="s">
        <v>74</v>
      </c>
      <c r="D486" t="s">
        <v>74</v>
      </c>
      <c r="E486" t="s">
        <v>74</v>
      </c>
      <c r="F486" t="s">
        <v>9523</v>
      </c>
      <c r="G486" t="s">
        <v>74</v>
      </c>
      <c r="H486" t="s">
        <v>74</v>
      </c>
      <c r="I486" t="s">
        <v>9524</v>
      </c>
      <c r="J486" t="s">
        <v>1868</v>
      </c>
      <c r="K486" t="s">
        <v>74</v>
      </c>
      <c r="L486" t="s">
        <v>74</v>
      </c>
      <c r="M486" t="s">
        <v>78</v>
      </c>
      <c r="N486" t="s">
        <v>79</v>
      </c>
      <c r="O486" t="s">
        <v>74</v>
      </c>
      <c r="P486" t="s">
        <v>74</v>
      </c>
      <c r="Q486" t="s">
        <v>74</v>
      </c>
      <c r="R486" t="s">
        <v>74</v>
      </c>
      <c r="S486" t="s">
        <v>74</v>
      </c>
      <c r="T486" t="s">
        <v>9525</v>
      </c>
      <c r="U486" t="s">
        <v>9526</v>
      </c>
      <c r="V486" t="s">
        <v>9527</v>
      </c>
      <c r="W486" t="s">
        <v>9528</v>
      </c>
      <c r="X486" t="s">
        <v>9529</v>
      </c>
      <c r="Y486" t="s">
        <v>9530</v>
      </c>
      <c r="Z486" t="s">
        <v>9531</v>
      </c>
      <c r="AA486" t="s">
        <v>9532</v>
      </c>
      <c r="AB486" t="s">
        <v>9533</v>
      </c>
      <c r="AC486" t="s">
        <v>9534</v>
      </c>
      <c r="AD486" t="s">
        <v>9534</v>
      </c>
      <c r="AE486" t="s">
        <v>9535</v>
      </c>
      <c r="AF486" t="s">
        <v>74</v>
      </c>
      <c r="AG486">
        <v>114</v>
      </c>
      <c r="AH486">
        <v>5</v>
      </c>
      <c r="AI486">
        <v>5</v>
      </c>
      <c r="AJ486">
        <v>1</v>
      </c>
      <c r="AK486">
        <v>25</v>
      </c>
      <c r="AL486" t="s">
        <v>582</v>
      </c>
      <c r="AM486" t="s">
        <v>583</v>
      </c>
      <c r="AN486" t="s">
        <v>584</v>
      </c>
      <c r="AO486" t="s">
        <v>1876</v>
      </c>
      <c r="AP486" t="s">
        <v>1877</v>
      </c>
      <c r="AQ486" t="s">
        <v>74</v>
      </c>
      <c r="AR486" t="s">
        <v>1878</v>
      </c>
      <c r="AS486" t="s">
        <v>1879</v>
      </c>
      <c r="AT486" t="s">
        <v>9405</v>
      </c>
      <c r="AU486">
        <v>2016</v>
      </c>
      <c r="AV486">
        <v>446</v>
      </c>
      <c r="AW486" t="s">
        <v>74</v>
      </c>
      <c r="AX486" t="s">
        <v>74</v>
      </c>
      <c r="AY486" t="s">
        <v>74</v>
      </c>
      <c r="AZ486" t="s">
        <v>74</v>
      </c>
      <c r="BA486" t="s">
        <v>74</v>
      </c>
      <c r="BB486">
        <v>19</v>
      </c>
      <c r="BC486">
        <v>31</v>
      </c>
      <c r="BD486" t="s">
        <v>74</v>
      </c>
      <c r="BE486" t="s">
        <v>9536</v>
      </c>
      <c r="BF486" t="str">
        <f>HYPERLINK("http://dx.doi.org/10.1016/j.palaeo.2016.01.007","http://dx.doi.org/10.1016/j.palaeo.2016.01.007")</f>
        <v>http://dx.doi.org/10.1016/j.palaeo.2016.01.007</v>
      </c>
      <c r="BG486" t="s">
        <v>74</v>
      </c>
      <c r="BH486" t="s">
        <v>74</v>
      </c>
      <c r="BI486">
        <v>13</v>
      </c>
      <c r="BJ486" t="s">
        <v>1881</v>
      </c>
      <c r="BK486" t="s">
        <v>102</v>
      </c>
      <c r="BL486" t="s">
        <v>1882</v>
      </c>
      <c r="BM486" t="s">
        <v>9537</v>
      </c>
      <c r="BN486" t="s">
        <v>74</v>
      </c>
      <c r="BO486" t="s">
        <v>74</v>
      </c>
      <c r="BP486" t="s">
        <v>74</v>
      </c>
      <c r="BQ486" t="s">
        <v>74</v>
      </c>
      <c r="BR486" t="s">
        <v>106</v>
      </c>
      <c r="BS486" t="s">
        <v>9538</v>
      </c>
      <c r="BT486" t="str">
        <f>HYPERLINK("https%3A%2F%2Fwww.webofscience.com%2Fwos%2Fwoscc%2Ffull-record%2FWOS:000371553000003","View Full Record in Web of Science")</f>
        <v>View Full Record in Web of Science</v>
      </c>
    </row>
    <row r="487" spans="1:72" x14ac:dyDescent="0.15">
      <c r="A487" t="s">
        <v>72</v>
      </c>
      <c r="B487" t="s">
        <v>9539</v>
      </c>
      <c r="C487" t="s">
        <v>74</v>
      </c>
      <c r="D487" t="s">
        <v>74</v>
      </c>
      <c r="E487" t="s">
        <v>74</v>
      </c>
      <c r="F487" t="s">
        <v>9540</v>
      </c>
      <c r="G487" t="s">
        <v>74</v>
      </c>
      <c r="H487" t="s">
        <v>74</v>
      </c>
      <c r="I487" t="s">
        <v>9541</v>
      </c>
      <c r="J487" t="s">
        <v>1868</v>
      </c>
      <c r="K487" t="s">
        <v>74</v>
      </c>
      <c r="L487" t="s">
        <v>74</v>
      </c>
      <c r="M487" t="s">
        <v>78</v>
      </c>
      <c r="N487" t="s">
        <v>79</v>
      </c>
      <c r="O487" t="s">
        <v>74</v>
      </c>
      <c r="P487" t="s">
        <v>74</v>
      </c>
      <c r="Q487" t="s">
        <v>74</v>
      </c>
      <c r="R487" t="s">
        <v>74</v>
      </c>
      <c r="S487" t="s">
        <v>74</v>
      </c>
      <c r="T487" t="s">
        <v>9542</v>
      </c>
      <c r="U487" t="s">
        <v>9543</v>
      </c>
      <c r="V487" t="s">
        <v>9544</v>
      </c>
      <c r="W487" t="s">
        <v>9545</v>
      </c>
      <c r="X487" t="s">
        <v>9546</v>
      </c>
      <c r="Y487" t="s">
        <v>9547</v>
      </c>
      <c r="Z487" t="s">
        <v>9548</v>
      </c>
      <c r="AA487" t="s">
        <v>9549</v>
      </c>
      <c r="AB487" t="s">
        <v>9550</v>
      </c>
      <c r="AC487" t="s">
        <v>9551</v>
      </c>
      <c r="AD487" t="s">
        <v>9552</v>
      </c>
      <c r="AE487" t="s">
        <v>9553</v>
      </c>
      <c r="AF487" t="s">
        <v>74</v>
      </c>
      <c r="AG487">
        <v>55</v>
      </c>
      <c r="AH487">
        <v>9</v>
      </c>
      <c r="AI487">
        <v>9</v>
      </c>
      <c r="AJ487">
        <v>0</v>
      </c>
      <c r="AK487">
        <v>15</v>
      </c>
      <c r="AL487" t="s">
        <v>582</v>
      </c>
      <c r="AM487" t="s">
        <v>583</v>
      </c>
      <c r="AN487" t="s">
        <v>584</v>
      </c>
      <c r="AO487" t="s">
        <v>1876</v>
      </c>
      <c r="AP487" t="s">
        <v>1877</v>
      </c>
      <c r="AQ487" t="s">
        <v>74</v>
      </c>
      <c r="AR487" t="s">
        <v>1878</v>
      </c>
      <c r="AS487" t="s">
        <v>1879</v>
      </c>
      <c r="AT487" t="s">
        <v>9405</v>
      </c>
      <c r="AU487">
        <v>2016</v>
      </c>
      <c r="AV487">
        <v>446</v>
      </c>
      <c r="AW487" t="s">
        <v>74</v>
      </c>
      <c r="AX487" t="s">
        <v>74</v>
      </c>
      <c r="AY487" t="s">
        <v>74</v>
      </c>
      <c r="AZ487" t="s">
        <v>74</v>
      </c>
      <c r="BA487" t="s">
        <v>74</v>
      </c>
      <c r="BB487">
        <v>205</v>
      </c>
      <c r="BC487">
        <v>212</v>
      </c>
      <c r="BD487" t="s">
        <v>74</v>
      </c>
      <c r="BE487" t="s">
        <v>9554</v>
      </c>
      <c r="BF487" t="str">
        <f>HYPERLINK("http://dx.doi.org/10.1016/j.palaeo.2016.01.026","http://dx.doi.org/10.1016/j.palaeo.2016.01.026")</f>
        <v>http://dx.doi.org/10.1016/j.palaeo.2016.01.026</v>
      </c>
      <c r="BG487" t="s">
        <v>74</v>
      </c>
      <c r="BH487" t="s">
        <v>74</v>
      </c>
      <c r="BI487">
        <v>8</v>
      </c>
      <c r="BJ487" t="s">
        <v>1881</v>
      </c>
      <c r="BK487" t="s">
        <v>102</v>
      </c>
      <c r="BL487" t="s">
        <v>1882</v>
      </c>
      <c r="BM487" t="s">
        <v>9537</v>
      </c>
      <c r="BN487" t="s">
        <v>74</v>
      </c>
      <c r="BO487" t="s">
        <v>74</v>
      </c>
      <c r="BP487" t="s">
        <v>74</v>
      </c>
      <c r="BQ487" t="s">
        <v>74</v>
      </c>
      <c r="BR487" t="s">
        <v>106</v>
      </c>
      <c r="BS487" t="s">
        <v>9555</v>
      </c>
      <c r="BT487" t="str">
        <f>HYPERLINK("https%3A%2F%2Fwww.webofscience.com%2Fwos%2Fwoscc%2Ffull-record%2FWOS:000371553000019","View Full Record in Web of Science")</f>
        <v>View Full Record in Web of Science</v>
      </c>
    </row>
    <row r="488" spans="1:72" x14ac:dyDescent="0.15">
      <c r="A488" t="s">
        <v>72</v>
      </c>
      <c r="B488" t="s">
        <v>9556</v>
      </c>
      <c r="C488" t="s">
        <v>74</v>
      </c>
      <c r="D488" t="s">
        <v>74</v>
      </c>
      <c r="E488" t="s">
        <v>74</v>
      </c>
      <c r="F488" t="s">
        <v>9557</v>
      </c>
      <c r="G488" t="s">
        <v>74</v>
      </c>
      <c r="H488" t="s">
        <v>74</v>
      </c>
      <c r="I488" t="s">
        <v>9558</v>
      </c>
      <c r="J488" t="s">
        <v>5097</v>
      </c>
      <c r="K488" t="s">
        <v>74</v>
      </c>
      <c r="L488" t="s">
        <v>74</v>
      </c>
      <c r="M488" t="s">
        <v>78</v>
      </c>
      <c r="N488" t="s">
        <v>79</v>
      </c>
      <c r="O488" t="s">
        <v>74</v>
      </c>
      <c r="P488" t="s">
        <v>74</v>
      </c>
      <c r="Q488" t="s">
        <v>74</v>
      </c>
      <c r="R488" t="s">
        <v>74</v>
      </c>
      <c r="S488" t="s">
        <v>74</v>
      </c>
      <c r="T488" t="s">
        <v>74</v>
      </c>
      <c r="U488" t="s">
        <v>9559</v>
      </c>
      <c r="V488" t="s">
        <v>9560</v>
      </c>
      <c r="W488" t="s">
        <v>9561</v>
      </c>
      <c r="X488" t="s">
        <v>9562</v>
      </c>
      <c r="Y488" t="s">
        <v>9563</v>
      </c>
      <c r="Z488" t="s">
        <v>9564</v>
      </c>
      <c r="AA488" t="s">
        <v>9565</v>
      </c>
      <c r="AB488" t="s">
        <v>9566</v>
      </c>
      <c r="AC488" t="s">
        <v>9567</v>
      </c>
      <c r="AD488" t="s">
        <v>9568</v>
      </c>
      <c r="AE488" t="s">
        <v>9569</v>
      </c>
      <c r="AF488" t="s">
        <v>74</v>
      </c>
      <c r="AG488">
        <v>70</v>
      </c>
      <c r="AH488">
        <v>16</v>
      </c>
      <c r="AI488">
        <v>19</v>
      </c>
      <c r="AJ488">
        <v>0</v>
      </c>
      <c r="AK488">
        <v>37</v>
      </c>
      <c r="AL488" t="s">
        <v>1829</v>
      </c>
      <c r="AM488" t="s">
        <v>679</v>
      </c>
      <c r="AN488" t="s">
        <v>1830</v>
      </c>
      <c r="AO488" t="s">
        <v>5107</v>
      </c>
      <c r="AP488" t="s">
        <v>5108</v>
      </c>
      <c r="AQ488" t="s">
        <v>74</v>
      </c>
      <c r="AR488" t="s">
        <v>5109</v>
      </c>
      <c r="AS488" t="s">
        <v>5110</v>
      </c>
      <c r="AT488" t="s">
        <v>9405</v>
      </c>
      <c r="AU488">
        <v>2016</v>
      </c>
      <c r="AV488">
        <v>177</v>
      </c>
      <c r="AW488" t="s">
        <v>74</v>
      </c>
      <c r="AX488" t="s">
        <v>74</v>
      </c>
      <c r="AY488" t="s">
        <v>74</v>
      </c>
      <c r="AZ488" t="s">
        <v>74</v>
      </c>
      <c r="BA488" t="s">
        <v>74</v>
      </c>
      <c r="BB488">
        <v>62</v>
      </c>
      <c r="BC488">
        <v>77</v>
      </c>
      <c r="BD488" t="s">
        <v>74</v>
      </c>
      <c r="BE488" t="s">
        <v>9570</v>
      </c>
      <c r="BF488" t="str">
        <f>HYPERLINK("http://dx.doi.org/10.1016/j.gca.2016.01.004","http://dx.doi.org/10.1016/j.gca.2016.01.004")</f>
        <v>http://dx.doi.org/10.1016/j.gca.2016.01.004</v>
      </c>
      <c r="BG488" t="s">
        <v>74</v>
      </c>
      <c r="BH488" t="s">
        <v>74</v>
      </c>
      <c r="BI488">
        <v>16</v>
      </c>
      <c r="BJ488" t="s">
        <v>727</v>
      </c>
      <c r="BK488" t="s">
        <v>102</v>
      </c>
      <c r="BL488" t="s">
        <v>727</v>
      </c>
      <c r="BM488" t="s">
        <v>9571</v>
      </c>
      <c r="BN488" t="s">
        <v>74</v>
      </c>
      <c r="BO488" t="s">
        <v>9572</v>
      </c>
      <c r="BP488" t="s">
        <v>74</v>
      </c>
      <c r="BQ488" t="s">
        <v>74</v>
      </c>
      <c r="BR488" t="s">
        <v>106</v>
      </c>
      <c r="BS488" t="s">
        <v>9573</v>
      </c>
      <c r="BT488" t="str">
        <f>HYPERLINK("https%3A%2F%2Fwww.webofscience.com%2Fwos%2Fwoscc%2Ffull-record%2FWOS:000370969700004","View Full Record in Web of Science")</f>
        <v>View Full Record in Web of Science</v>
      </c>
    </row>
    <row r="489" spans="1:72" x14ac:dyDescent="0.15">
      <c r="A489" t="s">
        <v>72</v>
      </c>
      <c r="B489" t="s">
        <v>9574</v>
      </c>
      <c r="C489" t="s">
        <v>74</v>
      </c>
      <c r="D489" t="s">
        <v>74</v>
      </c>
      <c r="E489" t="s">
        <v>74</v>
      </c>
      <c r="F489" t="s">
        <v>9575</v>
      </c>
      <c r="G489" t="s">
        <v>74</v>
      </c>
      <c r="H489" t="s">
        <v>74</v>
      </c>
      <c r="I489" t="s">
        <v>9576</v>
      </c>
      <c r="J489" t="s">
        <v>5664</v>
      </c>
      <c r="K489" t="s">
        <v>74</v>
      </c>
      <c r="L489" t="s">
        <v>74</v>
      </c>
      <c r="M489" t="s">
        <v>78</v>
      </c>
      <c r="N489" t="s">
        <v>79</v>
      </c>
      <c r="O489" t="s">
        <v>74</v>
      </c>
      <c r="P489" t="s">
        <v>74</v>
      </c>
      <c r="Q489" t="s">
        <v>74</v>
      </c>
      <c r="R489" t="s">
        <v>74</v>
      </c>
      <c r="S489" t="s">
        <v>74</v>
      </c>
      <c r="T489" t="s">
        <v>9577</v>
      </c>
      <c r="U489" t="s">
        <v>9578</v>
      </c>
      <c r="V489" t="s">
        <v>9579</v>
      </c>
      <c r="W489" t="s">
        <v>9580</v>
      </c>
      <c r="X489" t="s">
        <v>9581</v>
      </c>
      <c r="Y489" t="s">
        <v>9582</v>
      </c>
      <c r="Z489" t="s">
        <v>9583</v>
      </c>
      <c r="AA489" t="s">
        <v>9584</v>
      </c>
      <c r="AB489" t="s">
        <v>9585</v>
      </c>
      <c r="AC489" t="s">
        <v>9586</v>
      </c>
      <c r="AD489" t="s">
        <v>9587</v>
      </c>
      <c r="AE489" t="s">
        <v>9588</v>
      </c>
      <c r="AF489" t="s">
        <v>74</v>
      </c>
      <c r="AG489">
        <v>25</v>
      </c>
      <c r="AH489">
        <v>8</v>
      </c>
      <c r="AI489">
        <v>8</v>
      </c>
      <c r="AJ489">
        <v>2</v>
      </c>
      <c r="AK489">
        <v>51</v>
      </c>
      <c r="AL489" t="s">
        <v>5677</v>
      </c>
      <c r="AM489" t="s">
        <v>773</v>
      </c>
      <c r="AN489" t="s">
        <v>5678</v>
      </c>
      <c r="AO489" t="s">
        <v>5679</v>
      </c>
      <c r="AP489" t="s">
        <v>5680</v>
      </c>
      <c r="AQ489" t="s">
        <v>74</v>
      </c>
      <c r="AR489" t="s">
        <v>5681</v>
      </c>
      <c r="AS489" t="s">
        <v>5682</v>
      </c>
      <c r="AT489" t="s">
        <v>9405</v>
      </c>
      <c r="AU489">
        <v>2016</v>
      </c>
      <c r="AV489">
        <v>169</v>
      </c>
      <c r="AW489" t="s">
        <v>74</v>
      </c>
      <c r="AX489" t="s">
        <v>74</v>
      </c>
      <c r="AY489" t="s">
        <v>74</v>
      </c>
      <c r="AZ489" t="s">
        <v>74</v>
      </c>
      <c r="BA489" t="s">
        <v>74</v>
      </c>
      <c r="BB489">
        <v>145</v>
      </c>
      <c r="BC489">
        <v>154</v>
      </c>
      <c r="BD489" t="s">
        <v>74</v>
      </c>
      <c r="BE489" t="s">
        <v>9589</v>
      </c>
      <c r="BF489" t="str">
        <f>HYPERLINK("http://dx.doi.org/10.1016/j.jenvman.2015.12.002","http://dx.doi.org/10.1016/j.jenvman.2015.12.002")</f>
        <v>http://dx.doi.org/10.1016/j.jenvman.2015.12.002</v>
      </c>
      <c r="BG489" t="s">
        <v>74</v>
      </c>
      <c r="BH489" t="s">
        <v>74</v>
      </c>
      <c r="BI489">
        <v>10</v>
      </c>
      <c r="BJ489" t="s">
        <v>464</v>
      </c>
      <c r="BK489" t="s">
        <v>102</v>
      </c>
      <c r="BL489" t="s">
        <v>465</v>
      </c>
      <c r="BM489" t="s">
        <v>9590</v>
      </c>
      <c r="BN489">
        <v>26735866</v>
      </c>
      <c r="BO489" t="s">
        <v>74</v>
      </c>
      <c r="BP489" t="s">
        <v>74</v>
      </c>
      <c r="BQ489" t="s">
        <v>74</v>
      </c>
      <c r="BR489" t="s">
        <v>106</v>
      </c>
      <c r="BS489" t="s">
        <v>9591</v>
      </c>
      <c r="BT489" t="str">
        <f>HYPERLINK("https%3A%2F%2Fwww.webofscience.com%2Fwos%2Fwoscc%2Ffull-record%2FWOS:000370909500016","View Full Record in Web of Science")</f>
        <v>View Full Record in Web of Science</v>
      </c>
    </row>
    <row r="490" spans="1:72" x14ac:dyDescent="0.15">
      <c r="A490" t="s">
        <v>72</v>
      </c>
      <c r="B490" t="s">
        <v>9592</v>
      </c>
      <c r="C490" t="s">
        <v>74</v>
      </c>
      <c r="D490" t="s">
        <v>74</v>
      </c>
      <c r="E490" t="s">
        <v>74</v>
      </c>
      <c r="F490" t="s">
        <v>9593</v>
      </c>
      <c r="G490" t="s">
        <v>74</v>
      </c>
      <c r="H490" t="s">
        <v>74</v>
      </c>
      <c r="I490" t="s">
        <v>9594</v>
      </c>
      <c r="J490" t="s">
        <v>4877</v>
      </c>
      <c r="K490" t="s">
        <v>74</v>
      </c>
      <c r="L490" t="s">
        <v>74</v>
      </c>
      <c r="M490" t="s">
        <v>78</v>
      </c>
      <c r="N490" t="s">
        <v>79</v>
      </c>
      <c r="O490" t="s">
        <v>74</v>
      </c>
      <c r="P490" t="s">
        <v>74</v>
      </c>
      <c r="Q490" t="s">
        <v>74</v>
      </c>
      <c r="R490" t="s">
        <v>74</v>
      </c>
      <c r="S490" t="s">
        <v>74</v>
      </c>
      <c r="T490" t="s">
        <v>9595</v>
      </c>
      <c r="U490" t="s">
        <v>9596</v>
      </c>
      <c r="V490" t="s">
        <v>9597</v>
      </c>
      <c r="W490" t="s">
        <v>9598</v>
      </c>
      <c r="X490" t="s">
        <v>9599</v>
      </c>
      <c r="Y490" t="s">
        <v>9600</v>
      </c>
      <c r="Z490" t="s">
        <v>74</v>
      </c>
      <c r="AA490" t="s">
        <v>9601</v>
      </c>
      <c r="AB490" t="s">
        <v>74</v>
      </c>
      <c r="AC490" t="s">
        <v>9602</v>
      </c>
      <c r="AD490" t="s">
        <v>9603</v>
      </c>
      <c r="AE490" t="s">
        <v>9604</v>
      </c>
      <c r="AF490" t="s">
        <v>74</v>
      </c>
      <c r="AG490">
        <v>39</v>
      </c>
      <c r="AH490">
        <v>10</v>
      </c>
      <c r="AI490">
        <v>12</v>
      </c>
      <c r="AJ490">
        <v>0</v>
      </c>
      <c r="AK490">
        <v>47</v>
      </c>
      <c r="AL490" t="s">
        <v>2034</v>
      </c>
      <c r="AM490" t="s">
        <v>262</v>
      </c>
      <c r="AN490" t="s">
        <v>2035</v>
      </c>
      <c r="AO490" t="s">
        <v>4889</v>
      </c>
      <c r="AP490" t="s">
        <v>4890</v>
      </c>
      <c r="AQ490" t="s">
        <v>74</v>
      </c>
      <c r="AR490" t="s">
        <v>4891</v>
      </c>
      <c r="AS490" t="s">
        <v>4892</v>
      </c>
      <c r="AT490" t="s">
        <v>9405</v>
      </c>
      <c r="AU490">
        <v>2016</v>
      </c>
      <c r="AV490">
        <v>175</v>
      </c>
      <c r="AW490" t="s">
        <v>74</v>
      </c>
      <c r="AX490" t="s">
        <v>74</v>
      </c>
      <c r="AY490" t="s">
        <v>74</v>
      </c>
      <c r="AZ490" t="s">
        <v>74</v>
      </c>
      <c r="BA490" t="s">
        <v>74</v>
      </c>
      <c r="BB490">
        <v>158</v>
      </c>
      <c r="BC490">
        <v>166</v>
      </c>
      <c r="BD490" t="s">
        <v>74</v>
      </c>
      <c r="BE490" t="s">
        <v>9605</v>
      </c>
      <c r="BF490" t="str">
        <f>HYPERLINK("http://dx.doi.org/10.1016/j.rse.2015.12.049","http://dx.doi.org/10.1016/j.rse.2015.12.049")</f>
        <v>http://dx.doi.org/10.1016/j.rse.2015.12.049</v>
      </c>
      <c r="BG490" t="s">
        <v>74</v>
      </c>
      <c r="BH490" t="s">
        <v>74</v>
      </c>
      <c r="BI490">
        <v>9</v>
      </c>
      <c r="BJ490" t="s">
        <v>4894</v>
      </c>
      <c r="BK490" t="s">
        <v>102</v>
      </c>
      <c r="BL490" t="s">
        <v>4895</v>
      </c>
      <c r="BM490" t="s">
        <v>9606</v>
      </c>
      <c r="BN490" t="s">
        <v>74</v>
      </c>
      <c r="BO490" t="s">
        <v>222</v>
      </c>
      <c r="BP490" t="s">
        <v>74</v>
      </c>
      <c r="BQ490" t="s">
        <v>74</v>
      </c>
      <c r="BR490" t="s">
        <v>106</v>
      </c>
      <c r="BS490" t="s">
        <v>9607</v>
      </c>
      <c r="BT490" t="str">
        <f>HYPERLINK("https%3A%2F%2Fwww.webofscience.com%2Fwos%2Fwoscc%2Ffull-record%2FWOS:000371000000014","View Full Record in Web of Science")</f>
        <v>View Full Record in Web of Science</v>
      </c>
    </row>
    <row r="491" spans="1:72" x14ac:dyDescent="0.15">
      <c r="A491" t="s">
        <v>72</v>
      </c>
      <c r="B491" t="s">
        <v>9608</v>
      </c>
      <c r="C491" t="s">
        <v>74</v>
      </c>
      <c r="D491" t="s">
        <v>74</v>
      </c>
      <c r="E491" t="s">
        <v>74</v>
      </c>
      <c r="F491" t="s">
        <v>9609</v>
      </c>
      <c r="G491" t="s">
        <v>74</v>
      </c>
      <c r="H491" t="s">
        <v>74</v>
      </c>
      <c r="I491" t="s">
        <v>9610</v>
      </c>
      <c r="J491" t="s">
        <v>9611</v>
      </c>
      <c r="K491" t="s">
        <v>74</v>
      </c>
      <c r="L491" t="s">
        <v>74</v>
      </c>
      <c r="M491" t="s">
        <v>78</v>
      </c>
      <c r="N491" t="s">
        <v>79</v>
      </c>
      <c r="O491" t="s">
        <v>74</v>
      </c>
      <c r="P491" t="s">
        <v>74</v>
      </c>
      <c r="Q491" t="s">
        <v>74</v>
      </c>
      <c r="R491" t="s">
        <v>74</v>
      </c>
      <c r="S491" t="s">
        <v>74</v>
      </c>
      <c r="T491" t="s">
        <v>9612</v>
      </c>
      <c r="U491" t="s">
        <v>9613</v>
      </c>
      <c r="V491" t="s">
        <v>9614</v>
      </c>
      <c r="W491" t="s">
        <v>9615</v>
      </c>
      <c r="X491" t="s">
        <v>9616</v>
      </c>
      <c r="Y491" t="s">
        <v>9617</v>
      </c>
      <c r="Z491" t="s">
        <v>9618</v>
      </c>
      <c r="AA491" t="s">
        <v>9619</v>
      </c>
      <c r="AB491" t="s">
        <v>9620</v>
      </c>
      <c r="AC491" t="s">
        <v>9621</v>
      </c>
      <c r="AD491" t="s">
        <v>9622</v>
      </c>
      <c r="AE491" t="s">
        <v>9623</v>
      </c>
      <c r="AF491" t="s">
        <v>74</v>
      </c>
      <c r="AG491">
        <v>73</v>
      </c>
      <c r="AH491">
        <v>17</v>
      </c>
      <c r="AI491">
        <v>19</v>
      </c>
      <c r="AJ491">
        <v>1</v>
      </c>
      <c r="AK491">
        <v>85</v>
      </c>
      <c r="AL491" t="s">
        <v>1337</v>
      </c>
      <c r="AM491" t="s">
        <v>773</v>
      </c>
      <c r="AN491" t="s">
        <v>1338</v>
      </c>
      <c r="AO491" t="s">
        <v>9624</v>
      </c>
      <c r="AP491" t="s">
        <v>74</v>
      </c>
      <c r="AQ491" t="s">
        <v>74</v>
      </c>
      <c r="AR491" t="s">
        <v>9625</v>
      </c>
      <c r="AS491" t="s">
        <v>9626</v>
      </c>
      <c r="AT491" t="s">
        <v>9405</v>
      </c>
      <c r="AU491">
        <v>2016</v>
      </c>
      <c r="AV491">
        <v>16</v>
      </c>
      <c r="AW491" t="s">
        <v>74</v>
      </c>
      <c r="AX491" t="s">
        <v>74</v>
      </c>
      <c r="AY491" t="s">
        <v>74</v>
      </c>
      <c r="AZ491" t="s">
        <v>74</v>
      </c>
      <c r="BA491" t="s">
        <v>74</v>
      </c>
      <c r="BB491" t="s">
        <v>74</v>
      </c>
      <c r="BC491" t="s">
        <v>74</v>
      </c>
      <c r="BD491">
        <v>61</v>
      </c>
      <c r="BE491" t="s">
        <v>9627</v>
      </c>
      <c r="BF491" t="str">
        <f>HYPERLINK("http://dx.doi.org/10.1186/s12862-016-0630-3","http://dx.doi.org/10.1186/s12862-016-0630-3")</f>
        <v>http://dx.doi.org/10.1186/s12862-016-0630-3</v>
      </c>
      <c r="BG491" t="s">
        <v>74</v>
      </c>
      <c r="BH491" t="s">
        <v>74</v>
      </c>
      <c r="BI491">
        <v>11</v>
      </c>
      <c r="BJ491" t="s">
        <v>9628</v>
      </c>
      <c r="BK491" t="s">
        <v>102</v>
      </c>
      <c r="BL491" t="s">
        <v>9628</v>
      </c>
      <c r="BM491" t="s">
        <v>9629</v>
      </c>
      <c r="BN491">
        <v>26975876</v>
      </c>
      <c r="BO491" t="s">
        <v>1215</v>
      </c>
      <c r="BP491" t="s">
        <v>74</v>
      </c>
      <c r="BQ491" t="s">
        <v>74</v>
      </c>
      <c r="BR491" t="s">
        <v>106</v>
      </c>
      <c r="BS491" t="s">
        <v>9630</v>
      </c>
      <c r="BT491" t="str">
        <f>HYPERLINK("https%3A%2F%2Fwww.webofscience.com%2Fwos%2Fwoscc%2Ffull-record%2FWOS:000371965700001","View Full Record in Web of Science")</f>
        <v>View Full Record in Web of Science</v>
      </c>
    </row>
    <row r="492" spans="1:72" x14ac:dyDescent="0.15">
      <c r="A492" t="s">
        <v>72</v>
      </c>
      <c r="B492" t="s">
        <v>9631</v>
      </c>
      <c r="C492" t="s">
        <v>74</v>
      </c>
      <c r="D492" t="s">
        <v>74</v>
      </c>
      <c r="E492" t="s">
        <v>74</v>
      </c>
      <c r="F492" t="s">
        <v>9632</v>
      </c>
      <c r="G492" t="s">
        <v>74</v>
      </c>
      <c r="H492" t="s">
        <v>74</v>
      </c>
      <c r="I492" t="s">
        <v>9633</v>
      </c>
      <c r="J492" t="s">
        <v>5624</v>
      </c>
      <c r="K492" t="s">
        <v>74</v>
      </c>
      <c r="L492" t="s">
        <v>74</v>
      </c>
      <c r="M492" t="s">
        <v>78</v>
      </c>
      <c r="N492" t="s">
        <v>79</v>
      </c>
      <c r="O492" t="s">
        <v>74</v>
      </c>
      <c r="P492" t="s">
        <v>74</v>
      </c>
      <c r="Q492" t="s">
        <v>74</v>
      </c>
      <c r="R492" t="s">
        <v>74</v>
      </c>
      <c r="S492" t="s">
        <v>74</v>
      </c>
      <c r="T492" t="s">
        <v>9634</v>
      </c>
      <c r="U492" t="s">
        <v>9635</v>
      </c>
      <c r="V492" t="s">
        <v>9636</v>
      </c>
      <c r="W492" t="s">
        <v>9637</v>
      </c>
      <c r="X492" t="s">
        <v>9638</v>
      </c>
      <c r="Y492" t="s">
        <v>9639</v>
      </c>
      <c r="Z492" t="s">
        <v>9640</v>
      </c>
      <c r="AA492" t="s">
        <v>9641</v>
      </c>
      <c r="AB492" t="s">
        <v>9642</v>
      </c>
      <c r="AC492" t="s">
        <v>9643</v>
      </c>
      <c r="AD492" t="s">
        <v>9644</v>
      </c>
      <c r="AE492" t="s">
        <v>9645</v>
      </c>
      <c r="AF492" t="s">
        <v>74</v>
      </c>
      <c r="AG492">
        <v>54</v>
      </c>
      <c r="AH492">
        <v>19</v>
      </c>
      <c r="AI492">
        <v>21</v>
      </c>
      <c r="AJ492">
        <v>2</v>
      </c>
      <c r="AK492">
        <v>42</v>
      </c>
      <c r="AL492" t="s">
        <v>582</v>
      </c>
      <c r="AM492" t="s">
        <v>583</v>
      </c>
      <c r="AN492" t="s">
        <v>584</v>
      </c>
      <c r="AO492" t="s">
        <v>5637</v>
      </c>
      <c r="AP492" t="s">
        <v>5638</v>
      </c>
      <c r="AQ492" t="s">
        <v>74</v>
      </c>
      <c r="AR492" t="s">
        <v>5639</v>
      </c>
      <c r="AS492" t="s">
        <v>5640</v>
      </c>
      <c r="AT492" t="s">
        <v>9405</v>
      </c>
      <c r="AU492">
        <v>2016</v>
      </c>
      <c r="AV492">
        <v>438</v>
      </c>
      <c r="AW492" t="s">
        <v>74</v>
      </c>
      <c r="AX492" t="s">
        <v>74</v>
      </c>
      <c r="AY492" t="s">
        <v>74</v>
      </c>
      <c r="AZ492" t="s">
        <v>74</v>
      </c>
      <c r="BA492" t="s">
        <v>74</v>
      </c>
      <c r="BB492">
        <v>122</v>
      </c>
      <c r="BC492">
        <v>129</v>
      </c>
      <c r="BD492" t="s">
        <v>74</v>
      </c>
      <c r="BE492" t="s">
        <v>9646</v>
      </c>
      <c r="BF492" t="str">
        <f>HYPERLINK("http://dx.doi.org/10.1016/j.epsl.2016.01.016","http://dx.doi.org/10.1016/j.epsl.2016.01.016")</f>
        <v>http://dx.doi.org/10.1016/j.epsl.2016.01.016</v>
      </c>
      <c r="BG492" t="s">
        <v>74</v>
      </c>
      <c r="BH492" t="s">
        <v>74</v>
      </c>
      <c r="BI492">
        <v>8</v>
      </c>
      <c r="BJ492" t="s">
        <v>727</v>
      </c>
      <c r="BK492" t="s">
        <v>102</v>
      </c>
      <c r="BL492" t="s">
        <v>727</v>
      </c>
      <c r="BM492" t="s">
        <v>9647</v>
      </c>
      <c r="BN492" t="s">
        <v>74</v>
      </c>
      <c r="BO492" t="s">
        <v>1412</v>
      </c>
      <c r="BP492" t="s">
        <v>74</v>
      </c>
      <c r="BQ492" t="s">
        <v>74</v>
      </c>
      <c r="BR492" t="s">
        <v>106</v>
      </c>
      <c r="BS492" t="s">
        <v>9648</v>
      </c>
      <c r="BT492" t="str">
        <f>HYPERLINK("https%3A%2F%2Fwww.webofscience.com%2Fwos%2Fwoscc%2Ffull-record%2FWOS:000370913100013","View Full Record in Web of Science")</f>
        <v>View Full Record in Web of Science</v>
      </c>
    </row>
    <row r="493" spans="1:72" x14ac:dyDescent="0.15">
      <c r="A493" t="s">
        <v>72</v>
      </c>
      <c r="B493" t="s">
        <v>9649</v>
      </c>
      <c r="C493" t="s">
        <v>74</v>
      </c>
      <c r="D493" t="s">
        <v>74</v>
      </c>
      <c r="E493" t="s">
        <v>74</v>
      </c>
      <c r="F493" t="s">
        <v>9650</v>
      </c>
      <c r="G493" t="s">
        <v>74</v>
      </c>
      <c r="H493" t="s">
        <v>74</v>
      </c>
      <c r="I493" t="s">
        <v>9651</v>
      </c>
      <c r="J493" t="s">
        <v>5624</v>
      </c>
      <c r="K493" t="s">
        <v>74</v>
      </c>
      <c r="L493" t="s">
        <v>74</v>
      </c>
      <c r="M493" t="s">
        <v>78</v>
      </c>
      <c r="N493" t="s">
        <v>79</v>
      </c>
      <c r="O493" t="s">
        <v>74</v>
      </c>
      <c r="P493" t="s">
        <v>74</v>
      </c>
      <c r="Q493" t="s">
        <v>74</v>
      </c>
      <c r="R493" t="s">
        <v>74</v>
      </c>
      <c r="S493" t="s">
        <v>74</v>
      </c>
      <c r="T493" t="s">
        <v>9652</v>
      </c>
      <c r="U493" t="s">
        <v>9653</v>
      </c>
      <c r="V493" t="s">
        <v>9654</v>
      </c>
      <c r="W493" t="s">
        <v>9655</v>
      </c>
      <c r="X493" t="s">
        <v>9656</v>
      </c>
      <c r="Y493" t="s">
        <v>9657</v>
      </c>
      <c r="Z493" t="s">
        <v>9658</v>
      </c>
      <c r="AA493" t="s">
        <v>9659</v>
      </c>
      <c r="AB493" t="s">
        <v>9660</v>
      </c>
      <c r="AC493" t="s">
        <v>9661</v>
      </c>
      <c r="AD493" t="s">
        <v>9662</v>
      </c>
      <c r="AE493" t="s">
        <v>9663</v>
      </c>
      <c r="AF493" t="s">
        <v>74</v>
      </c>
      <c r="AG493">
        <v>78</v>
      </c>
      <c r="AH493">
        <v>47</v>
      </c>
      <c r="AI493">
        <v>51</v>
      </c>
      <c r="AJ493">
        <v>1</v>
      </c>
      <c r="AK493">
        <v>48</v>
      </c>
      <c r="AL493" t="s">
        <v>582</v>
      </c>
      <c r="AM493" t="s">
        <v>583</v>
      </c>
      <c r="AN493" t="s">
        <v>584</v>
      </c>
      <c r="AO493" t="s">
        <v>5637</v>
      </c>
      <c r="AP493" t="s">
        <v>5638</v>
      </c>
      <c r="AQ493" t="s">
        <v>74</v>
      </c>
      <c r="AR493" t="s">
        <v>5639</v>
      </c>
      <c r="AS493" t="s">
        <v>5640</v>
      </c>
      <c r="AT493" t="s">
        <v>9405</v>
      </c>
      <c r="AU493">
        <v>2016</v>
      </c>
      <c r="AV493">
        <v>438</v>
      </c>
      <c r="AW493" t="s">
        <v>74</v>
      </c>
      <c r="AX493" t="s">
        <v>74</v>
      </c>
      <c r="AY493" t="s">
        <v>74</v>
      </c>
      <c r="AZ493" t="s">
        <v>74</v>
      </c>
      <c r="BA493" t="s">
        <v>74</v>
      </c>
      <c r="BB493">
        <v>130</v>
      </c>
      <c r="BC493">
        <v>138</v>
      </c>
      <c r="BD493" t="s">
        <v>74</v>
      </c>
      <c r="BE493" t="s">
        <v>9664</v>
      </c>
      <c r="BF493" t="str">
        <f>HYPERLINK("http://dx.doi.org/10.1016/j.epsl.2015.12.039","http://dx.doi.org/10.1016/j.epsl.2015.12.039")</f>
        <v>http://dx.doi.org/10.1016/j.epsl.2015.12.039</v>
      </c>
      <c r="BG493" t="s">
        <v>74</v>
      </c>
      <c r="BH493" t="s">
        <v>74</v>
      </c>
      <c r="BI493">
        <v>9</v>
      </c>
      <c r="BJ493" t="s">
        <v>727</v>
      </c>
      <c r="BK493" t="s">
        <v>102</v>
      </c>
      <c r="BL493" t="s">
        <v>727</v>
      </c>
      <c r="BM493" t="s">
        <v>9647</v>
      </c>
      <c r="BN493" t="s">
        <v>74</v>
      </c>
      <c r="BO493" t="s">
        <v>222</v>
      </c>
      <c r="BP493" t="s">
        <v>74</v>
      </c>
      <c r="BQ493" t="s">
        <v>74</v>
      </c>
      <c r="BR493" t="s">
        <v>106</v>
      </c>
      <c r="BS493" t="s">
        <v>9665</v>
      </c>
      <c r="BT493" t="str">
        <f>HYPERLINK("https%3A%2F%2Fwww.webofscience.com%2Fwos%2Fwoscc%2Ffull-record%2FWOS:000370913100014","View Full Record in Web of Science")</f>
        <v>View Full Record in Web of Science</v>
      </c>
    </row>
    <row r="494" spans="1:72" x14ac:dyDescent="0.15">
      <c r="A494" t="s">
        <v>72</v>
      </c>
      <c r="B494" t="s">
        <v>9666</v>
      </c>
      <c r="C494" t="s">
        <v>74</v>
      </c>
      <c r="D494" t="s">
        <v>74</v>
      </c>
      <c r="E494" t="s">
        <v>74</v>
      </c>
      <c r="F494" t="s">
        <v>9667</v>
      </c>
      <c r="G494" t="s">
        <v>74</v>
      </c>
      <c r="H494" t="s">
        <v>74</v>
      </c>
      <c r="I494" t="s">
        <v>9668</v>
      </c>
      <c r="J494" t="s">
        <v>9669</v>
      </c>
      <c r="K494" t="s">
        <v>74</v>
      </c>
      <c r="L494" t="s">
        <v>74</v>
      </c>
      <c r="M494" t="s">
        <v>78</v>
      </c>
      <c r="N494" t="s">
        <v>79</v>
      </c>
      <c r="O494" t="s">
        <v>74</v>
      </c>
      <c r="P494" t="s">
        <v>74</v>
      </c>
      <c r="Q494" t="s">
        <v>74</v>
      </c>
      <c r="R494" t="s">
        <v>74</v>
      </c>
      <c r="S494" t="s">
        <v>74</v>
      </c>
      <c r="T494" t="s">
        <v>9670</v>
      </c>
      <c r="U494" t="s">
        <v>9671</v>
      </c>
      <c r="V494" t="s">
        <v>9672</v>
      </c>
      <c r="W494" t="s">
        <v>9673</v>
      </c>
      <c r="X494" t="s">
        <v>9674</v>
      </c>
      <c r="Y494" t="s">
        <v>9675</v>
      </c>
      <c r="Z494" t="s">
        <v>9676</v>
      </c>
      <c r="AA494" t="s">
        <v>9677</v>
      </c>
      <c r="AB494" t="s">
        <v>9678</v>
      </c>
      <c r="AC494" t="s">
        <v>9679</v>
      </c>
      <c r="AD494" t="s">
        <v>9680</v>
      </c>
      <c r="AE494" t="s">
        <v>9681</v>
      </c>
      <c r="AF494" t="s">
        <v>74</v>
      </c>
      <c r="AG494">
        <v>30</v>
      </c>
      <c r="AH494">
        <v>11</v>
      </c>
      <c r="AI494">
        <v>11</v>
      </c>
      <c r="AJ494">
        <v>0</v>
      </c>
      <c r="AK494">
        <v>6</v>
      </c>
      <c r="AL494" t="s">
        <v>1657</v>
      </c>
      <c r="AM494" t="s">
        <v>679</v>
      </c>
      <c r="AN494" t="s">
        <v>1658</v>
      </c>
      <c r="AO494" t="s">
        <v>9682</v>
      </c>
      <c r="AP494" t="s">
        <v>74</v>
      </c>
      <c r="AQ494" t="s">
        <v>74</v>
      </c>
      <c r="AR494" t="s">
        <v>9683</v>
      </c>
      <c r="AS494" t="s">
        <v>9684</v>
      </c>
      <c r="AT494" t="s">
        <v>9685</v>
      </c>
      <c r="AU494">
        <v>2016</v>
      </c>
      <c r="AV494">
        <v>4</v>
      </c>
      <c r="AW494" t="s">
        <v>74</v>
      </c>
      <c r="AX494" t="s">
        <v>74</v>
      </c>
      <c r="AY494" t="s">
        <v>74</v>
      </c>
      <c r="AZ494" t="s">
        <v>74</v>
      </c>
      <c r="BA494" t="s">
        <v>74</v>
      </c>
      <c r="BB494" t="s">
        <v>74</v>
      </c>
      <c r="BC494" t="s">
        <v>74</v>
      </c>
      <c r="BD494" t="s">
        <v>9686</v>
      </c>
      <c r="BE494" t="s">
        <v>9687</v>
      </c>
      <c r="BF494" t="str">
        <f>HYPERLINK("http://dx.doi.org/10.1093/conphys/cow006","http://dx.doi.org/10.1093/conphys/cow006")</f>
        <v>http://dx.doi.org/10.1093/conphys/cow006</v>
      </c>
      <c r="BG494" t="s">
        <v>74</v>
      </c>
      <c r="BH494" t="s">
        <v>74</v>
      </c>
      <c r="BI494">
        <v>6</v>
      </c>
      <c r="BJ494" t="s">
        <v>9688</v>
      </c>
      <c r="BK494" t="s">
        <v>102</v>
      </c>
      <c r="BL494" t="s">
        <v>9689</v>
      </c>
      <c r="BM494" t="s">
        <v>9690</v>
      </c>
      <c r="BN494">
        <v>27293758</v>
      </c>
      <c r="BO494" t="s">
        <v>3051</v>
      </c>
      <c r="BP494" t="s">
        <v>74</v>
      </c>
      <c r="BQ494" t="s">
        <v>74</v>
      </c>
      <c r="BR494" t="s">
        <v>106</v>
      </c>
      <c r="BS494" t="s">
        <v>9691</v>
      </c>
      <c r="BT494" t="str">
        <f>HYPERLINK("https%3A%2F%2Fwww.webofscience.com%2Fwos%2Fwoscc%2Ffull-record%2FWOS:000375206700001","View Full Record in Web of Science")</f>
        <v>View Full Record in Web of Science</v>
      </c>
    </row>
    <row r="495" spans="1:72" x14ac:dyDescent="0.15">
      <c r="A495" t="s">
        <v>72</v>
      </c>
      <c r="B495" t="s">
        <v>9692</v>
      </c>
      <c r="C495" t="s">
        <v>74</v>
      </c>
      <c r="D495" t="s">
        <v>74</v>
      </c>
      <c r="E495" t="s">
        <v>74</v>
      </c>
      <c r="F495" t="s">
        <v>9693</v>
      </c>
      <c r="G495" t="s">
        <v>74</v>
      </c>
      <c r="H495" t="s">
        <v>74</v>
      </c>
      <c r="I495" t="s">
        <v>9694</v>
      </c>
      <c r="J495" t="s">
        <v>5947</v>
      </c>
      <c r="K495" t="s">
        <v>74</v>
      </c>
      <c r="L495" t="s">
        <v>74</v>
      </c>
      <c r="M495" t="s">
        <v>78</v>
      </c>
      <c r="N495" t="s">
        <v>79</v>
      </c>
      <c r="O495" t="s">
        <v>74</v>
      </c>
      <c r="P495" t="s">
        <v>74</v>
      </c>
      <c r="Q495" t="s">
        <v>74</v>
      </c>
      <c r="R495" t="s">
        <v>74</v>
      </c>
      <c r="S495" t="s">
        <v>74</v>
      </c>
      <c r="T495" t="s">
        <v>9695</v>
      </c>
      <c r="U495" t="s">
        <v>9696</v>
      </c>
      <c r="V495" t="s">
        <v>9697</v>
      </c>
      <c r="W495" t="s">
        <v>9698</v>
      </c>
      <c r="X495" t="s">
        <v>9699</v>
      </c>
      <c r="Y495" t="s">
        <v>9700</v>
      </c>
      <c r="Z495" t="s">
        <v>9701</v>
      </c>
      <c r="AA495" t="s">
        <v>9702</v>
      </c>
      <c r="AB495" t="s">
        <v>9703</v>
      </c>
      <c r="AC495" t="s">
        <v>9704</v>
      </c>
      <c r="AD495" t="s">
        <v>9705</v>
      </c>
      <c r="AE495" t="s">
        <v>9706</v>
      </c>
      <c r="AF495" t="s">
        <v>74</v>
      </c>
      <c r="AG495">
        <v>19</v>
      </c>
      <c r="AH495">
        <v>5</v>
      </c>
      <c r="AI495">
        <v>5</v>
      </c>
      <c r="AJ495">
        <v>0</v>
      </c>
      <c r="AK495">
        <v>27</v>
      </c>
      <c r="AL495" t="s">
        <v>5960</v>
      </c>
      <c r="AM495" t="s">
        <v>5961</v>
      </c>
      <c r="AN495" t="s">
        <v>5962</v>
      </c>
      <c r="AO495" t="s">
        <v>5963</v>
      </c>
      <c r="AP495" t="s">
        <v>5964</v>
      </c>
      <c r="AQ495" t="s">
        <v>74</v>
      </c>
      <c r="AR495" t="s">
        <v>5965</v>
      </c>
      <c r="AS495" t="s">
        <v>5966</v>
      </c>
      <c r="AT495" t="s">
        <v>9685</v>
      </c>
      <c r="AU495">
        <v>2016</v>
      </c>
      <c r="AV495">
        <v>89</v>
      </c>
      <c r="AW495" t="s">
        <v>74</v>
      </c>
      <c r="AX495" t="s">
        <v>74</v>
      </c>
      <c r="AY495" t="s">
        <v>74</v>
      </c>
      <c r="AZ495" t="s">
        <v>74</v>
      </c>
      <c r="BA495" t="s">
        <v>74</v>
      </c>
      <c r="BB495" t="s">
        <v>74</v>
      </c>
      <c r="BC495" t="s">
        <v>74</v>
      </c>
      <c r="BD495">
        <v>4</v>
      </c>
      <c r="BE495" t="s">
        <v>9707</v>
      </c>
      <c r="BF495" t="str">
        <f>HYPERLINK("http://dx.doi.org/10.1186/s40693-016-0055-9","http://dx.doi.org/10.1186/s40693-016-0055-9")</f>
        <v>http://dx.doi.org/10.1186/s40693-016-0055-9</v>
      </c>
      <c r="BG495" t="s">
        <v>74</v>
      </c>
      <c r="BH495" t="s">
        <v>74</v>
      </c>
      <c r="BI495">
        <v>6</v>
      </c>
      <c r="BJ495" t="s">
        <v>291</v>
      </c>
      <c r="BK495" t="s">
        <v>102</v>
      </c>
      <c r="BL495" t="s">
        <v>133</v>
      </c>
      <c r="BM495" t="s">
        <v>9708</v>
      </c>
      <c r="BN495" t="s">
        <v>74</v>
      </c>
      <c r="BO495" t="s">
        <v>1684</v>
      </c>
      <c r="BP495" t="s">
        <v>74</v>
      </c>
      <c r="BQ495" t="s">
        <v>74</v>
      </c>
      <c r="BR495" t="s">
        <v>106</v>
      </c>
      <c r="BS495" t="s">
        <v>9709</v>
      </c>
      <c r="BT495" t="str">
        <f>HYPERLINK("https%3A%2F%2Fwww.webofscience.com%2Fwos%2Fwoscc%2Ffull-record%2FWOS:000372125100001","View Full Record in Web of Science")</f>
        <v>View Full Record in Web of Science</v>
      </c>
    </row>
    <row r="496" spans="1:72" x14ac:dyDescent="0.15">
      <c r="A496" t="s">
        <v>72</v>
      </c>
      <c r="B496" t="s">
        <v>9710</v>
      </c>
      <c r="C496" t="s">
        <v>74</v>
      </c>
      <c r="D496" t="s">
        <v>74</v>
      </c>
      <c r="E496" t="s">
        <v>74</v>
      </c>
      <c r="F496" t="s">
        <v>9711</v>
      </c>
      <c r="G496" t="s">
        <v>74</v>
      </c>
      <c r="H496" t="s">
        <v>74</v>
      </c>
      <c r="I496" t="s">
        <v>9712</v>
      </c>
      <c r="J496" t="s">
        <v>9713</v>
      </c>
      <c r="K496" t="s">
        <v>74</v>
      </c>
      <c r="L496" t="s">
        <v>74</v>
      </c>
      <c r="M496" t="s">
        <v>78</v>
      </c>
      <c r="N496" t="s">
        <v>79</v>
      </c>
      <c r="O496" t="s">
        <v>74</v>
      </c>
      <c r="P496" t="s">
        <v>74</v>
      </c>
      <c r="Q496" t="s">
        <v>74</v>
      </c>
      <c r="R496" t="s">
        <v>74</v>
      </c>
      <c r="S496" t="s">
        <v>74</v>
      </c>
      <c r="T496" t="s">
        <v>9714</v>
      </c>
      <c r="U496" t="s">
        <v>9715</v>
      </c>
      <c r="V496" t="s">
        <v>9716</v>
      </c>
      <c r="W496" t="s">
        <v>9717</v>
      </c>
      <c r="X496" t="s">
        <v>9718</v>
      </c>
      <c r="Y496" t="s">
        <v>9719</v>
      </c>
      <c r="Z496" t="s">
        <v>9720</v>
      </c>
      <c r="AA496" t="s">
        <v>9721</v>
      </c>
      <c r="AB496" t="s">
        <v>9722</v>
      </c>
      <c r="AC496" t="s">
        <v>9723</v>
      </c>
      <c r="AD496" t="s">
        <v>9723</v>
      </c>
      <c r="AE496" t="s">
        <v>9724</v>
      </c>
      <c r="AF496" t="s">
        <v>74</v>
      </c>
      <c r="AG496">
        <v>37</v>
      </c>
      <c r="AH496">
        <v>16</v>
      </c>
      <c r="AI496">
        <v>18</v>
      </c>
      <c r="AJ496">
        <v>0</v>
      </c>
      <c r="AK496">
        <v>22</v>
      </c>
      <c r="AL496" t="s">
        <v>454</v>
      </c>
      <c r="AM496" t="s">
        <v>455</v>
      </c>
      <c r="AN496" t="s">
        <v>456</v>
      </c>
      <c r="AO496" t="s">
        <v>9725</v>
      </c>
      <c r="AP496" t="s">
        <v>74</v>
      </c>
      <c r="AQ496" t="s">
        <v>74</v>
      </c>
      <c r="AR496" t="s">
        <v>9726</v>
      </c>
      <c r="AS496" t="s">
        <v>9727</v>
      </c>
      <c r="AT496" t="s">
        <v>9685</v>
      </c>
      <c r="AU496">
        <v>2016</v>
      </c>
      <c r="AV496">
        <v>12</v>
      </c>
      <c r="AW496">
        <v>2</v>
      </c>
      <c r="AX496" t="s">
        <v>74</v>
      </c>
      <c r="AY496" t="s">
        <v>74</v>
      </c>
      <c r="AZ496" t="s">
        <v>74</v>
      </c>
      <c r="BA496" t="s">
        <v>74</v>
      </c>
      <c r="BB496">
        <v>249</v>
      </c>
      <c r="BC496">
        <v>259</v>
      </c>
      <c r="BD496" t="s">
        <v>74</v>
      </c>
      <c r="BE496" t="s">
        <v>9728</v>
      </c>
      <c r="BF496" t="str">
        <f>HYPERLINK("http://dx.doi.org/10.1080/17445647.2015.1010617","http://dx.doi.org/10.1080/17445647.2015.1010617")</f>
        <v>http://dx.doi.org/10.1080/17445647.2015.1010617</v>
      </c>
      <c r="BG496" t="s">
        <v>74</v>
      </c>
      <c r="BH496" t="s">
        <v>74</v>
      </c>
      <c r="BI496">
        <v>11</v>
      </c>
      <c r="BJ496" t="s">
        <v>9729</v>
      </c>
      <c r="BK496" t="s">
        <v>942</v>
      </c>
      <c r="BL496" t="s">
        <v>9730</v>
      </c>
      <c r="BM496" t="s">
        <v>9731</v>
      </c>
      <c r="BN496" t="s">
        <v>74</v>
      </c>
      <c r="BO496" t="s">
        <v>1045</v>
      </c>
      <c r="BP496" t="s">
        <v>74</v>
      </c>
      <c r="BQ496" t="s">
        <v>74</v>
      </c>
      <c r="BR496" t="s">
        <v>106</v>
      </c>
      <c r="BS496" t="s">
        <v>9732</v>
      </c>
      <c r="BT496" t="str">
        <f>HYPERLINK("https%3A%2F%2Fwww.webofscience.com%2Fwos%2Fwoscc%2Ffull-record%2FWOS:000367531000006","View Full Record in Web of Science")</f>
        <v>View Full Record in Web of Science</v>
      </c>
    </row>
    <row r="497" spans="1:72" x14ac:dyDescent="0.15">
      <c r="A497" t="s">
        <v>72</v>
      </c>
      <c r="B497" t="s">
        <v>9733</v>
      </c>
      <c r="C497" t="s">
        <v>74</v>
      </c>
      <c r="D497" t="s">
        <v>74</v>
      </c>
      <c r="E497" t="s">
        <v>74</v>
      </c>
      <c r="F497" t="s">
        <v>9734</v>
      </c>
      <c r="G497" t="s">
        <v>74</v>
      </c>
      <c r="H497" t="s">
        <v>74</v>
      </c>
      <c r="I497" t="s">
        <v>9735</v>
      </c>
      <c r="J497" t="s">
        <v>1350</v>
      </c>
      <c r="K497" t="s">
        <v>74</v>
      </c>
      <c r="L497" t="s">
        <v>74</v>
      </c>
      <c r="M497" t="s">
        <v>78</v>
      </c>
      <c r="N497" t="s">
        <v>79</v>
      </c>
      <c r="O497" t="s">
        <v>74</v>
      </c>
      <c r="P497" t="s">
        <v>74</v>
      </c>
      <c r="Q497" t="s">
        <v>74</v>
      </c>
      <c r="R497" t="s">
        <v>74</v>
      </c>
      <c r="S497" t="s">
        <v>74</v>
      </c>
      <c r="T497" t="s">
        <v>74</v>
      </c>
      <c r="U497" t="s">
        <v>9736</v>
      </c>
      <c r="V497" t="s">
        <v>9737</v>
      </c>
      <c r="W497" t="s">
        <v>9738</v>
      </c>
      <c r="X497" t="s">
        <v>9739</v>
      </c>
      <c r="Y497" t="s">
        <v>9740</v>
      </c>
      <c r="Z497" t="s">
        <v>9741</v>
      </c>
      <c r="AA497" t="s">
        <v>9742</v>
      </c>
      <c r="AB497" t="s">
        <v>9743</v>
      </c>
      <c r="AC497" t="s">
        <v>9744</v>
      </c>
      <c r="AD497" t="s">
        <v>9745</v>
      </c>
      <c r="AE497" t="s">
        <v>9746</v>
      </c>
      <c r="AF497" t="s">
        <v>74</v>
      </c>
      <c r="AG497">
        <v>33</v>
      </c>
      <c r="AH497">
        <v>9</v>
      </c>
      <c r="AI497">
        <v>11</v>
      </c>
      <c r="AJ497">
        <v>0</v>
      </c>
      <c r="AK497">
        <v>17</v>
      </c>
      <c r="AL497" t="s">
        <v>746</v>
      </c>
      <c r="AM497" t="s">
        <v>747</v>
      </c>
      <c r="AN497" t="s">
        <v>748</v>
      </c>
      <c r="AO497" t="s">
        <v>1362</v>
      </c>
      <c r="AP497" t="s">
        <v>74</v>
      </c>
      <c r="AQ497" t="s">
        <v>74</v>
      </c>
      <c r="AR497" t="s">
        <v>1363</v>
      </c>
      <c r="AS497" t="s">
        <v>1364</v>
      </c>
      <c r="AT497" t="s">
        <v>9685</v>
      </c>
      <c r="AU497">
        <v>2016</v>
      </c>
      <c r="AV497">
        <v>6</v>
      </c>
      <c r="AW497" t="s">
        <v>74</v>
      </c>
      <c r="AX497" t="s">
        <v>74</v>
      </c>
      <c r="AY497" t="s">
        <v>74</v>
      </c>
      <c r="AZ497" t="s">
        <v>74</v>
      </c>
      <c r="BA497" t="s">
        <v>74</v>
      </c>
      <c r="BB497" t="s">
        <v>74</v>
      </c>
      <c r="BC497" t="s">
        <v>74</v>
      </c>
      <c r="BD497">
        <v>22954</v>
      </c>
      <c r="BE497" t="s">
        <v>9747</v>
      </c>
      <c r="BF497" t="str">
        <f>HYPERLINK("http://dx.doi.org/10.1038/srep22954","http://dx.doi.org/10.1038/srep22954")</f>
        <v>http://dx.doi.org/10.1038/srep22954</v>
      </c>
      <c r="BG497" t="s">
        <v>74</v>
      </c>
      <c r="BH497" t="s">
        <v>74</v>
      </c>
      <c r="BI497">
        <v>7</v>
      </c>
      <c r="BJ497" t="s">
        <v>753</v>
      </c>
      <c r="BK497" t="s">
        <v>102</v>
      </c>
      <c r="BL497" t="s">
        <v>754</v>
      </c>
      <c r="BM497" t="s">
        <v>9748</v>
      </c>
      <c r="BN497">
        <v>26972923</v>
      </c>
      <c r="BO497" t="s">
        <v>2121</v>
      </c>
      <c r="BP497" t="s">
        <v>74</v>
      </c>
      <c r="BQ497" t="s">
        <v>74</v>
      </c>
      <c r="BR497" t="s">
        <v>106</v>
      </c>
      <c r="BS497" t="s">
        <v>9749</v>
      </c>
      <c r="BT497" t="str">
        <f>HYPERLINK("https%3A%2F%2Fwww.webofscience.com%2Fwos%2Fwoscc%2Ffull-record%2FWOS:000371877800001","View Full Record in Web of Science")</f>
        <v>View Full Record in Web of Science</v>
      </c>
    </row>
    <row r="498" spans="1:72" x14ac:dyDescent="0.15">
      <c r="A498" t="s">
        <v>72</v>
      </c>
      <c r="B498" t="s">
        <v>9750</v>
      </c>
      <c r="C498" t="s">
        <v>74</v>
      </c>
      <c r="D498" t="s">
        <v>74</v>
      </c>
      <c r="E498" t="s">
        <v>74</v>
      </c>
      <c r="F498" t="s">
        <v>9751</v>
      </c>
      <c r="G498" t="s">
        <v>74</v>
      </c>
      <c r="H498" t="s">
        <v>74</v>
      </c>
      <c r="I498" t="s">
        <v>9752</v>
      </c>
      <c r="J498" t="s">
        <v>9753</v>
      </c>
      <c r="K498" t="s">
        <v>74</v>
      </c>
      <c r="L498" t="s">
        <v>74</v>
      </c>
      <c r="M498" t="s">
        <v>78</v>
      </c>
      <c r="N498" t="s">
        <v>52</v>
      </c>
      <c r="O498" t="s">
        <v>74</v>
      </c>
      <c r="P498" t="s">
        <v>74</v>
      </c>
      <c r="Q498" t="s">
        <v>74</v>
      </c>
      <c r="R498" t="s">
        <v>74</v>
      </c>
      <c r="S498" t="s">
        <v>74</v>
      </c>
      <c r="T498" t="s">
        <v>74</v>
      </c>
      <c r="U498" t="s">
        <v>74</v>
      </c>
      <c r="V498" t="s">
        <v>74</v>
      </c>
      <c r="W498" t="s">
        <v>9754</v>
      </c>
      <c r="X498" t="s">
        <v>9755</v>
      </c>
      <c r="Y498" t="s">
        <v>74</v>
      </c>
      <c r="Z498" t="s">
        <v>9756</v>
      </c>
      <c r="AA498" t="s">
        <v>74</v>
      </c>
      <c r="AB498" t="s">
        <v>74</v>
      </c>
      <c r="AC498" t="s">
        <v>74</v>
      </c>
      <c r="AD498" t="s">
        <v>74</v>
      </c>
      <c r="AE498" t="s">
        <v>74</v>
      </c>
      <c r="AF498" t="s">
        <v>74</v>
      </c>
      <c r="AG498">
        <v>0</v>
      </c>
      <c r="AH498">
        <v>0</v>
      </c>
      <c r="AI498">
        <v>0</v>
      </c>
      <c r="AJ498">
        <v>0</v>
      </c>
      <c r="AK498">
        <v>3</v>
      </c>
      <c r="AL498" t="s">
        <v>6536</v>
      </c>
      <c r="AM498" t="s">
        <v>93</v>
      </c>
      <c r="AN498" t="s">
        <v>6537</v>
      </c>
      <c r="AO498" t="s">
        <v>9757</v>
      </c>
      <c r="AP498" t="s">
        <v>74</v>
      </c>
      <c r="AQ498" t="s">
        <v>74</v>
      </c>
      <c r="AR498" t="s">
        <v>9758</v>
      </c>
      <c r="AS498" t="s">
        <v>9759</v>
      </c>
      <c r="AT498" t="s">
        <v>9760</v>
      </c>
      <c r="AU498">
        <v>2016</v>
      </c>
      <c r="AV498">
        <v>251</v>
      </c>
      <c r="AW498" t="s">
        <v>74</v>
      </c>
      <c r="AX498" t="s">
        <v>74</v>
      </c>
      <c r="AY498" t="s">
        <v>74</v>
      </c>
      <c r="AZ498" t="s">
        <v>74</v>
      </c>
      <c r="BA498">
        <v>274</v>
      </c>
      <c r="BB498" t="s">
        <v>74</v>
      </c>
      <c r="BC498" t="s">
        <v>74</v>
      </c>
      <c r="BD498" t="s">
        <v>74</v>
      </c>
      <c r="BE498" t="s">
        <v>74</v>
      </c>
      <c r="BF498" t="s">
        <v>74</v>
      </c>
      <c r="BG498" t="s">
        <v>74</v>
      </c>
      <c r="BH498" t="s">
        <v>74</v>
      </c>
      <c r="BI498">
        <v>2</v>
      </c>
      <c r="BJ498" t="s">
        <v>9761</v>
      </c>
      <c r="BK498" t="s">
        <v>102</v>
      </c>
      <c r="BL498" t="s">
        <v>1259</v>
      </c>
      <c r="BM498" t="s">
        <v>9762</v>
      </c>
      <c r="BN498" t="s">
        <v>74</v>
      </c>
      <c r="BO498" t="s">
        <v>74</v>
      </c>
      <c r="BP498" t="s">
        <v>74</v>
      </c>
      <c r="BQ498" t="s">
        <v>74</v>
      </c>
      <c r="BR498" t="s">
        <v>106</v>
      </c>
      <c r="BS498" t="s">
        <v>9763</v>
      </c>
      <c r="BT498" t="str">
        <f>HYPERLINK("https%3A%2F%2Fwww.webofscience.com%2Fwos%2Fwoscc%2Ffull-record%2FWOS:000431903800818","View Full Record in Web of Science")</f>
        <v>View Full Record in Web of Science</v>
      </c>
    </row>
    <row r="499" spans="1:72" x14ac:dyDescent="0.15">
      <c r="A499" t="s">
        <v>72</v>
      </c>
      <c r="B499" t="s">
        <v>9764</v>
      </c>
      <c r="C499" t="s">
        <v>74</v>
      </c>
      <c r="D499" t="s">
        <v>74</v>
      </c>
      <c r="E499" t="s">
        <v>74</v>
      </c>
      <c r="F499" t="s">
        <v>9765</v>
      </c>
      <c r="G499" t="s">
        <v>74</v>
      </c>
      <c r="H499" t="s">
        <v>74</v>
      </c>
      <c r="I499" t="s">
        <v>9766</v>
      </c>
      <c r="J499" t="s">
        <v>9753</v>
      </c>
      <c r="K499" t="s">
        <v>74</v>
      </c>
      <c r="L499" t="s">
        <v>74</v>
      </c>
      <c r="M499" t="s">
        <v>78</v>
      </c>
      <c r="N499" t="s">
        <v>52</v>
      </c>
      <c r="O499" t="s">
        <v>74</v>
      </c>
      <c r="P499" t="s">
        <v>74</v>
      </c>
      <c r="Q499" t="s">
        <v>74</v>
      </c>
      <c r="R499" t="s">
        <v>74</v>
      </c>
      <c r="S499" t="s">
        <v>74</v>
      </c>
      <c r="T499" t="s">
        <v>74</v>
      </c>
      <c r="U499" t="s">
        <v>74</v>
      </c>
      <c r="V499" t="s">
        <v>74</v>
      </c>
      <c r="W499" t="s">
        <v>9767</v>
      </c>
      <c r="X499" t="s">
        <v>9768</v>
      </c>
      <c r="Y499" t="s">
        <v>74</v>
      </c>
      <c r="Z499" t="s">
        <v>9769</v>
      </c>
      <c r="AA499" t="s">
        <v>74</v>
      </c>
      <c r="AB499" t="s">
        <v>74</v>
      </c>
      <c r="AC499" t="s">
        <v>74</v>
      </c>
      <c r="AD499" t="s">
        <v>74</v>
      </c>
      <c r="AE499" t="s">
        <v>74</v>
      </c>
      <c r="AF499" t="s">
        <v>74</v>
      </c>
      <c r="AG499">
        <v>0</v>
      </c>
      <c r="AH499">
        <v>0</v>
      </c>
      <c r="AI499">
        <v>0</v>
      </c>
      <c r="AJ499">
        <v>0</v>
      </c>
      <c r="AK499">
        <v>0</v>
      </c>
      <c r="AL499" t="s">
        <v>6536</v>
      </c>
      <c r="AM499" t="s">
        <v>93</v>
      </c>
      <c r="AN499" t="s">
        <v>6537</v>
      </c>
      <c r="AO499" t="s">
        <v>9757</v>
      </c>
      <c r="AP499" t="s">
        <v>74</v>
      </c>
      <c r="AQ499" t="s">
        <v>74</v>
      </c>
      <c r="AR499" t="s">
        <v>9758</v>
      </c>
      <c r="AS499" t="s">
        <v>9759</v>
      </c>
      <c r="AT499" t="s">
        <v>9760</v>
      </c>
      <c r="AU499">
        <v>2016</v>
      </c>
      <c r="AV499">
        <v>251</v>
      </c>
      <c r="AW499" t="s">
        <v>74</v>
      </c>
      <c r="AX499" t="s">
        <v>74</v>
      </c>
      <c r="AY499" t="s">
        <v>74</v>
      </c>
      <c r="AZ499" t="s">
        <v>74</v>
      </c>
      <c r="BA499">
        <v>497</v>
      </c>
      <c r="BB499" t="s">
        <v>74</v>
      </c>
      <c r="BC499" t="s">
        <v>74</v>
      </c>
      <c r="BD499" t="s">
        <v>74</v>
      </c>
      <c r="BE499" t="s">
        <v>74</v>
      </c>
      <c r="BF499" t="s">
        <v>74</v>
      </c>
      <c r="BG499" t="s">
        <v>74</v>
      </c>
      <c r="BH499" t="s">
        <v>74</v>
      </c>
      <c r="BI499">
        <v>1</v>
      </c>
      <c r="BJ499" t="s">
        <v>9761</v>
      </c>
      <c r="BK499" t="s">
        <v>102</v>
      </c>
      <c r="BL499" t="s">
        <v>1259</v>
      </c>
      <c r="BM499" t="s">
        <v>9762</v>
      </c>
      <c r="BN499" t="s">
        <v>74</v>
      </c>
      <c r="BO499" t="s">
        <v>74</v>
      </c>
      <c r="BP499" t="s">
        <v>74</v>
      </c>
      <c r="BQ499" t="s">
        <v>74</v>
      </c>
      <c r="BR499" t="s">
        <v>106</v>
      </c>
      <c r="BS499" t="s">
        <v>9770</v>
      </c>
      <c r="BT499" t="str">
        <f>HYPERLINK("https%3A%2F%2Fwww.webofscience.com%2Fwos%2Fwoscc%2Ffull-record%2FWOS:000431903803281","View Full Record in Web of Science")</f>
        <v>View Full Record in Web of Science</v>
      </c>
    </row>
    <row r="500" spans="1:72" x14ac:dyDescent="0.15">
      <c r="A500" t="s">
        <v>72</v>
      </c>
      <c r="B500" t="s">
        <v>9403</v>
      </c>
      <c r="C500" t="s">
        <v>74</v>
      </c>
      <c r="D500" t="s">
        <v>74</v>
      </c>
      <c r="E500" t="s">
        <v>74</v>
      </c>
      <c r="F500" t="s">
        <v>9403</v>
      </c>
      <c r="G500" t="s">
        <v>74</v>
      </c>
      <c r="H500" t="s">
        <v>74</v>
      </c>
      <c r="I500" t="s">
        <v>9771</v>
      </c>
      <c r="J500" t="s">
        <v>8651</v>
      </c>
      <c r="K500" t="s">
        <v>74</v>
      </c>
      <c r="L500" t="s">
        <v>74</v>
      </c>
      <c r="M500" t="s">
        <v>78</v>
      </c>
      <c r="N500" t="s">
        <v>8850</v>
      </c>
      <c r="O500" t="s">
        <v>74</v>
      </c>
      <c r="P500" t="s">
        <v>74</v>
      </c>
      <c r="Q500" t="s">
        <v>74</v>
      </c>
      <c r="R500" t="s">
        <v>74</v>
      </c>
      <c r="S500" t="s">
        <v>74</v>
      </c>
      <c r="T500" t="s">
        <v>74</v>
      </c>
      <c r="U500" t="s">
        <v>74</v>
      </c>
      <c r="V500" t="s">
        <v>74</v>
      </c>
      <c r="W500" t="s">
        <v>74</v>
      </c>
      <c r="X500" t="s">
        <v>74</v>
      </c>
      <c r="Y500" t="s">
        <v>74</v>
      </c>
      <c r="Z500" t="s">
        <v>74</v>
      </c>
      <c r="AA500" t="s">
        <v>74</v>
      </c>
      <c r="AB500" t="s">
        <v>74</v>
      </c>
      <c r="AC500" t="s">
        <v>74</v>
      </c>
      <c r="AD500" t="s">
        <v>74</v>
      </c>
      <c r="AE500" t="s">
        <v>74</v>
      </c>
      <c r="AF500" t="s">
        <v>74</v>
      </c>
      <c r="AG500">
        <v>0</v>
      </c>
      <c r="AH500">
        <v>0</v>
      </c>
      <c r="AI500">
        <v>0</v>
      </c>
      <c r="AJ500">
        <v>0</v>
      </c>
      <c r="AK500">
        <v>1</v>
      </c>
      <c r="AL500" t="s">
        <v>985</v>
      </c>
      <c r="AM500" t="s">
        <v>93</v>
      </c>
      <c r="AN500" t="s">
        <v>986</v>
      </c>
      <c r="AO500" t="s">
        <v>8663</v>
      </c>
      <c r="AP500" t="s">
        <v>8664</v>
      </c>
      <c r="AQ500" t="s">
        <v>74</v>
      </c>
      <c r="AR500" t="s">
        <v>8651</v>
      </c>
      <c r="AS500" t="s">
        <v>8665</v>
      </c>
      <c r="AT500" t="s">
        <v>9772</v>
      </c>
      <c r="AU500">
        <v>2016</v>
      </c>
      <c r="AV500">
        <v>351</v>
      </c>
      <c r="AW500">
        <v>6278</v>
      </c>
      <c r="AX500" t="s">
        <v>74</v>
      </c>
      <c r="AY500" t="s">
        <v>74</v>
      </c>
      <c r="AZ500" t="s">
        <v>74</v>
      </c>
      <c r="BA500" t="s">
        <v>74</v>
      </c>
      <c r="BB500">
        <v>1120</v>
      </c>
      <c r="BC500">
        <v>1120</v>
      </c>
      <c r="BD500" t="s">
        <v>74</v>
      </c>
      <c r="BE500" t="s">
        <v>74</v>
      </c>
      <c r="BF500" t="s">
        <v>74</v>
      </c>
      <c r="BG500" t="s">
        <v>74</v>
      </c>
      <c r="BH500" t="s">
        <v>74</v>
      </c>
      <c r="BI500">
        <v>1</v>
      </c>
      <c r="BJ500" t="s">
        <v>753</v>
      </c>
      <c r="BK500" t="s">
        <v>102</v>
      </c>
      <c r="BL500" t="s">
        <v>754</v>
      </c>
      <c r="BM500" t="s">
        <v>9773</v>
      </c>
      <c r="BN500" t="s">
        <v>74</v>
      </c>
      <c r="BO500" t="s">
        <v>74</v>
      </c>
      <c r="BP500" t="s">
        <v>74</v>
      </c>
      <c r="BQ500" t="s">
        <v>74</v>
      </c>
      <c r="BR500" t="s">
        <v>106</v>
      </c>
      <c r="BS500" t="s">
        <v>9774</v>
      </c>
      <c r="BT500" t="str">
        <f>HYPERLINK("https%3A%2F%2Fwww.webofscience.com%2Fwos%2Fwoscc%2Ffull-record%2FWOS:000386158400003","View Full Record in Web of Science")</f>
        <v>View Full Record in Web of Science</v>
      </c>
    </row>
    <row r="501" spans="1:72" x14ac:dyDescent="0.15">
      <c r="A501" t="s">
        <v>72</v>
      </c>
      <c r="B501" t="s">
        <v>9775</v>
      </c>
      <c r="C501" t="s">
        <v>74</v>
      </c>
      <c r="D501" t="s">
        <v>74</v>
      </c>
      <c r="E501" t="s">
        <v>74</v>
      </c>
      <c r="F501" t="s">
        <v>9776</v>
      </c>
      <c r="G501" t="s">
        <v>74</v>
      </c>
      <c r="H501" t="s">
        <v>74</v>
      </c>
      <c r="I501" t="s">
        <v>9777</v>
      </c>
      <c r="J501" t="s">
        <v>5947</v>
      </c>
      <c r="K501" t="s">
        <v>74</v>
      </c>
      <c r="L501" t="s">
        <v>74</v>
      </c>
      <c r="M501" t="s">
        <v>78</v>
      </c>
      <c r="N501" t="s">
        <v>79</v>
      </c>
      <c r="O501" t="s">
        <v>74</v>
      </c>
      <c r="P501" t="s">
        <v>74</v>
      </c>
      <c r="Q501" t="s">
        <v>74</v>
      </c>
      <c r="R501" t="s">
        <v>74</v>
      </c>
      <c r="S501" t="s">
        <v>74</v>
      </c>
      <c r="T501" t="s">
        <v>9778</v>
      </c>
      <c r="U501" t="s">
        <v>9779</v>
      </c>
      <c r="V501" t="s">
        <v>9780</v>
      </c>
      <c r="W501" t="s">
        <v>9781</v>
      </c>
      <c r="X501" t="s">
        <v>3259</v>
      </c>
      <c r="Y501" t="s">
        <v>9782</v>
      </c>
      <c r="Z501" t="s">
        <v>9783</v>
      </c>
      <c r="AA501" t="s">
        <v>9784</v>
      </c>
      <c r="AB501" t="s">
        <v>9785</v>
      </c>
      <c r="AC501" t="s">
        <v>9786</v>
      </c>
      <c r="AD501" t="s">
        <v>9787</v>
      </c>
      <c r="AE501" t="s">
        <v>9788</v>
      </c>
      <c r="AF501" t="s">
        <v>74</v>
      </c>
      <c r="AG501">
        <v>48</v>
      </c>
      <c r="AH501">
        <v>6</v>
      </c>
      <c r="AI501">
        <v>7</v>
      </c>
      <c r="AJ501">
        <v>1</v>
      </c>
      <c r="AK501">
        <v>31</v>
      </c>
      <c r="AL501" t="s">
        <v>5960</v>
      </c>
      <c r="AM501" t="s">
        <v>5961</v>
      </c>
      <c r="AN501" t="s">
        <v>5962</v>
      </c>
      <c r="AO501" t="s">
        <v>5963</v>
      </c>
      <c r="AP501" t="s">
        <v>5964</v>
      </c>
      <c r="AQ501" t="s">
        <v>74</v>
      </c>
      <c r="AR501" t="s">
        <v>5965</v>
      </c>
      <c r="AS501" t="s">
        <v>5966</v>
      </c>
      <c r="AT501" t="s">
        <v>9789</v>
      </c>
      <c r="AU501">
        <v>2016</v>
      </c>
      <c r="AV501">
        <v>89</v>
      </c>
      <c r="AW501" t="s">
        <v>74</v>
      </c>
      <c r="AX501" t="s">
        <v>74</v>
      </c>
      <c r="AY501" t="s">
        <v>74</v>
      </c>
      <c r="AZ501" t="s">
        <v>74</v>
      </c>
      <c r="BA501" t="s">
        <v>74</v>
      </c>
      <c r="BB501" t="s">
        <v>74</v>
      </c>
      <c r="BC501" t="s">
        <v>74</v>
      </c>
      <c r="BD501">
        <v>3</v>
      </c>
      <c r="BE501" t="s">
        <v>9790</v>
      </c>
      <c r="BF501" t="str">
        <f>HYPERLINK("http://dx.doi.org/10.1186/s40693-016-0053-y","http://dx.doi.org/10.1186/s40693-016-0053-y")</f>
        <v>http://dx.doi.org/10.1186/s40693-016-0053-y</v>
      </c>
      <c r="BG501" t="s">
        <v>74</v>
      </c>
      <c r="BH501" t="s">
        <v>74</v>
      </c>
      <c r="BI501">
        <v>9</v>
      </c>
      <c r="BJ501" t="s">
        <v>291</v>
      </c>
      <c r="BK501" t="s">
        <v>102</v>
      </c>
      <c r="BL501" t="s">
        <v>133</v>
      </c>
      <c r="BM501" t="s">
        <v>9791</v>
      </c>
      <c r="BN501" t="s">
        <v>74</v>
      </c>
      <c r="BO501" t="s">
        <v>1684</v>
      </c>
      <c r="BP501" t="s">
        <v>74</v>
      </c>
      <c r="BQ501" t="s">
        <v>74</v>
      </c>
      <c r="BR501" t="s">
        <v>106</v>
      </c>
      <c r="BS501" t="s">
        <v>9792</v>
      </c>
      <c r="BT501" t="str">
        <f>HYPERLINK("https%3A%2F%2Fwww.webofscience.com%2Fwos%2Fwoscc%2Ffull-record%2FWOS:000372124800002","View Full Record in Web of Science")</f>
        <v>View Full Record in Web of Science</v>
      </c>
    </row>
    <row r="502" spans="1:72" x14ac:dyDescent="0.15">
      <c r="A502" t="s">
        <v>72</v>
      </c>
      <c r="B502" t="s">
        <v>9793</v>
      </c>
      <c r="C502" t="s">
        <v>74</v>
      </c>
      <c r="D502" t="s">
        <v>74</v>
      </c>
      <c r="E502" t="s">
        <v>74</v>
      </c>
      <c r="F502" t="s">
        <v>9794</v>
      </c>
      <c r="G502" t="s">
        <v>74</v>
      </c>
      <c r="H502" t="s">
        <v>74</v>
      </c>
      <c r="I502" t="s">
        <v>9795</v>
      </c>
      <c r="J502" t="s">
        <v>1467</v>
      </c>
      <c r="K502" t="s">
        <v>74</v>
      </c>
      <c r="L502" t="s">
        <v>74</v>
      </c>
      <c r="M502" t="s">
        <v>78</v>
      </c>
      <c r="N502" t="s">
        <v>79</v>
      </c>
      <c r="O502" t="s">
        <v>74</v>
      </c>
      <c r="P502" t="s">
        <v>74</v>
      </c>
      <c r="Q502" t="s">
        <v>74</v>
      </c>
      <c r="R502" t="s">
        <v>74</v>
      </c>
      <c r="S502" t="s">
        <v>74</v>
      </c>
      <c r="T502" t="s">
        <v>9796</v>
      </c>
      <c r="U502" t="s">
        <v>9797</v>
      </c>
      <c r="V502" t="s">
        <v>9798</v>
      </c>
      <c r="W502" t="s">
        <v>9799</v>
      </c>
      <c r="X502" t="s">
        <v>9182</v>
      </c>
      <c r="Y502" t="s">
        <v>9800</v>
      </c>
      <c r="Z502" t="s">
        <v>9184</v>
      </c>
      <c r="AA502" t="s">
        <v>9801</v>
      </c>
      <c r="AB502" t="s">
        <v>9802</v>
      </c>
      <c r="AC502" t="s">
        <v>9803</v>
      </c>
      <c r="AD502" t="s">
        <v>9804</v>
      </c>
      <c r="AE502" t="s">
        <v>9805</v>
      </c>
      <c r="AF502" t="s">
        <v>74</v>
      </c>
      <c r="AG502">
        <v>11</v>
      </c>
      <c r="AH502">
        <v>12</v>
      </c>
      <c r="AI502">
        <v>16</v>
      </c>
      <c r="AJ502">
        <v>0</v>
      </c>
      <c r="AK502">
        <v>19</v>
      </c>
      <c r="AL502" t="s">
        <v>582</v>
      </c>
      <c r="AM502" t="s">
        <v>583</v>
      </c>
      <c r="AN502" t="s">
        <v>584</v>
      </c>
      <c r="AO502" t="s">
        <v>1478</v>
      </c>
      <c r="AP502" t="s">
        <v>1479</v>
      </c>
      <c r="AQ502" t="s">
        <v>74</v>
      </c>
      <c r="AR502" t="s">
        <v>1480</v>
      </c>
      <c r="AS502" t="s">
        <v>1481</v>
      </c>
      <c r="AT502" t="s">
        <v>9789</v>
      </c>
      <c r="AU502">
        <v>2016</v>
      </c>
      <c r="AV502">
        <v>221</v>
      </c>
      <c r="AW502" t="s">
        <v>74</v>
      </c>
      <c r="AX502" t="s">
        <v>74</v>
      </c>
      <c r="AY502" t="s">
        <v>74</v>
      </c>
      <c r="AZ502" t="s">
        <v>74</v>
      </c>
      <c r="BA502" t="s">
        <v>74</v>
      </c>
      <c r="BB502">
        <v>114</v>
      </c>
      <c r="BC502">
        <v>115</v>
      </c>
      <c r="BD502" t="s">
        <v>74</v>
      </c>
      <c r="BE502" t="s">
        <v>9806</v>
      </c>
      <c r="BF502" t="str">
        <f>HYPERLINK("http://dx.doi.org/10.1016/j.jbiotec.2016.01.026","http://dx.doi.org/10.1016/j.jbiotec.2016.01.026")</f>
        <v>http://dx.doi.org/10.1016/j.jbiotec.2016.01.026</v>
      </c>
      <c r="BG502" t="s">
        <v>74</v>
      </c>
      <c r="BH502" t="s">
        <v>74</v>
      </c>
      <c r="BI502">
        <v>2</v>
      </c>
      <c r="BJ502" t="s">
        <v>1484</v>
      </c>
      <c r="BK502" t="s">
        <v>102</v>
      </c>
      <c r="BL502" t="s">
        <v>1484</v>
      </c>
      <c r="BM502" t="s">
        <v>9807</v>
      </c>
      <c r="BN502">
        <v>26808870</v>
      </c>
      <c r="BO502" t="s">
        <v>380</v>
      </c>
      <c r="BP502" t="s">
        <v>74</v>
      </c>
      <c r="BQ502" t="s">
        <v>74</v>
      </c>
      <c r="BR502" t="s">
        <v>106</v>
      </c>
      <c r="BS502" t="s">
        <v>9808</v>
      </c>
      <c r="BT502" t="str">
        <f>HYPERLINK("https%3A%2F%2Fwww.webofscience.com%2Fwos%2Fwoscc%2Ffull-record%2FWOS:000371459300015","View Full Record in Web of Science")</f>
        <v>View Full Record in Web of Science</v>
      </c>
    </row>
    <row r="503" spans="1:72" x14ac:dyDescent="0.15">
      <c r="A503" t="s">
        <v>72</v>
      </c>
      <c r="B503" t="s">
        <v>9809</v>
      </c>
      <c r="C503" t="s">
        <v>74</v>
      </c>
      <c r="D503" t="s">
        <v>74</v>
      </c>
      <c r="E503" t="s">
        <v>74</v>
      </c>
      <c r="F503" t="s">
        <v>9810</v>
      </c>
      <c r="G503" t="s">
        <v>74</v>
      </c>
      <c r="H503" t="s">
        <v>74</v>
      </c>
      <c r="I503" t="s">
        <v>9811</v>
      </c>
      <c r="J503" t="s">
        <v>9812</v>
      </c>
      <c r="K503" t="s">
        <v>74</v>
      </c>
      <c r="L503" t="s">
        <v>74</v>
      </c>
      <c r="M503" t="s">
        <v>78</v>
      </c>
      <c r="N503" t="s">
        <v>79</v>
      </c>
      <c r="O503" t="s">
        <v>74</v>
      </c>
      <c r="P503" t="s">
        <v>74</v>
      </c>
      <c r="Q503" t="s">
        <v>74</v>
      </c>
      <c r="R503" t="s">
        <v>74</v>
      </c>
      <c r="S503" t="s">
        <v>74</v>
      </c>
      <c r="T503" t="s">
        <v>9813</v>
      </c>
      <c r="U503" t="s">
        <v>9814</v>
      </c>
      <c r="V503" t="s">
        <v>9815</v>
      </c>
      <c r="W503" t="s">
        <v>9816</v>
      </c>
      <c r="X503" t="s">
        <v>9817</v>
      </c>
      <c r="Y503" t="s">
        <v>9818</v>
      </c>
      <c r="Z503" t="s">
        <v>9819</v>
      </c>
      <c r="AA503" t="s">
        <v>9820</v>
      </c>
      <c r="AB503" t="s">
        <v>9821</v>
      </c>
      <c r="AC503" t="s">
        <v>9822</v>
      </c>
      <c r="AD503" t="s">
        <v>9823</v>
      </c>
      <c r="AE503" t="s">
        <v>9824</v>
      </c>
      <c r="AF503" t="s">
        <v>74</v>
      </c>
      <c r="AG503">
        <v>36</v>
      </c>
      <c r="AH503">
        <v>9</v>
      </c>
      <c r="AI503">
        <v>9</v>
      </c>
      <c r="AJ503">
        <v>0</v>
      </c>
      <c r="AK503">
        <v>2</v>
      </c>
      <c r="AL503" t="s">
        <v>3662</v>
      </c>
      <c r="AM503" t="s">
        <v>262</v>
      </c>
      <c r="AN503" t="s">
        <v>3663</v>
      </c>
      <c r="AO503" t="s">
        <v>9825</v>
      </c>
      <c r="AP503" t="s">
        <v>9826</v>
      </c>
      <c r="AQ503" t="s">
        <v>74</v>
      </c>
      <c r="AR503" t="s">
        <v>9827</v>
      </c>
      <c r="AS503" t="s">
        <v>9828</v>
      </c>
      <c r="AT503" t="s">
        <v>9789</v>
      </c>
      <c r="AU503">
        <v>2016</v>
      </c>
      <c r="AV503">
        <v>33</v>
      </c>
      <c r="AW503" t="s">
        <v>74</v>
      </c>
      <c r="AX503" t="s">
        <v>74</v>
      </c>
      <c r="AY503" t="s">
        <v>74</v>
      </c>
      <c r="AZ503" t="s">
        <v>74</v>
      </c>
      <c r="BA503" t="s">
        <v>74</v>
      </c>
      <c r="BB503" t="s">
        <v>74</v>
      </c>
      <c r="BC503" t="s">
        <v>74</v>
      </c>
      <c r="BD503" t="s">
        <v>9829</v>
      </c>
      <c r="BE503" t="s">
        <v>9830</v>
      </c>
      <c r="BF503" t="str">
        <f>HYPERLINK("http://dx.doi.org/10.1017/pasa.2016.5","http://dx.doi.org/10.1017/pasa.2016.5")</f>
        <v>http://dx.doi.org/10.1017/pasa.2016.5</v>
      </c>
      <c r="BG503" t="s">
        <v>74</v>
      </c>
      <c r="BH503" t="s">
        <v>74</v>
      </c>
      <c r="BI503">
        <v>9</v>
      </c>
      <c r="BJ503" t="s">
        <v>248</v>
      </c>
      <c r="BK503" t="s">
        <v>102</v>
      </c>
      <c r="BL503" t="s">
        <v>248</v>
      </c>
      <c r="BM503" t="s">
        <v>9831</v>
      </c>
      <c r="BN503" t="s">
        <v>74</v>
      </c>
      <c r="BO503" t="s">
        <v>3386</v>
      </c>
      <c r="BP503" t="s">
        <v>74</v>
      </c>
      <c r="BQ503" t="s">
        <v>74</v>
      </c>
      <c r="BR503" t="s">
        <v>106</v>
      </c>
      <c r="BS503" t="s">
        <v>9832</v>
      </c>
      <c r="BT503" t="str">
        <f>HYPERLINK("https%3A%2F%2Fwww.webofscience.com%2Fwos%2Fwoscc%2Ffull-record%2FWOS:000371716900001","View Full Record in Web of Science")</f>
        <v>View Full Record in Web of Science</v>
      </c>
    </row>
    <row r="504" spans="1:72" x14ac:dyDescent="0.15">
      <c r="A504" t="s">
        <v>72</v>
      </c>
      <c r="B504" t="s">
        <v>9833</v>
      </c>
      <c r="C504" t="s">
        <v>74</v>
      </c>
      <c r="D504" t="s">
        <v>74</v>
      </c>
      <c r="E504" t="s">
        <v>74</v>
      </c>
      <c r="F504" t="s">
        <v>9834</v>
      </c>
      <c r="G504" t="s">
        <v>74</v>
      </c>
      <c r="H504" t="s">
        <v>74</v>
      </c>
      <c r="I504" t="s">
        <v>9835</v>
      </c>
      <c r="J504" t="s">
        <v>5947</v>
      </c>
      <c r="K504" t="s">
        <v>74</v>
      </c>
      <c r="L504" t="s">
        <v>74</v>
      </c>
      <c r="M504" t="s">
        <v>78</v>
      </c>
      <c r="N504" t="s">
        <v>79</v>
      </c>
      <c r="O504" t="s">
        <v>74</v>
      </c>
      <c r="P504" t="s">
        <v>74</v>
      </c>
      <c r="Q504" t="s">
        <v>74</v>
      </c>
      <c r="R504" t="s">
        <v>74</v>
      </c>
      <c r="S504" t="s">
        <v>74</v>
      </c>
      <c r="T504" t="s">
        <v>9836</v>
      </c>
      <c r="U504" t="s">
        <v>9837</v>
      </c>
      <c r="V504" t="s">
        <v>9838</v>
      </c>
      <c r="W504" t="s">
        <v>9839</v>
      </c>
      <c r="X504" t="s">
        <v>9840</v>
      </c>
      <c r="Y504" t="s">
        <v>9841</v>
      </c>
      <c r="Z504" t="s">
        <v>9842</v>
      </c>
      <c r="AA504" t="s">
        <v>9843</v>
      </c>
      <c r="AB504" t="s">
        <v>9844</v>
      </c>
      <c r="AC504" t="s">
        <v>9845</v>
      </c>
      <c r="AD504" t="s">
        <v>9846</v>
      </c>
      <c r="AE504" t="s">
        <v>9847</v>
      </c>
      <c r="AF504" t="s">
        <v>74</v>
      </c>
      <c r="AG504">
        <v>57</v>
      </c>
      <c r="AH504">
        <v>22</v>
      </c>
      <c r="AI504">
        <v>25</v>
      </c>
      <c r="AJ504">
        <v>3</v>
      </c>
      <c r="AK504">
        <v>12</v>
      </c>
      <c r="AL504" t="s">
        <v>5960</v>
      </c>
      <c r="AM504" t="s">
        <v>5961</v>
      </c>
      <c r="AN504" t="s">
        <v>5962</v>
      </c>
      <c r="AO504" t="s">
        <v>5963</v>
      </c>
      <c r="AP504" t="s">
        <v>5964</v>
      </c>
      <c r="AQ504" t="s">
        <v>74</v>
      </c>
      <c r="AR504" t="s">
        <v>5965</v>
      </c>
      <c r="AS504" t="s">
        <v>5966</v>
      </c>
      <c r="AT504" t="s">
        <v>9789</v>
      </c>
      <c r="AU504">
        <v>2016</v>
      </c>
      <c r="AV504">
        <v>89</v>
      </c>
      <c r="AW504" t="s">
        <v>74</v>
      </c>
      <c r="AX504" t="s">
        <v>74</v>
      </c>
      <c r="AY504" t="s">
        <v>74</v>
      </c>
      <c r="AZ504" t="s">
        <v>74</v>
      </c>
      <c r="BA504" t="s">
        <v>74</v>
      </c>
      <c r="BB504" t="s">
        <v>74</v>
      </c>
      <c r="BC504" t="s">
        <v>74</v>
      </c>
      <c r="BD504" t="s">
        <v>74</v>
      </c>
      <c r="BE504" t="s">
        <v>9848</v>
      </c>
      <c r="BF504" t="str">
        <f>HYPERLINK("http://dx.doi.org/10.1186/s40693-016-0052-z","http://dx.doi.org/10.1186/s40693-016-0052-z")</f>
        <v>http://dx.doi.org/10.1186/s40693-016-0052-z</v>
      </c>
      <c r="BG504" t="s">
        <v>74</v>
      </c>
      <c r="BH504" t="s">
        <v>74</v>
      </c>
      <c r="BI504">
        <v>9</v>
      </c>
      <c r="BJ504" t="s">
        <v>291</v>
      </c>
      <c r="BK504" t="s">
        <v>102</v>
      </c>
      <c r="BL504" t="s">
        <v>133</v>
      </c>
      <c r="BM504" t="s">
        <v>9791</v>
      </c>
      <c r="BN504" t="s">
        <v>74</v>
      </c>
      <c r="BO504" t="s">
        <v>1684</v>
      </c>
      <c r="BP504" t="s">
        <v>74</v>
      </c>
      <c r="BQ504" t="s">
        <v>74</v>
      </c>
      <c r="BR504" t="s">
        <v>106</v>
      </c>
      <c r="BS504" t="s">
        <v>9849</v>
      </c>
      <c r="BT504" t="str">
        <f>HYPERLINK("https%3A%2F%2Fwww.webofscience.com%2Fwos%2Fwoscc%2Ffull-record%2FWOS:000372124800001","View Full Record in Web of Science")</f>
        <v>View Full Record in Web of Science</v>
      </c>
    </row>
    <row r="505" spans="1:72" x14ac:dyDescent="0.15">
      <c r="A505" t="s">
        <v>72</v>
      </c>
      <c r="B505" t="s">
        <v>9850</v>
      </c>
      <c r="C505" t="s">
        <v>74</v>
      </c>
      <c r="D505" t="s">
        <v>74</v>
      </c>
      <c r="E505" t="s">
        <v>74</v>
      </c>
      <c r="F505" t="s">
        <v>9851</v>
      </c>
      <c r="G505" t="s">
        <v>74</v>
      </c>
      <c r="H505" t="s">
        <v>74</v>
      </c>
      <c r="I505" t="s">
        <v>9852</v>
      </c>
      <c r="J505" t="s">
        <v>1387</v>
      </c>
      <c r="K505" t="s">
        <v>74</v>
      </c>
      <c r="L505" t="s">
        <v>74</v>
      </c>
      <c r="M505" t="s">
        <v>78</v>
      </c>
      <c r="N505" t="s">
        <v>79</v>
      </c>
      <c r="O505" t="s">
        <v>74</v>
      </c>
      <c r="P505" t="s">
        <v>74</v>
      </c>
      <c r="Q505" t="s">
        <v>74</v>
      </c>
      <c r="R505" t="s">
        <v>74</v>
      </c>
      <c r="S505" t="s">
        <v>74</v>
      </c>
      <c r="T505" t="s">
        <v>9853</v>
      </c>
      <c r="U505" t="s">
        <v>9854</v>
      </c>
      <c r="V505" t="s">
        <v>9855</v>
      </c>
      <c r="W505" t="s">
        <v>9856</v>
      </c>
      <c r="X505" t="s">
        <v>9857</v>
      </c>
      <c r="Y505" t="s">
        <v>9858</v>
      </c>
      <c r="Z505" t="s">
        <v>9859</v>
      </c>
      <c r="AA505" t="s">
        <v>9860</v>
      </c>
      <c r="AB505" t="s">
        <v>9861</v>
      </c>
      <c r="AC505" t="s">
        <v>9862</v>
      </c>
      <c r="AD505" t="s">
        <v>9863</v>
      </c>
      <c r="AE505" t="s">
        <v>9864</v>
      </c>
      <c r="AF505" t="s">
        <v>74</v>
      </c>
      <c r="AG505">
        <v>76</v>
      </c>
      <c r="AH505">
        <v>2</v>
      </c>
      <c r="AI505">
        <v>2</v>
      </c>
      <c r="AJ505">
        <v>0</v>
      </c>
      <c r="AK505">
        <v>21</v>
      </c>
      <c r="AL505" t="s">
        <v>1400</v>
      </c>
      <c r="AM505" t="s">
        <v>1401</v>
      </c>
      <c r="AN505" t="s">
        <v>1402</v>
      </c>
      <c r="AO505" t="s">
        <v>1403</v>
      </c>
      <c r="AP505" t="s">
        <v>1404</v>
      </c>
      <c r="AQ505" t="s">
        <v>74</v>
      </c>
      <c r="AR505" t="s">
        <v>1405</v>
      </c>
      <c r="AS505" t="s">
        <v>1406</v>
      </c>
      <c r="AT505" t="s">
        <v>9865</v>
      </c>
      <c r="AU505">
        <v>2016</v>
      </c>
      <c r="AV505">
        <v>545</v>
      </c>
      <c r="AW505" t="s">
        <v>74</v>
      </c>
      <c r="AX505" t="s">
        <v>74</v>
      </c>
      <c r="AY505" t="s">
        <v>74</v>
      </c>
      <c r="AZ505" t="s">
        <v>74</v>
      </c>
      <c r="BA505" t="s">
        <v>74</v>
      </c>
      <c r="BB505">
        <v>227</v>
      </c>
      <c r="BC505">
        <v>238</v>
      </c>
      <c r="BD505" t="s">
        <v>74</v>
      </c>
      <c r="BE505" t="s">
        <v>9866</v>
      </c>
      <c r="BF505" t="str">
        <f>HYPERLINK("http://dx.doi.org/10.3354/meps11573","http://dx.doi.org/10.3354/meps11573")</f>
        <v>http://dx.doi.org/10.3354/meps11573</v>
      </c>
      <c r="BG505" t="s">
        <v>74</v>
      </c>
      <c r="BH505" t="s">
        <v>74</v>
      </c>
      <c r="BI505">
        <v>12</v>
      </c>
      <c r="BJ505" t="s">
        <v>1409</v>
      </c>
      <c r="BK505" t="s">
        <v>102</v>
      </c>
      <c r="BL505" t="s">
        <v>1410</v>
      </c>
      <c r="BM505" t="s">
        <v>9867</v>
      </c>
      <c r="BN505" t="s">
        <v>74</v>
      </c>
      <c r="BO505" t="s">
        <v>9868</v>
      </c>
      <c r="BP505" t="s">
        <v>74</v>
      </c>
      <c r="BQ505" t="s">
        <v>74</v>
      </c>
      <c r="BR505" t="s">
        <v>106</v>
      </c>
      <c r="BS505" t="s">
        <v>9869</v>
      </c>
      <c r="BT505" t="str">
        <f>HYPERLINK("https%3A%2F%2Fwww.webofscience.com%2Fwos%2Fwoscc%2Ffull-record%2FWOS:000372571700018","View Full Record in Web of Science")</f>
        <v>View Full Record in Web of Science</v>
      </c>
    </row>
    <row r="506" spans="1:72" x14ac:dyDescent="0.15">
      <c r="A506" t="s">
        <v>72</v>
      </c>
      <c r="B506" t="s">
        <v>9870</v>
      </c>
      <c r="C506" t="s">
        <v>74</v>
      </c>
      <c r="D506" t="s">
        <v>74</v>
      </c>
      <c r="E506" t="s">
        <v>74</v>
      </c>
      <c r="F506" t="s">
        <v>9871</v>
      </c>
      <c r="G506" t="s">
        <v>74</v>
      </c>
      <c r="H506" t="s">
        <v>74</v>
      </c>
      <c r="I506" t="s">
        <v>9872</v>
      </c>
      <c r="J506" t="s">
        <v>1387</v>
      </c>
      <c r="K506" t="s">
        <v>74</v>
      </c>
      <c r="L506" t="s">
        <v>74</v>
      </c>
      <c r="M506" t="s">
        <v>78</v>
      </c>
      <c r="N506" t="s">
        <v>79</v>
      </c>
      <c r="O506" t="s">
        <v>74</v>
      </c>
      <c r="P506" t="s">
        <v>74</v>
      </c>
      <c r="Q506" t="s">
        <v>74</v>
      </c>
      <c r="R506" t="s">
        <v>74</v>
      </c>
      <c r="S506" t="s">
        <v>74</v>
      </c>
      <c r="T506" t="s">
        <v>9873</v>
      </c>
      <c r="U506" t="s">
        <v>9874</v>
      </c>
      <c r="V506" t="s">
        <v>9875</v>
      </c>
      <c r="W506" t="s">
        <v>9876</v>
      </c>
      <c r="X506" t="s">
        <v>303</v>
      </c>
      <c r="Y506" t="s">
        <v>9877</v>
      </c>
      <c r="Z506" t="s">
        <v>9878</v>
      </c>
      <c r="AA506" t="s">
        <v>9879</v>
      </c>
      <c r="AB506" t="s">
        <v>9880</v>
      </c>
      <c r="AC506" t="s">
        <v>9881</v>
      </c>
      <c r="AD506" t="s">
        <v>9882</v>
      </c>
      <c r="AE506" t="s">
        <v>9883</v>
      </c>
      <c r="AF506" t="s">
        <v>74</v>
      </c>
      <c r="AG506">
        <v>37</v>
      </c>
      <c r="AH506">
        <v>4</v>
      </c>
      <c r="AI506">
        <v>4</v>
      </c>
      <c r="AJ506">
        <v>0</v>
      </c>
      <c r="AK506">
        <v>13</v>
      </c>
      <c r="AL506" t="s">
        <v>1400</v>
      </c>
      <c r="AM506" t="s">
        <v>1401</v>
      </c>
      <c r="AN506" t="s">
        <v>1402</v>
      </c>
      <c r="AO506" t="s">
        <v>1403</v>
      </c>
      <c r="AP506" t="s">
        <v>1404</v>
      </c>
      <c r="AQ506" t="s">
        <v>74</v>
      </c>
      <c r="AR506" t="s">
        <v>1405</v>
      </c>
      <c r="AS506" t="s">
        <v>1406</v>
      </c>
      <c r="AT506" t="s">
        <v>9865</v>
      </c>
      <c r="AU506">
        <v>2016</v>
      </c>
      <c r="AV506">
        <v>545</v>
      </c>
      <c r="AW506" t="s">
        <v>74</v>
      </c>
      <c r="AX506" t="s">
        <v>74</v>
      </c>
      <c r="AY506" t="s">
        <v>74</v>
      </c>
      <c r="AZ506" t="s">
        <v>74</v>
      </c>
      <c r="BA506" t="s">
        <v>74</v>
      </c>
      <c r="BB506">
        <v>239</v>
      </c>
      <c r="BC506">
        <v>249</v>
      </c>
      <c r="BD506" t="s">
        <v>74</v>
      </c>
      <c r="BE506" t="s">
        <v>9884</v>
      </c>
      <c r="BF506" t="str">
        <f>HYPERLINK("http://dx.doi.org/10.3354/meps11584","http://dx.doi.org/10.3354/meps11584")</f>
        <v>http://dx.doi.org/10.3354/meps11584</v>
      </c>
      <c r="BG506" t="s">
        <v>74</v>
      </c>
      <c r="BH506" t="s">
        <v>74</v>
      </c>
      <c r="BI506">
        <v>11</v>
      </c>
      <c r="BJ506" t="s">
        <v>1409</v>
      </c>
      <c r="BK506" t="s">
        <v>102</v>
      </c>
      <c r="BL506" t="s">
        <v>1410</v>
      </c>
      <c r="BM506" t="s">
        <v>9867</v>
      </c>
      <c r="BN506" t="s">
        <v>74</v>
      </c>
      <c r="BO506" t="s">
        <v>9156</v>
      </c>
      <c r="BP506" t="s">
        <v>74</v>
      </c>
      <c r="BQ506" t="s">
        <v>74</v>
      </c>
      <c r="BR506" t="s">
        <v>106</v>
      </c>
      <c r="BS506" t="s">
        <v>9885</v>
      </c>
      <c r="BT506" t="str">
        <f>HYPERLINK("https%3A%2F%2Fwww.webofscience.com%2Fwos%2Fwoscc%2Ffull-record%2FWOS:000372571700019","View Full Record in Web of Science")</f>
        <v>View Full Record in Web of Science</v>
      </c>
    </row>
    <row r="507" spans="1:72" x14ac:dyDescent="0.15">
      <c r="A507" t="s">
        <v>72</v>
      </c>
      <c r="B507" t="s">
        <v>9886</v>
      </c>
      <c r="C507" t="s">
        <v>74</v>
      </c>
      <c r="D507" t="s">
        <v>74</v>
      </c>
      <c r="E507" t="s">
        <v>74</v>
      </c>
      <c r="F507" t="s">
        <v>9887</v>
      </c>
      <c r="G507" t="s">
        <v>74</v>
      </c>
      <c r="H507" t="s">
        <v>74</v>
      </c>
      <c r="I507" t="s">
        <v>9888</v>
      </c>
      <c r="J507" t="s">
        <v>1220</v>
      </c>
      <c r="K507" t="s">
        <v>74</v>
      </c>
      <c r="L507" t="s">
        <v>74</v>
      </c>
      <c r="M507" t="s">
        <v>78</v>
      </c>
      <c r="N507" t="s">
        <v>79</v>
      </c>
      <c r="O507" t="s">
        <v>74</v>
      </c>
      <c r="P507" t="s">
        <v>74</v>
      </c>
      <c r="Q507" t="s">
        <v>74</v>
      </c>
      <c r="R507" t="s">
        <v>74</v>
      </c>
      <c r="S507" t="s">
        <v>74</v>
      </c>
      <c r="T507" t="s">
        <v>9889</v>
      </c>
      <c r="U507" t="s">
        <v>9890</v>
      </c>
      <c r="V507" t="s">
        <v>9891</v>
      </c>
      <c r="W507" t="s">
        <v>9892</v>
      </c>
      <c r="X507" t="s">
        <v>9893</v>
      </c>
      <c r="Y507" t="s">
        <v>9894</v>
      </c>
      <c r="Z507" t="s">
        <v>9895</v>
      </c>
      <c r="AA507" t="s">
        <v>9896</v>
      </c>
      <c r="AB507" t="s">
        <v>9897</v>
      </c>
      <c r="AC507" t="s">
        <v>9898</v>
      </c>
      <c r="AD507" t="s">
        <v>9899</v>
      </c>
      <c r="AE507" t="s">
        <v>9900</v>
      </c>
      <c r="AF507" t="s">
        <v>74</v>
      </c>
      <c r="AG507">
        <v>73</v>
      </c>
      <c r="AH507">
        <v>122</v>
      </c>
      <c r="AI507">
        <v>125</v>
      </c>
      <c r="AJ507">
        <v>0</v>
      </c>
      <c r="AK507">
        <v>151</v>
      </c>
      <c r="AL507" t="s">
        <v>1230</v>
      </c>
      <c r="AM507" t="s">
        <v>93</v>
      </c>
      <c r="AN507" t="s">
        <v>1231</v>
      </c>
      <c r="AO507" t="s">
        <v>1232</v>
      </c>
      <c r="AP507" t="s">
        <v>74</v>
      </c>
      <c r="AQ507" t="s">
        <v>74</v>
      </c>
      <c r="AR507" t="s">
        <v>1234</v>
      </c>
      <c r="AS507" t="s">
        <v>1235</v>
      </c>
      <c r="AT507" t="s">
        <v>9865</v>
      </c>
      <c r="AU507">
        <v>2016</v>
      </c>
      <c r="AV507">
        <v>113</v>
      </c>
      <c r="AW507">
        <v>10</v>
      </c>
      <c r="AX507" t="s">
        <v>74</v>
      </c>
      <c r="AY507" t="s">
        <v>74</v>
      </c>
      <c r="AZ507" t="s">
        <v>74</v>
      </c>
      <c r="BA507" t="s">
        <v>74</v>
      </c>
      <c r="BB507">
        <v>2597</v>
      </c>
      <c r="BC507">
        <v>2602</v>
      </c>
      <c r="BD507" t="s">
        <v>74</v>
      </c>
      <c r="BE507" t="s">
        <v>9901</v>
      </c>
      <c r="BF507" t="str">
        <f>HYPERLINK("http://dx.doi.org/10.1073/pnas.1500515113","http://dx.doi.org/10.1073/pnas.1500515113")</f>
        <v>http://dx.doi.org/10.1073/pnas.1500515113</v>
      </c>
      <c r="BG507" t="s">
        <v>74</v>
      </c>
      <c r="BH507" t="s">
        <v>74</v>
      </c>
      <c r="BI507">
        <v>6</v>
      </c>
      <c r="BJ507" t="s">
        <v>753</v>
      </c>
      <c r="BK507" t="s">
        <v>102</v>
      </c>
      <c r="BL507" t="s">
        <v>754</v>
      </c>
      <c r="BM507" t="s">
        <v>9902</v>
      </c>
      <c r="BN507">
        <v>26903648</v>
      </c>
      <c r="BO507" t="s">
        <v>293</v>
      </c>
      <c r="BP507" t="s">
        <v>74</v>
      </c>
      <c r="BQ507" t="s">
        <v>74</v>
      </c>
      <c r="BR507" t="s">
        <v>106</v>
      </c>
      <c r="BS507" t="s">
        <v>9903</v>
      </c>
      <c r="BT507" t="str">
        <f>HYPERLINK("https%3A%2F%2Fwww.webofscience.com%2Fwos%2Fwoscc%2Ffull-record%2FWOS:000372013300026","View Full Record in Web of Science")</f>
        <v>View Full Record in Web of Science</v>
      </c>
    </row>
    <row r="508" spans="1:72" x14ac:dyDescent="0.15">
      <c r="A508" t="s">
        <v>72</v>
      </c>
      <c r="B508" t="s">
        <v>9904</v>
      </c>
      <c r="C508" t="s">
        <v>74</v>
      </c>
      <c r="D508" t="s">
        <v>74</v>
      </c>
      <c r="E508" t="s">
        <v>74</v>
      </c>
      <c r="F508" t="s">
        <v>9905</v>
      </c>
      <c r="G508" t="s">
        <v>74</v>
      </c>
      <c r="H508" t="s">
        <v>74</v>
      </c>
      <c r="I508" t="s">
        <v>9906</v>
      </c>
      <c r="J508" t="s">
        <v>1350</v>
      </c>
      <c r="K508" t="s">
        <v>74</v>
      </c>
      <c r="L508" t="s">
        <v>74</v>
      </c>
      <c r="M508" t="s">
        <v>78</v>
      </c>
      <c r="N508" t="s">
        <v>79</v>
      </c>
      <c r="O508" t="s">
        <v>74</v>
      </c>
      <c r="P508" t="s">
        <v>74</v>
      </c>
      <c r="Q508" t="s">
        <v>74</v>
      </c>
      <c r="R508" t="s">
        <v>74</v>
      </c>
      <c r="S508" t="s">
        <v>74</v>
      </c>
      <c r="T508" t="s">
        <v>74</v>
      </c>
      <c r="U508" t="s">
        <v>9907</v>
      </c>
      <c r="V508" t="s">
        <v>9908</v>
      </c>
      <c r="W508" t="s">
        <v>9909</v>
      </c>
      <c r="X508" t="s">
        <v>9910</v>
      </c>
      <c r="Y508" t="s">
        <v>9911</v>
      </c>
      <c r="Z508" t="s">
        <v>9912</v>
      </c>
      <c r="AA508" t="s">
        <v>9913</v>
      </c>
      <c r="AB508" t="s">
        <v>9914</v>
      </c>
      <c r="AC508" t="s">
        <v>9915</v>
      </c>
      <c r="AD508" t="s">
        <v>9916</v>
      </c>
      <c r="AE508" t="s">
        <v>9917</v>
      </c>
      <c r="AF508" t="s">
        <v>74</v>
      </c>
      <c r="AG508">
        <v>109</v>
      </c>
      <c r="AH508">
        <v>25</v>
      </c>
      <c r="AI508">
        <v>29</v>
      </c>
      <c r="AJ508">
        <v>2</v>
      </c>
      <c r="AK508">
        <v>83</v>
      </c>
      <c r="AL508" t="s">
        <v>746</v>
      </c>
      <c r="AM508" t="s">
        <v>747</v>
      </c>
      <c r="AN508" t="s">
        <v>748</v>
      </c>
      <c r="AO508" t="s">
        <v>1362</v>
      </c>
      <c r="AP508" t="s">
        <v>74</v>
      </c>
      <c r="AQ508" t="s">
        <v>74</v>
      </c>
      <c r="AR508" t="s">
        <v>1363</v>
      </c>
      <c r="AS508" t="s">
        <v>1364</v>
      </c>
      <c r="AT508" t="s">
        <v>9865</v>
      </c>
      <c r="AU508">
        <v>2016</v>
      </c>
      <c r="AV508">
        <v>6</v>
      </c>
      <c r="AW508" t="s">
        <v>74</v>
      </c>
      <c r="AX508" t="s">
        <v>74</v>
      </c>
      <c r="AY508" t="s">
        <v>74</v>
      </c>
      <c r="AZ508" t="s">
        <v>74</v>
      </c>
      <c r="BA508" t="s">
        <v>74</v>
      </c>
      <c r="BB508" t="s">
        <v>74</v>
      </c>
      <c r="BC508" t="s">
        <v>74</v>
      </c>
      <c r="BD508">
        <v>22291</v>
      </c>
      <c r="BE508" t="s">
        <v>9918</v>
      </c>
      <c r="BF508" t="str">
        <f>HYPERLINK("http://dx.doi.org/10.1038/srep22291","http://dx.doi.org/10.1038/srep22291")</f>
        <v>http://dx.doi.org/10.1038/srep22291</v>
      </c>
      <c r="BG508" t="s">
        <v>74</v>
      </c>
      <c r="BH508" t="s">
        <v>74</v>
      </c>
      <c r="BI508">
        <v>11</v>
      </c>
      <c r="BJ508" t="s">
        <v>753</v>
      </c>
      <c r="BK508" t="s">
        <v>102</v>
      </c>
      <c r="BL508" t="s">
        <v>754</v>
      </c>
      <c r="BM508" t="s">
        <v>9919</v>
      </c>
      <c r="BN508">
        <v>26951747</v>
      </c>
      <c r="BO508" t="s">
        <v>1684</v>
      </c>
      <c r="BP508" t="s">
        <v>74</v>
      </c>
      <c r="BQ508" t="s">
        <v>74</v>
      </c>
      <c r="BR508" t="s">
        <v>106</v>
      </c>
      <c r="BS508" t="s">
        <v>9920</v>
      </c>
      <c r="BT508" t="str">
        <f>HYPERLINK("https%3A%2F%2Fwww.webofscience.com%2Fwos%2Fwoscc%2Ffull-record%2FWOS:000371645000001","View Full Record in Web of Science")</f>
        <v>View Full Record in Web of Science</v>
      </c>
    </row>
    <row r="509" spans="1:72" x14ac:dyDescent="0.15">
      <c r="A509" t="s">
        <v>72</v>
      </c>
      <c r="B509" t="s">
        <v>9921</v>
      </c>
      <c r="C509" t="s">
        <v>74</v>
      </c>
      <c r="D509" t="s">
        <v>74</v>
      </c>
      <c r="E509" t="s">
        <v>74</v>
      </c>
      <c r="F509" t="s">
        <v>9922</v>
      </c>
      <c r="G509" t="s">
        <v>74</v>
      </c>
      <c r="H509" t="s">
        <v>74</v>
      </c>
      <c r="I509" t="s">
        <v>9923</v>
      </c>
      <c r="J509" t="s">
        <v>1350</v>
      </c>
      <c r="K509" t="s">
        <v>74</v>
      </c>
      <c r="L509" t="s">
        <v>74</v>
      </c>
      <c r="M509" t="s">
        <v>78</v>
      </c>
      <c r="N509" t="s">
        <v>79</v>
      </c>
      <c r="O509" t="s">
        <v>74</v>
      </c>
      <c r="P509" t="s">
        <v>74</v>
      </c>
      <c r="Q509" t="s">
        <v>74</v>
      </c>
      <c r="R509" t="s">
        <v>74</v>
      </c>
      <c r="S509" t="s">
        <v>74</v>
      </c>
      <c r="T509" t="s">
        <v>74</v>
      </c>
      <c r="U509" t="s">
        <v>9924</v>
      </c>
      <c r="V509" t="s">
        <v>9925</v>
      </c>
      <c r="W509" t="s">
        <v>9926</v>
      </c>
      <c r="X509" t="s">
        <v>9927</v>
      </c>
      <c r="Y509" t="s">
        <v>9928</v>
      </c>
      <c r="Z509" t="s">
        <v>9929</v>
      </c>
      <c r="AA509" t="s">
        <v>9930</v>
      </c>
      <c r="AB509" t="s">
        <v>9931</v>
      </c>
      <c r="AC509" t="s">
        <v>9932</v>
      </c>
      <c r="AD509" t="s">
        <v>9933</v>
      </c>
      <c r="AE509" t="s">
        <v>9934</v>
      </c>
      <c r="AF509" t="s">
        <v>74</v>
      </c>
      <c r="AG509">
        <v>49</v>
      </c>
      <c r="AH509">
        <v>16</v>
      </c>
      <c r="AI509">
        <v>17</v>
      </c>
      <c r="AJ509">
        <v>0</v>
      </c>
      <c r="AK509">
        <v>25</v>
      </c>
      <c r="AL509" t="s">
        <v>746</v>
      </c>
      <c r="AM509" t="s">
        <v>747</v>
      </c>
      <c r="AN509" t="s">
        <v>748</v>
      </c>
      <c r="AO509" t="s">
        <v>1362</v>
      </c>
      <c r="AP509" t="s">
        <v>74</v>
      </c>
      <c r="AQ509" t="s">
        <v>74</v>
      </c>
      <c r="AR509" t="s">
        <v>1363</v>
      </c>
      <c r="AS509" t="s">
        <v>1364</v>
      </c>
      <c r="AT509" t="s">
        <v>9935</v>
      </c>
      <c r="AU509">
        <v>2016</v>
      </c>
      <c r="AV509">
        <v>6</v>
      </c>
      <c r="AW509" t="s">
        <v>74</v>
      </c>
      <c r="AX509" t="s">
        <v>74</v>
      </c>
      <c r="AY509" t="s">
        <v>74</v>
      </c>
      <c r="AZ509" t="s">
        <v>74</v>
      </c>
      <c r="BA509" t="s">
        <v>74</v>
      </c>
      <c r="BB509" t="s">
        <v>74</v>
      </c>
      <c r="BC509" t="s">
        <v>74</v>
      </c>
      <c r="BD509">
        <v>22723</v>
      </c>
      <c r="BE509" t="s">
        <v>9936</v>
      </c>
      <c r="BF509" t="str">
        <f>HYPERLINK("http://dx.doi.org/10.1038/srep22723","http://dx.doi.org/10.1038/srep22723")</f>
        <v>http://dx.doi.org/10.1038/srep22723</v>
      </c>
      <c r="BG509" t="s">
        <v>74</v>
      </c>
      <c r="BH509" t="s">
        <v>74</v>
      </c>
      <c r="BI509">
        <v>9</v>
      </c>
      <c r="BJ509" t="s">
        <v>753</v>
      </c>
      <c r="BK509" t="s">
        <v>102</v>
      </c>
      <c r="BL509" t="s">
        <v>754</v>
      </c>
      <c r="BM509" t="s">
        <v>9937</v>
      </c>
      <c r="BN509">
        <v>26947006</v>
      </c>
      <c r="BO509" t="s">
        <v>8448</v>
      </c>
      <c r="BP509" t="s">
        <v>74</v>
      </c>
      <c r="BQ509" t="s">
        <v>74</v>
      </c>
      <c r="BR509" t="s">
        <v>106</v>
      </c>
      <c r="BS509" t="s">
        <v>9938</v>
      </c>
      <c r="BT509" t="str">
        <f>HYPERLINK("https%3A%2F%2Fwww.webofscience.com%2Fwos%2Fwoscc%2Ffull-record%2FWOS:000371410300003","View Full Record in Web of Science")</f>
        <v>View Full Record in Web of Science</v>
      </c>
    </row>
    <row r="510" spans="1:72" x14ac:dyDescent="0.15">
      <c r="A510" t="s">
        <v>72</v>
      </c>
      <c r="B510" t="s">
        <v>9939</v>
      </c>
      <c r="C510" t="s">
        <v>74</v>
      </c>
      <c r="D510" t="s">
        <v>74</v>
      </c>
      <c r="E510" t="s">
        <v>74</v>
      </c>
      <c r="F510" t="s">
        <v>9940</v>
      </c>
      <c r="G510" t="s">
        <v>74</v>
      </c>
      <c r="H510" t="s">
        <v>74</v>
      </c>
      <c r="I510" t="s">
        <v>9941</v>
      </c>
      <c r="J510" t="s">
        <v>9942</v>
      </c>
      <c r="K510" t="s">
        <v>74</v>
      </c>
      <c r="L510" t="s">
        <v>74</v>
      </c>
      <c r="M510" t="s">
        <v>78</v>
      </c>
      <c r="N510" t="s">
        <v>79</v>
      </c>
      <c r="O510" t="s">
        <v>74</v>
      </c>
      <c r="P510" t="s">
        <v>74</v>
      </c>
      <c r="Q510" t="s">
        <v>74</v>
      </c>
      <c r="R510" t="s">
        <v>74</v>
      </c>
      <c r="S510" t="s">
        <v>74</v>
      </c>
      <c r="T510" t="s">
        <v>74</v>
      </c>
      <c r="U510" t="s">
        <v>9943</v>
      </c>
      <c r="V510" t="s">
        <v>9944</v>
      </c>
      <c r="W510" t="s">
        <v>9945</v>
      </c>
      <c r="X510" t="s">
        <v>9946</v>
      </c>
      <c r="Y510" t="s">
        <v>9947</v>
      </c>
      <c r="Z510" t="s">
        <v>9948</v>
      </c>
      <c r="AA510" t="s">
        <v>9949</v>
      </c>
      <c r="AB510" t="s">
        <v>9950</v>
      </c>
      <c r="AC510" t="s">
        <v>9951</v>
      </c>
      <c r="AD510" t="s">
        <v>9952</v>
      </c>
      <c r="AE510" t="s">
        <v>9953</v>
      </c>
      <c r="AF510" t="s">
        <v>74</v>
      </c>
      <c r="AG510">
        <v>54</v>
      </c>
      <c r="AH510">
        <v>28</v>
      </c>
      <c r="AI510">
        <v>31</v>
      </c>
      <c r="AJ510">
        <v>0</v>
      </c>
      <c r="AK510">
        <v>7</v>
      </c>
      <c r="AL510" t="s">
        <v>9954</v>
      </c>
      <c r="AM510" t="s">
        <v>9955</v>
      </c>
      <c r="AN510" t="s">
        <v>9956</v>
      </c>
      <c r="AO510" t="s">
        <v>9957</v>
      </c>
      <c r="AP510" t="s">
        <v>9958</v>
      </c>
      <c r="AQ510" t="s">
        <v>74</v>
      </c>
      <c r="AR510" t="s">
        <v>9959</v>
      </c>
      <c r="AS510" t="s">
        <v>9960</v>
      </c>
      <c r="AT510" t="s">
        <v>9961</v>
      </c>
      <c r="AU510">
        <v>2016</v>
      </c>
      <c r="AV510">
        <v>36</v>
      </c>
      <c r="AW510">
        <v>2</v>
      </c>
      <c r="AX510" t="s">
        <v>74</v>
      </c>
      <c r="AY510" t="s">
        <v>74</v>
      </c>
      <c r="AZ510" t="s">
        <v>74</v>
      </c>
      <c r="BA510" t="s">
        <v>74</v>
      </c>
      <c r="BB510" t="s">
        <v>74</v>
      </c>
      <c r="BC510" t="s">
        <v>74</v>
      </c>
      <c r="BD510" t="s">
        <v>9962</v>
      </c>
      <c r="BE510" t="s">
        <v>9963</v>
      </c>
      <c r="BF510" t="str">
        <f>HYPERLINK("http://dx.doi.org/10.1080/02724634.2015.1054494","http://dx.doi.org/10.1080/02724634.2015.1054494")</f>
        <v>http://dx.doi.org/10.1080/02724634.2015.1054494</v>
      </c>
      <c r="BG510" t="s">
        <v>74</v>
      </c>
      <c r="BH510" t="s">
        <v>74</v>
      </c>
      <c r="BI510">
        <v>14</v>
      </c>
      <c r="BJ510" t="s">
        <v>2265</v>
      </c>
      <c r="BK510" t="s">
        <v>102</v>
      </c>
      <c r="BL510" t="s">
        <v>2265</v>
      </c>
      <c r="BM510" t="s">
        <v>9964</v>
      </c>
      <c r="BN510" t="s">
        <v>74</v>
      </c>
      <c r="BO510" t="s">
        <v>1143</v>
      </c>
      <c r="BP510" t="s">
        <v>74</v>
      </c>
      <c r="BQ510" t="s">
        <v>74</v>
      </c>
      <c r="BR510" t="s">
        <v>106</v>
      </c>
      <c r="BS510" t="s">
        <v>9965</v>
      </c>
      <c r="BT510" t="str">
        <f>HYPERLINK("https%3A%2F%2Fwww.webofscience.com%2Fwos%2Fwoscc%2Ffull-record%2FWOS:000372953300017","View Full Record in Web of Science")</f>
        <v>View Full Record in Web of Science</v>
      </c>
    </row>
    <row r="511" spans="1:72" x14ac:dyDescent="0.15">
      <c r="A511" t="s">
        <v>72</v>
      </c>
      <c r="B511" t="s">
        <v>9966</v>
      </c>
      <c r="C511" t="s">
        <v>74</v>
      </c>
      <c r="D511" t="s">
        <v>74</v>
      </c>
      <c r="E511" t="s">
        <v>74</v>
      </c>
      <c r="F511" t="s">
        <v>9967</v>
      </c>
      <c r="G511" t="s">
        <v>74</v>
      </c>
      <c r="H511" t="s">
        <v>74</v>
      </c>
      <c r="I511" t="s">
        <v>9968</v>
      </c>
      <c r="J511" t="s">
        <v>9969</v>
      </c>
      <c r="K511" t="s">
        <v>74</v>
      </c>
      <c r="L511" t="s">
        <v>74</v>
      </c>
      <c r="M511" t="s">
        <v>78</v>
      </c>
      <c r="N511" t="s">
        <v>79</v>
      </c>
      <c r="O511" t="s">
        <v>74</v>
      </c>
      <c r="P511" t="s">
        <v>74</v>
      </c>
      <c r="Q511" t="s">
        <v>74</v>
      </c>
      <c r="R511" t="s">
        <v>74</v>
      </c>
      <c r="S511" t="s">
        <v>74</v>
      </c>
      <c r="T511" t="s">
        <v>9970</v>
      </c>
      <c r="U511" t="s">
        <v>9971</v>
      </c>
      <c r="V511" t="s">
        <v>9972</v>
      </c>
      <c r="W511" t="s">
        <v>9973</v>
      </c>
      <c r="X511" t="s">
        <v>9974</v>
      </c>
      <c r="Y511" t="s">
        <v>9975</v>
      </c>
      <c r="Z511" t="s">
        <v>9976</v>
      </c>
      <c r="AA511" t="s">
        <v>74</v>
      </c>
      <c r="AB511" t="s">
        <v>1474</v>
      </c>
      <c r="AC511" t="s">
        <v>9977</v>
      </c>
      <c r="AD511" t="s">
        <v>9978</v>
      </c>
      <c r="AE511" t="s">
        <v>9979</v>
      </c>
      <c r="AF511" t="s">
        <v>74</v>
      </c>
      <c r="AG511">
        <v>16</v>
      </c>
      <c r="AH511">
        <v>7</v>
      </c>
      <c r="AI511">
        <v>7</v>
      </c>
      <c r="AJ511">
        <v>1</v>
      </c>
      <c r="AK511">
        <v>9</v>
      </c>
      <c r="AL511" t="s">
        <v>454</v>
      </c>
      <c r="AM511" t="s">
        <v>455</v>
      </c>
      <c r="AN511" t="s">
        <v>456</v>
      </c>
      <c r="AO511" t="s">
        <v>9980</v>
      </c>
      <c r="AP511" t="s">
        <v>9981</v>
      </c>
      <c r="AQ511" t="s">
        <v>74</v>
      </c>
      <c r="AR511" t="s">
        <v>9982</v>
      </c>
      <c r="AS511" t="s">
        <v>9983</v>
      </c>
      <c r="AT511" t="s">
        <v>9961</v>
      </c>
      <c r="AU511">
        <v>2016</v>
      </c>
      <c r="AV511">
        <v>27</v>
      </c>
      <c r="AW511">
        <v>2</v>
      </c>
      <c r="AX511" t="s">
        <v>74</v>
      </c>
      <c r="AY511" t="s">
        <v>74</v>
      </c>
      <c r="AZ511" t="s">
        <v>74</v>
      </c>
      <c r="BA511" t="s">
        <v>74</v>
      </c>
      <c r="BB511">
        <v>1407</v>
      </c>
      <c r="BC511">
        <v>1408</v>
      </c>
      <c r="BD511" t="s">
        <v>74</v>
      </c>
      <c r="BE511" t="s">
        <v>9984</v>
      </c>
      <c r="BF511" t="str">
        <f>HYPERLINK("http://dx.doi.org/10.3109/19401736.2014.947603","http://dx.doi.org/10.3109/19401736.2014.947603")</f>
        <v>http://dx.doi.org/10.3109/19401736.2014.947603</v>
      </c>
      <c r="BG511" t="s">
        <v>74</v>
      </c>
      <c r="BH511" t="s">
        <v>74</v>
      </c>
      <c r="BI511">
        <v>2</v>
      </c>
      <c r="BJ511" t="s">
        <v>9985</v>
      </c>
      <c r="BK511" t="s">
        <v>102</v>
      </c>
      <c r="BL511" t="s">
        <v>9985</v>
      </c>
      <c r="BM511" t="s">
        <v>9986</v>
      </c>
      <c r="BN511">
        <v>25121834</v>
      </c>
      <c r="BO511" t="s">
        <v>74</v>
      </c>
      <c r="BP511" t="s">
        <v>74</v>
      </c>
      <c r="BQ511" t="s">
        <v>74</v>
      </c>
      <c r="BR511" t="s">
        <v>106</v>
      </c>
      <c r="BS511" t="s">
        <v>9987</v>
      </c>
      <c r="BT511" t="str">
        <f>HYPERLINK("https%3A%2F%2Fwww.webofscience.com%2Fwos%2Fwoscc%2Ffull-record%2FWOS:000366464400255","View Full Record in Web of Science")</f>
        <v>View Full Record in Web of Science</v>
      </c>
    </row>
    <row r="512" spans="1:72" x14ac:dyDescent="0.15">
      <c r="A512" t="s">
        <v>72</v>
      </c>
      <c r="B512" t="s">
        <v>9988</v>
      </c>
      <c r="C512" t="s">
        <v>74</v>
      </c>
      <c r="D512" t="s">
        <v>74</v>
      </c>
      <c r="E512" t="s">
        <v>74</v>
      </c>
      <c r="F512" t="s">
        <v>9989</v>
      </c>
      <c r="G512" t="s">
        <v>74</v>
      </c>
      <c r="H512" t="s">
        <v>74</v>
      </c>
      <c r="I512" t="s">
        <v>9990</v>
      </c>
      <c r="J512" t="s">
        <v>9991</v>
      </c>
      <c r="K512" t="s">
        <v>74</v>
      </c>
      <c r="L512" t="s">
        <v>74</v>
      </c>
      <c r="M512" t="s">
        <v>78</v>
      </c>
      <c r="N512" t="s">
        <v>79</v>
      </c>
      <c r="O512" t="s">
        <v>74</v>
      </c>
      <c r="P512" t="s">
        <v>74</v>
      </c>
      <c r="Q512" t="s">
        <v>74</v>
      </c>
      <c r="R512" t="s">
        <v>74</v>
      </c>
      <c r="S512" t="s">
        <v>74</v>
      </c>
      <c r="T512" t="s">
        <v>9992</v>
      </c>
      <c r="U512" t="s">
        <v>9993</v>
      </c>
      <c r="V512" t="s">
        <v>9994</v>
      </c>
      <c r="W512" t="s">
        <v>9995</v>
      </c>
      <c r="X512" t="s">
        <v>9996</v>
      </c>
      <c r="Y512" t="s">
        <v>9997</v>
      </c>
      <c r="Z512" t="s">
        <v>9998</v>
      </c>
      <c r="AA512" t="s">
        <v>9999</v>
      </c>
      <c r="AB512" t="s">
        <v>10000</v>
      </c>
      <c r="AC512" t="s">
        <v>10001</v>
      </c>
      <c r="AD512" t="s">
        <v>10002</v>
      </c>
      <c r="AE512" t="s">
        <v>10003</v>
      </c>
      <c r="AF512" t="s">
        <v>74</v>
      </c>
      <c r="AG512">
        <v>88</v>
      </c>
      <c r="AH512">
        <v>16</v>
      </c>
      <c r="AI512">
        <v>18</v>
      </c>
      <c r="AJ512">
        <v>0</v>
      </c>
      <c r="AK512">
        <v>24</v>
      </c>
      <c r="AL512" t="s">
        <v>454</v>
      </c>
      <c r="AM512" t="s">
        <v>455</v>
      </c>
      <c r="AN512" t="s">
        <v>456</v>
      </c>
      <c r="AO512" t="s">
        <v>10004</v>
      </c>
      <c r="AP512" t="s">
        <v>10005</v>
      </c>
      <c r="AQ512" t="s">
        <v>74</v>
      </c>
      <c r="AR512" t="s">
        <v>10006</v>
      </c>
      <c r="AS512" t="s">
        <v>10007</v>
      </c>
      <c r="AT512" t="s">
        <v>9961</v>
      </c>
      <c r="AU512">
        <v>2016</v>
      </c>
      <c r="AV512">
        <v>14</v>
      </c>
      <c r="AW512">
        <v>2</v>
      </c>
      <c r="AX512" t="s">
        <v>74</v>
      </c>
      <c r="AY512" t="s">
        <v>74</v>
      </c>
      <c r="AZ512" t="s">
        <v>74</v>
      </c>
      <c r="BA512" t="s">
        <v>74</v>
      </c>
      <c r="BB512">
        <v>198</v>
      </c>
      <c r="BC512">
        <v>223</v>
      </c>
      <c r="BD512" t="s">
        <v>74</v>
      </c>
      <c r="BE512" t="s">
        <v>10008</v>
      </c>
      <c r="BF512" t="str">
        <f>HYPERLINK("http://dx.doi.org/10.1080/14772000.2015.1131756","http://dx.doi.org/10.1080/14772000.2015.1131756")</f>
        <v>http://dx.doi.org/10.1080/14772000.2015.1131756</v>
      </c>
      <c r="BG512" t="s">
        <v>74</v>
      </c>
      <c r="BH512" t="s">
        <v>74</v>
      </c>
      <c r="BI512">
        <v>26</v>
      </c>
      <c r="BJ512" t="s">
        <v>10009</v>
      </c>
      <c r="BK512" t="s">
        <v>102</v>
      </c>
      <c r="BL512" t="s">
        <v>10010</v>
      </c>
      <c r="BM512" t="s">
        <v>10011</v>
      </c>
      <c r="BN512" t="s">
        <v>74</v>
      </c>
      <c r="BO512" t="s">
        <v>74</v>
      </c>
      <c r="BP512" t="s">
        <v>74</v>
      </c>
      <c r="BQ512" t="s">
        <v>74</v>
      </c>
      <c r="BR512" t="s">
        <v>106</v>
      </c>
      <c r="BS512" t="s">
        <v>10012</v>
      </c>
      <c r="BT512" t="str">
        <f>HYPERLINK("https%3A%2F%2Fwww.webofscience.com%2Fwos%2Fwoscc%2Ffull-record%2FWOS:000369855800006","View Full Record in Web of Science")</f>
        <v>View Full Record in Web of Science</v>
      </c>
    </row>
    <row r="513" spans="1:72" x14ac:dyDescent="0.15">
      <c r="A513" t="s">
        <v>72</v>
      </c>
      <c r="B513" t="s">
        <v>10013</v>
      </c>
      <c r="C513" t="s">
        <v>74</v>
      </c>
      <c r="D513" t="s">
        <v>74</v>
      </c>
      <c r="E513" t="s">
        <v>74</v>
      </c>
      <c r="F513" t="s">
        <v>10014</v>
      </c>
      <c r="G513" t="s">
        <v>74</v>
      </c>
      <c r="H513" t="s">
        <v>74</v>
      </c>
      <c r="I513" t="s">
        <v>10015</v>
      </c>
      <c r="J513" t="s">
        <v>1196</v>
      </c>
      <c r="K513" t="s">
        <v>74</v>
      </c>
      <c r="L513" t="s">
        <v>74</v>
      </c>
      <c r="M513" t="s">
        <v>78</v>
      </c>
      <c r="N513" t="s">
        <v>79</v>
      </c>
      <c r="O513" t="s">
        <v>74</v>
      </c>
      <c r="P513" t="s">
        <v>74</v>
      </c>
      <c r="Q513" t="s">
        <v>74</v>
      </c>
      <c r="R513" t="s">
        <v>74</v>
      </c>
      <c r="S513" t="s">
        <v>74</v>
      </c>
      <c r="T513" t="s">
        <v>74</v>
      </c>
      <c r="U513" t="s">
        <v>10016</v>
      </c>
      <c r="V513" t="s">
        <v>10017</v>
      </c>
      <c r="W513" t="s">
        <v>10018</v>
      </c>
      <c r="X513" t="s">
        <v>10019</v>
      </c>
      <c r="Y513" t="s">
        <v>10020</v>
      </c>
      <c r="Z513" t="s">
        <v>10021</v>
      </c>
      <c r="AA513" t="s">
        <v>10022</v>
      </c>
      <c r="AB513" t="s">
        <v>10023</v>
      </c>
      <c r="AC513" t="s">
        <v>10024</v>
      </c>
      <c r="AD513" t="s">
        <v>10025</v>
      </c>
      <c r="AE513" t="s">
        <v>10026</v>
      </c>
      <c r="AF513" t="s">
        <v>74</v>
      </c>
      <c r="AG513">
        <v>56</v>
      </c>
      <c r="AH513">
        <v>28</v>
      </c>
      <c r="AI513">
        <v>30</v>
      </c>
      <c r="AJ513">
        <v>0</v>
      </c>
      <c r="AK513">
        <v>29</v>
      </c>
      <c r="AL513" t="s">
        <v>1207</v>
      </c>
      <c r="AM513" t="s">
        <v>1208</v>
      </c>
      <c r="AN513" t="s">
        <v>1209</v>
      </c>
      <c r="AO513" t="s">
        <v>1210</v>
      </c>
      <c r="AP513" t="s">
        <v>74</v>
      </c>
      <c r="AQ513" t="s">
        <v>74</v>
      </c>
      <c r="AR513" t="s">
        <v>1196</v>
      </c>
      <c r="AS513" t="s">
        <v>1211</v>
      </c>
      <c r="AT513" t="s">
        <v>10027</v>
      </c>
      <c r="AU513">
        <v>2016</v>
      </c>
      <c r="AV513">
        <v>11</v>
      </c>
      <c r="AW513">
        <v>3</v>
      </c>
      <c r="AX513" t="s">
        <v>74</v>
      </c>
      <c r="AY513" t="s">
        <v>74</v>
      </c>
      <c r="AZ513" t="s">
        <v>74</v>
      </c>
      <c r="BA513" t="s">
        <v>74</v>
      </c>
      <c r="BB513" t="s">
        <v>74</v>
      </c>
      <c r="BC513" t="s">
        <v>74</v>
      </c>
      <c r="BD513" t="s">
        <v>10028</v>
      </c>
      <c r="BE513" t="s">
        <v>10029</v>
      </c>
      <c r="BF513" t="str">
        <f>HYPERLINK("http://dx.doi.org/10.1371/journal.pone.0149090","http://dx.doi.org/10.1371/journal.pone.0149090")</f>
        <v>http://dx.doi.org/10.1371/journal.pone.0149090</v>
      </c>
      <c r="BG513" t="s">
        <v>74</v>
      </c>
      <c r="BH513" t="s">
        <v>74</v>
      </c>
      <c r="BI513">
        <v>13</v>
      </c>
      <c r="BJ513" t="s">
        <v>753</v>
      </c>
      <c r="BK513" t="s">
        <v>102</v>
      </c>
      <c r="BL513" t="s">
        <v>754</v>
      </c>
      <c r="BM513" t="s">
        <v>10030</v>
      </c>
      <c r="BN513">
        <v>26934698</v>
      </c>
      <c r="BO513" t="s">
        <v>10031</v>
      </c>
      <c r="BP513" t="s">
        <v>74</v>
      </c>
      <c r="BQ513" t="s">
        <v>74</v>
      </c>
      <c r="BR513" t="s">
        <v>106</v>
      </c>
      <c r="BS513" t="s">
        <v>10032</v>
      </c>
      <c r="BT513" t="str">
        <f>HYPERLINK("https%3A%2F%2Fwww.webofscience.com%2Fwos%2Fwoscc%2Ffull-record%2FWOS:000371724200017","View Full Record in Web of Science")</f>
        <v>View Full Record in Web of Science</v>
      </c>
    </row>
    <row r="514" spans="1:72" x14ac:dyDescent="0.15">
      <c r="A514" t="s">
        <v>72</v>
      </c>
      <c r="B514" t="s">
        <v>10033</v>
      </c>
      <c r="C514" t="s">
        <v>74</v>
      </c>
      <c r="D514" t="s">
        <v>74</v>
      </c>
      <c r="E514" t="s">
        <v>74</v>
      </c>
      <c r="F514" t="s">
        <v>10034</v>
      </c>
      <c r="G514" t="s">
        <v>74</v>
      </c>
      <c r="H514" t="s">
        <v>74</v>
      </c>
      <c r="I514" t="s">
        <v>10035</v>
      </c>
      <c r="J514" t="s">
        <v>344</v>
      </c>
      <c r="K514" t="s">
        <v>74</v>
      </c>
      <c r="L514" t="s">
        <v>74</v>
      </c>
      <c r="M514" t="s">
        <v>78</v>
      </c>
      <c r="N514" t="s">
        <v>79</v>
      </c>
      <c r="O514" t="s">
        <v>74</v>
      </c>
      <c r="P514" t="s">
        <v>74</v>
      </c>
      <c r="Q514" t="s">
        <v>74</v>
      </c>
      <c r="R514" t="s">
        <v>74</v>
      </c>
      <c r="S514" t="s">
        <v>74</v>
      </c>
      <c r="T514" t="s">
        <v>74</v>
      </c>
      <c r="U514" t="s">
        <v>10036</v>
      </c>
      <c r="V514" t="s">
        <v>10037</v>
      </c>
      <c r="W514" t="s">
        <v>10038</v>
      </c>
      <c r="X514" t="s">
        <v>10039</v>
      </c>
      <c r="Y514" t="s">
        <v>10040</v>
      </c>
      <c r="Z514" t="s">
        <v>10041</v>
      </c>
      <c r="AA514" t="s">
        <v>74</v>
      </c>
      <c r="AB514" t="s">
        <v>10042</v>
      </c>
      <c r="AC514" t="s">
        <v>10043</v>
      </c>
      <c r="AD514" t="s">
        <v>10044</v>
      </c>
      <c r="AE514" t="s">
        <v>10045</v>
      </c>
      <c r="AF514" t="s">
        <v>74</v>
      </c>
      <c r="AG514">
        <v>29</v>
      </c>
      <c r="AH514">
        <v>13</v>
      </c>
      <c r="AI514">
        <v>16</v>
      </c>
      <c r="AJ514">
        <v>0</v>
      </c>
      <c r="AK514">
        <v>4</v>
      </c>
      <c r="AL514" t="s">
        <v>92</v>
      </c>
      <c r="AM514" t="s">
        <v>93</v>
      </c>
      <c r="AN514" t="s">
        <v>94</v>
      </c>
      <c r="AO514" t="s">
        <v>356</v>
      </c>
      <c r="AP514" t="s">
        <v>357</v>
      </c>
      <c r="AQ514" t="s">
        <v>74</v>
      </c>
      <c r="AR514" t="s">
        <v>358</v>
      </c>
      <c r="AS514" t="s">
        <v>359</v>
      </c>
      <c r="AT514" t="s">
        <v>10046</v>
      </c>
      <c r="AU514">
        <v>2016</v>
      </c>
      <c r="AV514">
        <v>121</v>
      </c>
      <c r="AW514">
        <v>3</v>
      </c>
      <c r="AX514" t="s">
        <v>74</v>
      </c>
      <c r="AY514" t="s">
        <v>74</v>
      </c>
      <c r="AZ514" t="s">
        <v>74</v>
      </c>
      <c r="BA514" t="s">
        <v>74</v>
      </c>
      <c r="BB514">
        <v>1771</v>
      </c>
      <c r="BC514">
        <v>1788</v>
      </c>
      <c r="BD514" t="s">
        <v>74</v>
      </c>
      <c r="BE514" t="s">
        <v>10047</v>
      </c>
      <c r="BF514" t="str">
        <f>HYPERLINK("http://dx.doi.org/10.1002/2015JC011333","http://dx.doi.org/10.1002/2015JC011333")</f>
        <v>http://dx.doi.org/10.1002/2015JC011333</v>
      </c>
      <c r="BG514" t="s">
        <v>74</v>
      </c>
      <c r="BH514" t="s">
        <v>74</v>
      </c>
      <c r="BI514">
        <v>18</v>
      </c>
      <c r="BJ514" t="s">
        <v>361</v>
      </c>
      <c r="BK514" t="s">
        <v>102</v>
      </c>
      <c r="BL514" t="s">
        <v>361</v>
      </c>
      <c r="BM514" t="s">
        <v>10048</v>
      </c>
      <c r="BN514" t="s">
        <v>74</v>
      </c>
      <c r="BO514" t="s">
        <v>842</v>
      </c>
      <c r="BP514" t="s">
        <v>74</v>
      </c>
      <c r="BQ514" t="s">
        <v>74</v>
      </c>
      <c r="BR514" t="s">
        <v>106</v>
      </c>
      <c r="BS514" t="s">
        <v>10049</v>
      </c>
      <c r="BT514" t="str">
        <f>HYPERLINK("https%3A%2F%2Fwww.webofscience.com%2Fwos%2Fwoscc%2Ffull-record%2FWOS:000378072700015","View Full Record in Web of Science")</f>
        <v>View Full Record in Web of Science</v>
      </c>
    </row>
    <row r="515" spans="1:72" x14ac:dyDescent="0.15">
      <c r="A515" t="s">
        <v>72</v>
      </c>
      <c r="B515" t="s">
        <v>10050</v>
      </c>
      <c r="C515" t="s">
        <v>74</v>
      </c>
      <c r="D515" t="s">
        <v>74</v>
      </c>
      <c r="E515" t="s">
        <v>74</v>
      </c>
      <c r="F515" t="s">
        <v>10051</v>
      </c>
      <c r="G515" t="s">
        <v>74</v>
      </c>
      <c r="H515" t="s">
        <v>74</v>
      </c>
      <c r="I515" t="s">
        <v>10052</v>
      </c>
      <c r="J515" t="s">
        <v>344</v>
      </c>
      <c r="K515" t="s">
        <v>74</v>
      </c>
      <c r="L515" t="s">
        <v>74</v>
      </c>
      <c r="M515" t="s">
        <v>78</v>
      </c>
      <c r="N515" t="s">
        <v>79</v>
      </c>
      <c r="O515" t="s">
        <v>74</v>
      </c>
      <c r="P515" t="s">
        <v>74</v>
      </c>
      <c r="Q515" t="s">
        <v>74</v>
      </c>
      <c r="R515" t="s">
        <v>74</v>
      </c>
      <c r="S515" t="s">
        <v>74</v>
      </c>
      <c r="T515" t="s">
        <v>74</v>
      </c>
      <c r="U515" t="s">
        <v>10053</v>
      </c>
      <c r="V515" t="s">
        <v>10054</v>
      </c>
      <c r="W515" t="s">
        <v>10055</v>
      </c>
      <c r="X515" t="s">
        <v>10056</v>
      </c>
      <c r="Y515" t="s">
        <v>10057</v>
      </c>
      <c r="Z515" t="s">
        <v>10058</v>
      </c>
      <c r="AA515" t="s">
        <v>10059</v>
      </c>
      <c r="AB515" t="s">
        <v>10060</v>
      </c>
      <c r="AC515" t="s">
        <v>10061</v>
      </c>
      <c r="AD515" t="s">
        <v>10061</v>
      </c>
      <c r="AE515" t="s">
        <v>10062</v>
      </c>
      <c r="AF515" t="s">
        <v>74</v>
      </c>
      <c r="AG515">
        <v>47</v>
      </c>
      <c r="AH515">
        <v>12</v>
      </c>
      <c r="AI515">
        <v>14</v>
      </c>
      <c r="AJ515">
        <v>0</v>
      </c>
      <c r="AK515">
        <v>7</v>
      </c>
      <c r="AL515" t="s">
        <v>92</v>
      </c>
      <c r="AM515" t="s">
        <v>93</v>
      </c>
      <c r="AN515" t="s">
        <v>94</v>
      </c>
      <c r="AO515" t="s">
        <v>356</v>
      </c>
      <c r="AP515" t="s">
        <v>357</v>
      </c>
      <c r="AQ515" t="s">
        <v>74</v>
      </c>
      <c r="AR515" t="s">
        <v>358</v>
      </c>
      <c r="AS515" t="s">
        <v>359</v>
      </c>
      <c r="AT515" t="s">
        <v>10046</v>
      </c>
      <c r="AU515">
        <v>2016</v>
      </c>
      <c r="AV515">
        <v>121</v>
      </c>
      <c r="AW515">
        <v>3</v>
      </c>
      <c r="AX515" t="s">
        <v>74</v>
      </c>
      <c r="AY515" t="s">
        <v>74</v>
      </c>
      <c r="AZ515" t="s">
        <v>74</v>
      </c>
      <c r="BA515" t="s">
        <v>74</v>
      </c>
      <c r="BB515">
        <v>1866</v>
      </c>
      <c r="BC515">
        <v>1880</v>
      </c>
      <c r="BD515" t="s">
        <v>74</v>
      </c>
      <c r="BE515" t="s">
        <v>10063</v>
      </c>
      <c r="BF515" t="str">
        <f>HYPERLINK("http://dx.doi.org/10.1002/2016JC011633","http://dx.doi.org/10.1002/2016JC011633")</f>
        <v>http://dx.doi.org/10.1002/2016JC011633</v>
      </c>
      <c r="BG515" t="s">
        <v>74</v>
      </c>
      <c r="BH515" t="s">
        <v>74</v>
      </c>
      <c r="BI515">
        <v>15</v>
      </c>
      <c r="BJ515" t="s">
        <v>361</v>
      </c>
      <c r="BK515" t="s">
        <v>102</v>
      </c>
      <c r="BL515" t="s">
        <v>361</v>
      </c>
      <c r="BM515" t="s">
        <v>10048</v>
      </c>
      <c r="BN515" t="s">
        <v>74</v>
      </c>
      <c r="BO515" t="s">
        <v>293</v>
      </c>
      <c r="BP515" t="s">
        <v>74</v>
      </c>
      <c r="BQ515" t="s">
        <v>74</v>
      </c>
      <c r="BR515" t="s">
        <v>106</v>
      </c>
      <c r="BS515" t="s">
        <v>10064</v>
      </c>
      <c r="BT515" t="str">
        <f>HYPERLINK("https%3A%2F%2Fwww.webofscience.com%2Fwos%2Fwoscc%2Ffull-record%2FWOS:000378072700020","View Full Record in Web of Science")</f>
        <v>View Full Record in Web of Science</v>
      </c>
    </row>
    <row r="516" spans="1:72" x14ac:dyDescent="0.15">
      <c r="A516" t="s">
        <v>72</v>
      </c>
      <c r="B516" t="s">
        <v>10065</v>
      </c>
      <c r="C516" t="s">
        <v>74</v>
      </c>
      <c r="D516" t="s">
        <v>74</v>
      </c>
      <c r="E516" t="s">
        <v>74</v>
      </c>
      <c r="F516" t="s">
        <v>10066</v>
      </c>
      <c r="G516" t="s">
        <v>74</v>
      </c>
      <c r="H516" t="s">
        <v>74</v>
      </c>
      <c r="I516" t="s">
        <v>10067</v>
      </c>
      <c r="J516" t="s">
        <v>10068</v>
      </c>
      <c r="K516" t="s">
        <v>74</v>
      </c>
      <c r="L516" t="s">
        <v>74</v>
      </c>
      <c r="M516" t="s">
        <v>78</v>
      </c>
      <c r="N516" t="s">
        <v>79</v>
      </c>
      <c r="O516" t="s">
        <v>74</v>
      </c>
      <c r="P516" t="s">
        <v>74</v>
      </c>
      <c r="Q516" t="s">
        <v>74</v>
      </c>
      <c r="R516" t="s">
        <v>74</v>
      </c>
      <c r="S516" t="s">
        <v>74</v>
      </c>
      <c r="T516" t="s">
        <v>10069</v>
      </c>
      <c r="U516" t="s">
        <v>10070</v>
      </c>
      <c r="V516" t="s">
        <v>10071</v>
      </c>
      <c r="W516" t="s">
        <v>10072</v>
      </c>
      <c r="X516" t="s">
        <v>10073</v>
      </c>
      <c r="Y516" t="s">
        <v>10074</v>
      </c>
      <c r="Z516" t="s">
        <v>10075</v>
      </c>
      <c r="AA516" t="s">
        <v>74</v>
      </c>
      <c r="AB516" t="s">
        <v>74</v>
      </c>
      <c r="AC516" t="s">
        <v>10076</v>
      </c>
      <c r="AD516" t="s">
        <v>10077</v>
      </c>
      <c r="AE516" t="s">
        <v>10078</v>
      </c>
      <c r="AF516" t="s">
        <v>74</v>
      </c>
      <c r="AG516">
        <v>36</v>
      </c>
      <c r="AH516">
        <v>24</v>
      </c>
      <c r="AI516">
        <v>24</v>
      </c>
      <c r="AJ516">
        <v>2</v>
      </c>
      <c r="AK516">
        <v>26</v>
      </c>
      <c r="AL516" t="s">
        <v>10079</v>
      </c>
      <c r="AM516" t="s">
        <v>10080</v>
      </c>
      <c r="AN516" t="s">
        <v>10081</v>
      </c>
      <c r="AO516" t="s">
        <v>10082</v>
      </c>
      <c r="AP516" t="s">
        <v>10083</v>
      </c>
      <c r="AQ516" t="s">
        <v>74</v>
      </c>
      <c r="AR516" t="s">
        <v>10084</v>
      </c>
      <c r="AS516" t="s">
        <v>10085</v>
      </c>
      <c r="AT516" t="s">
        <v>10046</v>
      </c>
      <c r="AU516">
        <v>2016</v>
      </c>
      <c r="AV516">
        <v>51</v>
      </c>
      <c r="AW516">
        <v>2</v>
      </c>
      <c r="AX516" t="s">
        <v>74</v>
      </c>
      <c r="AY516" t="s">
        <v>74</v>
      </c>
      <c r="AZ516" t="s">
        <v>74</v>
      </c>
      <c r="BA516" t="s">
        <v>74</v>
      </c>
      <c r="BB516">
        <v>273</v>
      </c>
      <c r="BC516">
        <v>279</v>
      </c>
      <c r="BD516" t="s">
        <v>74</v>
      </c>
      <c r="BE516" t="s">
        <v>10086</v>
      </c>
      <c r="BF516" t="str">
        <f>HYPERLINK("http://dx.doi.org/10.1007/s12601-016-0023-y","http://dx.doi.org/10.1007/s12601-016-0023-y")</f>
        <v>http://dx.doi.org/10.1007/s12601-016-0023-y</v>
      </c>
      <c r="BG516" t="s">
        <v>74</v>
      </c>
      <c r="BH516" t="s">
        <v>74</v>
      </c>
      <c r="BI516">
        <v>7</v>
      </c>
      <c r="BJ516" t="s">
        <v>2738</v>
      </c>
      <c r="BK516" t="s">
        <v>102</v>
      </c>
      <c r="BL516" t="s">
        <v>2738</v>
      </c>
      <c r="BM516" t="s">
        <v>10087</v>
      </c>
      <c r="BN516" t="s">
        <v>74</v>
      </c>
      <c r="BO516" t="s">
        <v>74</v>
      </c>
      <c r="BP516" t="s">
        <v>74</v>
      </c>
      <c r="BQ516" t="s">
        <v>74</v>
      </c>
      <c r="BR516" t="s">
        <v>106</v>
      </c>
      <c r="BS516" t="s">
        <v>10088</v>
      </c>
      <c r="BT516" t="str">
        <f>HYPERLINK("https%3A%2F%2Fwww.webofscience.com%2Fwos%2Fwoscc%2Ffull-record%2FWOS:000378275200010","View Full Record in Web of Science")</f>
        <v>View Full Record in Web of Science</v>
      </c>
    </row>
    <row r="517" spans="1:72" x14ac:dyDescent="0.15">
      <c r="A517" t="s">
        <v>72</v>
      </c>
      <c r="B517" t="s">
        <v>10089</v>
      </c>
      <c r="C517" t="s">
        <v>74</v>
      </c>
      <c r="D517" t="s">
        <v>74</v>
      </c>
      <c r="E517" t="s">
        <v>74</v>
      </c>
      <c r="F517" t="s">
        <v>10090</v>
      </c>
      <c r="G517" t="s">
        <v>74</v>
      </c>
      <c r="H517" t="s">
        <v>74</v>
      </c>
      <c r="I517" t="s">
        <v>10091</v>
      </c>
      <c r="J517" t="s">
        <v>10092</v>
      </c>
      <c r="K517" t="s">
        <v>74</v>
      </c>
      <c r="L517" t="s">
        <v>74</v>
      </c>
      <c r="M517" t="s">
        <v>78</v>
      </c>
      <c r="N517" t="s">
        <v>79</v>
      </c>
      <c r="O517" t="s">
        <v>74</v>
      </c>
      <c r="P517" t="s">
        <v>74</v>
      </c>
      <c r="Q517" t="s">
        <v>74</v>
      </c>
      <c r="R517" t="s">
        <v>74</v>
      </c>
      <c r="S517" t="s">
        <v>74</v>
      </c>
      <c r="T517" t="s">
        <v>10093</v>
      </c>
      <c r="U517" t="s">
        <v>10094</v>
      </c>
      <c r="V517" t="s">
        <v>10095</v>
      </c>
      <c r="W517" t="s">
        <v>10096</v>
      </c>
      <c r="X517" t="s">
        <v>10097</v>
      </c>
      <c r="Y517" t="s">
        <v>10098</v>
      </c>
      <c r="Z517" t="s">
        <v>10099</v>
      </c>
      <c r="AA517" t="s">
        <v>10100</v>
      </c>
      <c r="AB517" t="s">
        <v>10101</v>
      </c>
      <c r="AC517" t="s">
        <v>10102</v>
      </c>
      <c r="AD517" t="s">
        <v>10103</v>
      </c>
      <c r="AE517" t="s">
        <v>10104</v>
      </c>
      <c r="AF517" t="s">
        <v>74</v>
      </c>
      <c r="AG517">
        <v>48</v>
      </c>
      <c r="AH517">
        <v>8</v>
      </c>
      <c r="AI517">
        <v>9</v>
      </c>
      <c r="AJ517">
        <v>1</v>
      </c>
      <c r="AK517">
        <v>20</v>
      </c>
      <c r="AL517" t="s">
        <v>10105</v>
      </c>
      <c r="AM517" t="s">
        <v>10106</v>
      </c>
      <c r="AN517" t="s">
        <v>10107</v>
      </c>
      <c r="AO517" t="s">
        <v>10108</v>
      </c>
      <c r="AP517" t="s">
        <v>10109</v>
      </c>
      <c r="AQ517" t="s">
        <v>74</v>
      </c>
      <c r="AR517" t="s">
        <v>10110</v>
      </c>
      <c r="AS517" t="s">
        <v>10111</v>
      </c>
      <c r="AT517" t="s">
        <v>10046</v>
      </c>
      <c r="AU517">
        <v>2016</v>
      </c>
      <c r="AV517">
        <v>46</v>
      </c>
      <c r="AW517">
        <v>1</v>
      </c>
      <c r="AX517" t="s">
        <v>74</v>
      </c>
      <c r="AY517" t="s">
        <v>74</v>
      </c>
      <c r="AZ517" t="s">
        <v>74</v>
      </c>
      <c r="BA517" t="s">
        <v>74</v>
      </c>
      <c r="BB517">
        <v>29</v>
      </c>
      <c r="BC517">
        <v>40</v>
      </c>
      <c r="BD517" t="s">
        <v>74</v>
      </c>
      <c r="BE517" t="s">
        <v>10112</v>
      </c>
      <c r="BF517" t="str">
        <f>HYPERLINK("http://dx.doi.org/10.1590/2317-4889201620150035","http://dx.doi.org/10.1590/2317-4889201620150035")</f>
        <v>http://dx.doi.org/10.1590/2317-4889201620150035</v>
      </c>
      <c r="BG517" t="s">
        <v>74</v>
      </c>
      <c r="BH517" t="s">
        <v>74</v>
      </c>
      <c r="BI517">
        <v>12</v>
      </c>
      <c r="BJ517" t="s">
        <v>269</v>
      </c>
      <c r="BK517" t="s">
        <v>102</v>
      </c>
      <c r="BL517" t="s">
        <v>270</v>
      </c>
      <c r="BM517" t="s">
        <v>10113</v>
      </c>
      <c r="BN517" t="s">
        <v>74</v>
      </c>
      <c r="BO517" t="s">
        <v>1684</v>
      </c>
      <c r="BP517" t="s">
        <v>74</v>
      </c>
      <c r="BQ517" t="s">
        <v>74</v>
      </c>
      <c r="BR517" t="s">
        <v>106</v>
      </c>
      <c r="BS517" t="s">
        <v>10114</v>
      </c>
      <c r="BT517" t="str">
        <f>HYPERLINK("https%3A%2F%2Fwww.webofscience.com%2Fwos%2Fwoscc%2Ffull-record%2FWOS:000377638800005","View Full Record in Web of Science")</f>
        <v>View Full Record in Web of Science</v>
      </c>
    </row>
    <row r="518" spans="1:72" x14ac:dyDescent="0.15">
      <c r="A518" t="s">
        <v>72</v>
      </c>
      <c r="B518" t="s">
        <v>10115</v>
      </c>
      <c r="C518" t="s">
        <v>74</v>
      </c>
      <c r="D518" t="s">
        <v>74</v>
      </c>
      <c r="E518" t="s">
        <v>74</v>
      </c>
      <c r="F518" t="s">
        <v>10116</v>
      </c>
      <c r="G518" t="s">
        <v>74</v>
      </c>
      <c r="H518" t="s">
        <v>74</v>
      </c>
      <c r="I518" t="s">
        <v>10117</v>
      </c>
      <c r="J518" t="s">
        <v>10118</v>
      </c>
      <c r="K518" t="s">
        <v>74</v>
      </c>
      <c r="L518" t="s">
        <v>74</v>
      </c>
      <c r="M518" t="s">
        <v>78</v>
      </c>
      <c r="N518" t="s">
        <v>79</v>
      </c>
      <c r="O518" t="s">
        <v>74</v>
      </c>
      <c r="P518" t="s">
        <v>74</v>
      </c>
      <c r="Q518" t="s">
        <v>74</v>
      </c>
      <c r="R518" t="s">
        <v>74</v>
      </c>
      <c r="S518" t="s">
        <v>74</v>
      </c>
      <c r="T518" t="s">
        <v>10119</v>
      </c>
      <c r="U518" t="s">
        <v>10120</v>
      </c>
      <c r="V518" t="s">
        <v>10121</v>
      </c>
      <c r="W518" t="s">
        <v>10122</v>
      </c>
      <c r="X518" t="s">
        <v>10123</v>
      </c>
      <c r="Y518" t="s">
        <v>10124</v>
      </c>
      <c r="Z518" t="s">
        <v>10125</v>
      </c>
      <c r="AA518" t="s">
        <v>10126</v>
      </c>
      <c r="AB518" t="s">
        <v>10127</v>
      </c>
      <c r="AC518" t="s">
        <v>74</v>
      </c>
      <c r="AD518" t="s">
        <v>74</v>
      </c>
      <c r="AE518" t="s">
        <v>74</v>
      </c>
      <c r="AF518" t="s">
        <v>74</v>
      </c>
      <c r="AG518">
        <v>21</v>
      </c>
      <c r="AH518">
        <v>6</v>
      </c>
      <c r="AI518">
        <v>6</v>
      </c>
      <c r="AJ518">
        <v>1</v>
      </c>
      <c r="AK518">
        <v>16</v>
      </c>
      <c r="AL518" t="s">
        <v>10128</v>
      </c>
      <c r="AM518" t="s">
        <v>10080</v>
      </c>
      <c r="AN518" t="s">
        <v>10129</v>
      </c>
      <c r="AO518" t="s">
        <v>10130</v>
      </c>
      <c r="AP518" t="s">
        <v>10131</v>
      </c>
      <c r="AQ518" t="s">
        <v>74</v>
      </c>
      <c r="AR518" t="s">
        <v>10132</v>
      </c>
      <c r="AS518" t="s">
        <v>10133</v>
      </c>
      <c r="AT518" t="s">
        <v>10046</v>
      </c>
      <c r="AU518">
        <v>2016</v>
      </c>
      <c r="AV518">
        <v>15</v>
      </c>
      <c r="AW518">
        <v>1</v>
      </c>
      <c r="AX518" t="s">
        <v>74</v>
      </c>
      <c r="AY518" t="s">
        <v>74</v>
      </c>
      <c r="AZ518" t="s">
        <v>74</v>
      </c>
      <c r="BA518" t="s">
        <v>74</v>
      </c>
      <c r="BB518">
        <v>92</v>
      </c>
      <c r="BC518">
        <v>98</v>
      </c>
      <c r="BD518" t="s">
        <v>74</v>
      </c>
      <c r="BE518" t="s">
        <v>10134</v>
      </c>
      <c r="BF518" t="str">
        <f>HYPERLINK("http://dx.doi.org/10.7232/iems.2016.15.1.092","http://dx.doi.org/10.7232/iems.2016.15.1.092")</f>
        <v>http://dx.doi.org/10.7232/iems.2016.15.1.092</v>
      </c>
      <c r="BG518" t="s">
        <v>74</v>
      </c>
      <c r="BH518" t="s">
        <v>74</v>
      </c>
      <c r="BI518">
        <v>7</v>
      </c>
      <c r="BJ518" t="s">
        <v>10135</v>
      </c>
      <c r="BK518" t="s">
        <v>967</v>
      </c>
      <c r="BL518" t="s">
        <v>10136</v>
      </c>
      <c r="BM518" t="s">
        <v>10137</v>
      </c>
      <c r="BN518" t="s">
        <v>74</v>
      </c>
      <c r="BO518" t="s">
        <v>420</v>
      </c>
      <c r="BP518" t="s">
        <v>74</v>
      </c>
      <c r="BQ518" t="s">
        <v>74</v>
      </c>
      <c r="BR518" t="s">
        <v>106</v>
      </c>
      <c r="BS518" t="s">
        <v>10138</v>
      </c>
      <c r="BT518" t="str">
        <f>HYPERLINK("https%3A%2F%2Fwww.webofscience.com%2Fwos%2Fwoscc%2Ffull-record%2FWOS:000378060600009","View Full Record in Web of Science")</f>
        <v>View Full Record in Web of Science</v>
      </c>
    </row>
    <row r="519" spans="1:72" x14ac:dyDescent="0.15">
      <c r="A519" t="s">
        <v>72</v>
      </c>
      <c r="B519" t="s">
        <v>10139</v>
      </c>
      <c r="C519" t="s">
        <v>74</v>
      </c>
      <c r="D519" t="s">
        <v>74</v>
      </c>
      <c r="E519" t="s">
        <v>74</v>
      </c>
      <c r="F519" t="s">
        <v>10140</v>
      </c>
      <c r="G519" t="s">
        <v>74</v>
      </c>
      <c r="H519" t="s">
        <v>74</v>
      </c>
      <c r="I519" t="s">
        <v>10141</v>
      </c>
      <c r="J519" t="s">
        <v>10142</v>
      </c>
      <c r="K519" t="s">
        <v>74</v>
      </c>
      <c r="L519" t="s">
        <v>74</v>
      </c>
      <c r="M519" t="s">
        <v>78</v>
      </c>
      <c r="N519" t="s">
        <v>79</v>
      </c>
      <c r="O519" t="s">
        <v>74</v>
      </c>
      <c r="P519" t="s">
        <v>74</v>
      </c>
      <c r="Q519" t="s">
        <v>74</v>
      </c>
      <c r="R519" t="s">
        <v>74</v>
      </c>
      <c r="S519" t="s">
        <v>74</v>
      </c>
      <c r="T519" t="s">
        <v>10143</v>
      </c>
      <c r="U519" t="s">
        <v>10144</v>
      </c>
      <c r="V519" t="s">
        <v>10145</v>
      </c>
      <c r="W519" t="s">
        <v>10146</v>
      </c>
      <c r="X519" t="s">
        <v>10147</v>
      </c>
      <c r="Y519" t="s">
        <v>10148</v>
      </c>
      <c r="Z519" t="s">
        <v>10149</v>
      </c>
      <c r="AA519" t="s">
        <v>74</v>
      </c>
      <c r="AB519" t="s">
        <v>10150</v>
      </c>
      <c r="AC519" t="s">
        <v>10151</v>
      </c>
      <c r="AD519" t="s">
        <v>10152</v>
      </c>
      <c r="AE519" t="s">
        <v>10153</v>
      </c>
      <c r="AF519" t="s">
        <v>74</v>
      </c>
      <c r="AG519">
        <v>55</v>
      </c>
      <c r="AH519">
        <v>12</v>
      </c>
      <c r="AI519">
        <v>12</v>
      </c>
      <c r="AJ519">
        <v>1</v>
      </c>
      <c r="AK519">
        <v>28</v>
      </c>
      <c r="AL519" t="s">
        <v>678</v>
      </c>
      <c r="AM519" t="s">
        <v>679</v>
      </c>
      <c r="AN519" t="s">
        <v>680</v>
      </c>
      <c r="AO519" t="s">
        <v>10154</v>
      </c>
      <c r="AP519" t="s">
        <v>10155</v>
      </c>
      <c r="AQ519" t="s">
        <v>74</v>
      </c>
      <c r="AR519" t="s">
        <v>10156</v>
      </c>
      <c r="AS519" t="s">
        <v>10157</v>
      </c>
      <c r="AT519" t="s">
        <v>10046</v>
      </c>
      <c r="AU519">
        <v>2016</v>
      </c>
      <c r="AV519">
        <v>210</v>
      </c>
      <c r="AW519" t="s">
        <v>74</v>
      </c>
      <c r="AX519" t="s">
        <v>74</v>
      </c>
      <c r="AY519" t="s">
        <v>74</v>
      </c>
      <c r="AZ519" t="s">
        <v>74</v>
      </c>
      <c r="BA519" t="s">
        <v>74</v>
      </c>
      <c r="BB519">
        <v>238</v>
      </c>
      <c r="BC519">
        <v>245</v>
      </c>
      <c r="BD519" t="s">
        <v>74</v>
      </c>
      <c r="BE519" t="s">
        <v>10158</v>
      </c>
      <c r="BF519" t="str">
        <f>HYPERLINK("http://dx.doi.org/10.1016/j.envpol.2015.11.045","http://dx.doi.org/10.1016/j.envpol.2015.11.045")</f>
        <v>http://dx.doi.org/10.1016/j.envpol.2015.11.045</v>
      </c>
      <c r="BG519" t="s">
        <v>74</v>
      </c>
      <c r="BH519" t="s">
        <v>74</v>
      </c>
      <c r="BI519">
        <v>8</v>
      </c>
      <c r="BJ519" t="s">
        <v>464</v>
      </c>
      <c r="BK519" t="s">
        <v>102</v>
      </c>
      <c r="BL519" t="s">
        <v>465</v>
      </c>
      <c r="BM519" t="s">
        <v>10159</v>
      </c>
      <c r="BN519">
        <v>26741560</v>
      </c>
      <c r="BO519" t="s">
        <v>74</v>
      </c>
      <c r="BP519" t="s">
        <v>74</v>
      </c>
      <c r="BQ519" t="s">
        <v>74</v>
      </c>
      <c r="BR519" t="s">
        <v>106</v>
      </c>
      <c r="BS519" t="s">
        <v>10160</v>
      </c>
      <c r="BT519" t="str">
        <f>HYPERLINK("https%3A%2F%2Fwww.webofscience.com%2Fwos%2Fwoscc%2Ffull-record%2FWOS:000376703600028","View Full Record in Web of Science")</f>
        <v>View Full Record in Web of Science</v>
      </c>
    </row>
    <row r="520" spans="1:72" x14ac:dyDescent="0.15">
      <c r="A520" t="s">
        <v>72</v>
      </c>
      <c r="B520" t="s">
        <v>10161</v>
      </c>
      <c r="C520" t="s">
        <v>74</v>
      </c>
      <c r="D520" t="s">
        <v>74</v>
      </c>
      <c r="E520" t="s">
        <v>74</v>
      </c>
      <c r="F520" t="s">
        <v>10162</v>
      </c>
      <c r="G520" t="s">
        <v>74</v>
      </c>
      <c r="H520" t="s">
        <v>74</v>
      </c>
      <c r="I520" t="s">
        <v>10163</v>
      </c>
      <c r="J520" t="s">
        <v>10164</v>
      </c>
      <c r="K520" t="s">
        <v>74</v>
      </c>
      <c r="L520" t="s">
        <v>74</v>
      </c>
      <c r="M520" t="s">
        <v>78</v>
      </c>
      <c r="N520" t="s">
        <v>79</v>
      </c>
      <c r="O520" t="s">
        <v>74</v>
      </c>
      <c r="P520" t="s">
        <v>74</v>
      </c>
      <c r="Q520" t="s">
        <v>74</v>
      </c>
      <c r="R520" t="s">
        <v>74</v>
      </c>
      <c r="S520" t="s">
        <v>74</v>
      </c>
      <c r="T520" t="s">
        <v>10165</v>
      </c>
      <c r="U520" t="s">
        <v>10166</v>
      </c>
      <c r="V520" t="s">
        <v>10167</v>
      </c>
      <c r="W520" t="s">
        <v>10168</v>
      </c>
      <c r="X520" t="s">
        <v>10169</v>
      </c>
      <c r="Y520" t="s">
        <v>10170</v>
      </c>
      <c r="Z520" t="s">
        <v>10171</v>
      </c>
      <c r="AA520" t="s">
        <v>10172</v>
      </c>
      <c r="AB520" t="s">
        <v>10173</v>
      </c>
      <c r="AC520" t="s">
        <v>10174</v>
      </c>
      <c r="AD520" t="s">
        <v>10175</v>
      </c>
      <c r="AE520" t="s">
        <v>10176</v>
      </c>
      <c r="AF520" t="s">
        <v>74</v>
      </c>
      <c r="AG520">
        <v>96</v>
      </c>
      <c r="AH520">
        <v>18</v>
      </c>
      <c r="AI520">
        <v>19</v>
      </c>
      <c r="AJ520">
        <v>0</v>
      </c>
      <c r="AK520">
        <v>18</v>
      </c>
      <c r="AL520" t="s">
        <v>1657</v>
      </c>
      <c r="AM520" t="s">
        <v>679</v>
      </c>
      <c r="AN520" t="s">
        <v>1658</v>
      </c>
      <c r="AO520" t="s">
        <v>10177</v>
      </c>
      <c r="AP520" t="s">
        <v>10178</v>
      </c>
      <c r="AQ520" t="s">
        <v>74</v>
      </c>
      <c r="AR520" t="s">
        <v>10179</v>
      </c>
      <c r="AS520" t="s">
        <v>10180</v>
      </c>
      <c r="AT520" t="s">
        <v>10046</v>
      </c>
      <c r="AU520">
        <v>2016</v>
      </c>
      <c r="AV520">
        <v>28</v>
      </c>
      <c r="AW520">
        <v>1</v>
      </c>
      <c r="AX520" t="s">
        <v>74</v>
      </c>
      <c r="AY520" t="s">
        <v>74</v>
      </c>
      <c r="AZ520" t="s">
        <v>74</v>
      </c>
      <c r="BA520" t="s">
        <v>74</v>
      </c>
      <c r="BB520">
        <v>37</v>
      </c>
      <c r="BC520">
        <v>63</v>
      </c>
      <c r="BD520" t="s">
        <v>74</v>
      </c>
      <c r="BE520" t="s">
        <v>10181</v>
      </c>
      <c r="BF520" t="str">
        <f>HYPERLINK("http://dx.doi.org/10.1093/jel/eqw003","http://dx.doi.org/10.1093/jel/eqw003")</f>
        <v>http://dx.doi.org/10.1093/jel/eqw003</v>
      </c>
      <c r="BG520" t="s">
        <v>74</v>
      </c>
      <c r="BH520" t="s">
        <v>74</v>
      </c>
      <c r="BI520">
        <v>27</v>
      </c>
      <c r="BJ520" t="s">
        <v>10182</v>
      </c>
      <c r="BK520" t="s">
        <v>687</v>
      </c>
      <c r="BL520" t="s">
        <v>10183</v>
      </c>
      <c r="BM520" t="s">
        <v>10184</v>
      </c>
      <c r="BN520" t="s">
        <v>74</v>
      </c>
      <c r="BO520" t="s">
        <v>74</v>
      </c>
      <c r="BP520" t="s">
        <v>74</v>
      </c>
      <c r="BQ520" t="s">
        <v>74</v>
      </c>
      <c r="BR520" t="s">
        <v>106</v>
      </c>
      <c r="BS520" t="s">
        <v>10185</v>
      </c>
      <c r="BT520" t="str">
        <f>HYPERLINK("https%3A%2F%2Fwww.webofscience.com%2Fwos%2Fwoscc%2Ffull-record%2FWOS:000376657500005","View Full Record in Web of Science")</f>
        <v>View Full Record in Web of Science</v>
      </c>
    </row>
    <row r="521" spans="1:72" x14ac:dyDescent="0.15">
      <c r="A521" t="s">
        <v>72</v>
      </c>
      <c r="B521" t="s">
        <v>10186</v>
      </c>
      <c r="C521" t="s">
        <v>74</v>
      </c>
      <c r="D521" t="s">
        <v>74</v>
      </c>
      <c r="E521" t="s">
        <v>74</v>
      </c>
      <c r="F521" t="s">
        <v>10187</v>
      </c>
      <c r="G521" t="s">
        <v>74</v>
      </c>
      <c r="H521" t="s">
        <v>74</v>
      </c>
      <c r="I521" t="s">
        <v>10188</v>
      </c>
      <c r="J521" t="s">
        <v>10189</v>
      </c>
      <c r="K521" t="s">
        <v>74</v>
      </c>
      <c r="L521" t="s">
        <v>74</v>
      </c>
      <c r="M521" t="s">
        <v>78</v>
      </c>
      <c r="N521" t="s">
        <v>79</v>
      </c>
      <c r="O521" t="s">
        <v>74</v>
      </c>
      <c r="P521" t="s">
        <v>74</v>
      </c>
      <c r="Q521" t="s">
        <v>74</v>
      </c>
      <c r="R521" t="s">
        <v>74</v>
      </c>
      <c r="S521" t="s">
        <v>74</v>
      </c>
      <c r="T521" t="s">
        <v>74</v>
      </c>
      <c r="U521" t="s">
        <v>74</v>
      </c>
      <c r="V521" t="s">
        <v>10190</v>
      </c>
      <c r="W521" t="s">
        <v>10191</v>
      </c>
      <c r="X521" t="s">
        <v>5122</v>
      </c>
      <c r="Y521" t="s">
        <v>10192</v>
      </c>
      <c r="Z521" t="s">
        <v>74</v>
      </c>
      <c r="AA521" t="s">
        <v>74</v>
      </c>
      <c r="AB521" t="s">
        <v>74</v>
      </c>
      <c r="AC521" t="s">
        <v>10193</v>
      </c>
      <c r="AD521" t="s">
        <v>10194</v>
      </c>
      <c r="AE521" t="s">
        <v>10195</v>
      </c>
      <c r="AF521" t="s">
        <v>74</v>
      </c>
      <c r="AG521">
        <v>19</v>
      </c>
      <c r="AH521">
        <v>2</v>
      </c>
      <c r="AI521">
        <v>2</v>
      </c>
      <c r="AJ521">
        <v>1</v>
      </c>
      <c r="AK521">
        <v>24</v>
      </c>
      <c r="AL521" t="s">
        <v>10196</v>
      </c>
      <c r="AM521" t="s">
        <v>2661</v>
      </c>
      <c r="AN521" t="s">
        <v>10197</v>
      </c>
      <c r="AO521" t="s">
        <v>10198</v>
      </c>
      <c r="AP521" t="s">
        <v>74</v>
      </c>
      <c r="AQ521" t="s">
        <v>74</v>
      </c>
      <c r="AR521" t="s">
        <v>10199</v>
      </c>
      <c r="AS521" t="s">
        <v>10200</v>
      </c>
      <c r="AT521" t="s">
        <v>10046</v>
      </c>
      <c r="AU521">
        <v>2016</v>
      </c>
      <c r="AV521">
        <v>8</v>
      </c>
      <c r="AW521">
        <v>2</v>
      </c>
      <c r="AX521" t="s">
        <v>74</v>
      </c>
      <c r="AY521" t="s">
        <v>74</v>
      </c>
      <c r="AZ521" t="s">
        <v>74</v>
      </c>
      <c r="BA521" t="s">
        <v>74</v>
      </c>
      <c r="BB521" t="s">
        <v>74</v>
      </c>
      <c r="BC521" t="s">
        <v>74</v>
      </c>
      <c r="BD521">
        <v>25701</v>
      </c>
      <c r="BE521" t="s">
        <v>10201</v>
      </c>
      <c r="BF521" t="str">
        <f>HYPERLINK("http://dx.doi.org/10.1063/1.4941794","http://dx.doi.org/10.1063/1.4941794")</f>
        <v>http://dx.doi.org/10.1063/1.4941794</v>
      </c>
      <c r="BG521" t="s">
        <v>74</v>
      </c>
      <c r="BH521" t="s">
        <v>74</v>
      </c>
      <c r="BI521">
        <v>20</v>
      </c>
      <c r="BJ521" t="s">
        <v>8825</v>
      </c>
      <c r="BK521" t="s">
        <v>102</v>
      </c>
      <c r="BL521" t="s">
        <v>8826</v>
      </c>
      <c r="BM521" t="s">
        <v>10202</v>
      </c>
      <c r="BN521" t="s">
        <v>74</v>
      </c>
      <c r="BO521" t="s">
        <v>74</v>
      </c>
      <c r="BP521" t="s">
        <v>74</v>
      </c>
      <c r="BQ521" t="s">
        <v>74</v>
      </c>
      <c r="BR521" t="s">
        <v>106</v>
      </c>
      <c r="BS521" t="s">
        <v>10203</v>
      </c>
      <c r="BT521" t="str">
        <f>HYPERLINK("https%3A%2F%2Fwww.webofscience.com%2Fwos%2Fwoscc%2Ffull-record%2FWOS:000376636600036","View Full Record in Web of Science")</f>
        <v>View Full Record in Web of Science</v>
      </c>
    </row>
    <row r="522" spans="1:72" x14ac:dyDescent="0.15">
      <c r="A522" t="s">
        <v>72</v>
      </c>
      <c r="B522" t="s">
        <v>10204</v>
      </c>
      <c r="C522" t="s">
        <v>74</v>
      </c>
      <c r="D522" t="s">
        <v>74</v>
      </c>
      <c r="E522" t="s">
        <v>74</v>
      </c>
      <c r="F522" t="s">
        <v>10205</v>
      </c>
      <c r="G522" t="s">
        <v>74</v>
      </c>
      <c r="H522" t="s">
        <v>74</v>
      </c>
      <c r="I522" t="s">
        <v>10206</v>
      </c>
      <c r="J522" t="s">
        <v>10207</v>
      </c>
      <c r="K522" t="s">
        <v>74</v>
      </c>
      <c r="L522" t="s">
        <v>74</v>
      </c>
      <c r="M522" t="s">
        <v>78</v>
      </c>
      <c r="N522" t="s">
        <v>949</v>
      </c>
      <c r="O522" t="s">
        <v>74</v>
      </c>
      <c r="P522" t="s">
        <v>74</v>
      </c>
      <c r="Q522" t="s">
        <v>74</v>
      </c>
      <c r="R522" t="s">
        <v>74</v>
      </c>
      <c r="S522" t="s">
        <v>74</v>
      </c>
      <c r="T522" t="s">
        <v>10208</v>
      </c>
      <c r="U522" t="s">
        <v>10209</v>
      </c>
      <c r="V522" t="s">
        <v>10210</v>
      </c>
      <c r="W522" t="s">
        <v>10211</v>
      </c>
      <c r="X522" t="s">
        <v>10212</v>
      </c>
      <c r="Y522" t="s">
        <v>10213</v>
      </c>
      <c r="Z522" t="s">
        <v>10214</v>
      </c>
      <c r="AA522" t="s">
        <v>10215</v>
      </c>
      <c r="AB522" t="s">
        <v>10216</v>
      </c>
      <c r="AC522" t="s">
        <v>10217</v>
      </c>
      <c r="AD522" t="s">
        <v>10218</v>
      </c>
      <c r="AE522" t="s">
        <v>10219</v>
      </c>
      <c r="AF522" t="s">
        <v>74</v>
      </c>
      <c r="AG522">
        <v>105</v>
      </c>
      <c r="AH522">
        <v>52</v>
      </c>
      <c r="AI522">
        <v>54</v>
      </c>
      <c r="AJ522">
        <v>2</v>
      </c>
      <c r="AK522">
        <v>96</v>
      </c>
      <c r="AL522" t="s">
        <v>194</v>
      </c>
      <c r="AM522" t="s">
        <v>195</v>
      </c>
      <c r="AN522" t="s">
        <v>196</v>
      </c>
      <c r="AO522" t="s">
        <v>10220</v>
      </c>
      <c r="AP522" t="s">
        <v>10221</v>
      </c>
      <c r="AQ522" t="s">
        <v>74</v>
      </c>
      <c r="AR522" t="s">
        <v>10222</v>
      </c>
      <c r="AS522" t="s">
        <v>10223</v>
      </c>
      <c r="AT522" t="s">
        <v>10046</v>
      </c>
      <c r="AU522">
        <v>2016</v>
      </c>
      <c r="AV522">
        <v>217</v>
      </c>
      <c r="AW522">
        <v>3</v>
      </c>
      <c r="AX522" t="s">
        <v>74</v>
      </c>
      <c r="AY522" t="s">
        <v>74</v>
      </c>
      <c r="AZ522" t="s">
        <v>74</v>
      </c>
      <c r="BA522" t="s">
        <v>74</v>
      </c>
      <c r="BB522">
        <v>343</v>
      </c>
      <c r="BC522">
        <v>358</v>
      </c>
      <c r="BD522" t="s">
        <v>74</v>
      </c>
      <c r="BE522" t="s">
        <v>10224</v>
      </c>
      <c r="BF522" t="str">
        <f>HYPERLINK("http://dx.doi.org/10.1007/s11258-016-0585-x","http://dx.doi.org/10.1007/s11258-016-0585-x")</f>
        <v>http://dx.doi.org/10.1007/s11258-016-0585-x</v>
      </c>
      <c r="BG522" t="s">
        <v>74</v>
      </c>
      <c r="BH522" t="s">
        <v>74</v>
      </c>
      <c r="BI522">
        <v>16</v>
      </c>
      <c r="BJ522" t="s">
        <v>10225</v>
      </c>
      <c r="BK522" t="s">
        <v>102</v>
      </c>
      <c r="BL522" t="s">
        <v>10226</v>
      </c>
      <c r="BM522" t="s">
        <v>10227</v>
      </c>
      <c r="BN522" t="s">
        <v>74</v>
      </c>
      <c r="BO522" t="s">
        <v>74</v>
      </c>
      <c r="BP522" t="s">
        <v>74</v>
      </c>
      <c r="BQ522" t="s">
        <v>74</v>
      </c>
      <c r="BR522" t="s">
        <v>106</v>
      </c>
      <c r="BS522" t="s">
        <v>10228</v>
      </c>
      <c r="BT522" t="str">
        <f>HYPERLINK("https%3A%2F%2Fwww.webofscience.com%2Fwos%2Fwoscc%2Ffull-record%2FWOS:000376271900010","View Full Record in Web of Science")</f>
        <v>View Full Record in Web of Science</v>
      </c>
    </row>
    <row r="523" spans="1:72" x14ac:dyDescent="0.15">
      <c r="A523" t="s">
        <v>72</v>
      </c>
      <c r="B523" t="s">
        <v>10229</v>
      </c>
      <c r="C523" t="s">
        <v>74</v>
      </c>
      <c r="D523" t="s">
        <v>74</v>
      </c>
      <c r="E523" t="s">
        <v>74</v>
      </c>
      <c r="F523" t="s">
        <v>10230</v>
      </c>
      <c r="G523" t="s">
        <v>74</v>
      </c>
      <c r="H523" t="s">
        <v>74</v>
      </c>
      <c r="I523" t="s">
        <v>10231</v>
      </c>
      <c r="J523" t="s">
        <v>2522</v>
      </c>
      <c r="K523" t="s">
        <v>74</v>
      </c>
      <c r="L523" t="s">
        <v>74</v>
      </c>
      <c r="M523" t="s">
        <v>78</v>
      </c>
      <c r="N523" t="s">
        <v>79</v>
      </c>
      <c r="O523" t="s">
        <v>74</v>
      </c>
      <c r="P523" t="s">
        <v>74</v>
      </c>
      <c r="Q523" t="s">
        <v>74</v>
      </c>
      <c r="R523" t="s">
        <v>74</v>
      </c>
      <c r="S523" t="s">
        <v>74</v>
      </c>
      <c r="T523" t="s">
        <v>10232</v>
      </c>
      <c r="U523" t="s">
        <v>10233</v>
      </c>
      <c r="V523" t="s">
        <v>10234</v>
      </c>
      <c r="W523" t="s">
        <v>10235</v>
      </c>
      <c r="X523" t="s">
        <v>10236</v>
      </c>
      <c r="Y523" t="s">
        <v>10237</v>
      </c>
      <c r="Z523" t="s">
        <v>10238</v>
      </c>
      <c r="AA523" t="s">
        <v>10239</v>
      </c>
      <c r="AB523" t="s">
        <v>10240</v>
      </c>
      <c r="AC523" t="s">
        <v>10241</v>
      </c>
      <c r="AD523" t="s">
        <v>2533</v>
      </c>
      <c r="AE523" t="s">
        <v>10242</v>
      </c>
      <c r="AF523" t="s">
        <v>74</v>
      </c>
      <c r="AG523">
        <v>19</v>
      </c>
      <c r="AH523">
        <v>2</v>
      </c>
      <c r="AI523">
        <v>3</v>
      </c>
      <c r="AJ523">
        <v>0</v>
      </c>
      <c r="AK523">
        <v>17</v>
      </c>
      <c r="AL523" t="s">
        <v>2361</v>
      </c>
      <c r="AM523" t="s">
        <v>262</v>
      </c>
      <c r="AN523" t="s">
        <v>2362</v>
      </c>
      <c r="AO523" t="s">
        <v>2535</v>
      </c>
      <c r="AP523" t="s">
        <v>2536</v>
      </c>
      <c r="AQ523" t="s">
        <v>74</v>
      </c>
      <c r="AR523" t="s">
        <v>2537</v>
      </c>
      <c r="AS523" t="s">
        <v>2538</v>
      </c>
      <c r="AT523" t="s">
        <v>10046</v>
      </c>
      <c r="AU523">
        <v>2016</v>
      </c>
      <c r="AV523">
        <v>85</v>
      </c>
      <c r="AW523">
        <v>2</v>
      </c>
      <c r="AX523" t="s">
        <v>74</v>
      </c>
      <c r="AY523" t="s">
        <v>74</v>
      </c>
      <c r="AZ523" t="s">
        <v>74</v>
      </c>
      <c r="BA523" t="s">
        <v>74</v>
      </c>
      <c r="BB523">
        <v>157</v>
      </c>
      <c r="BC523">
        <v>164</v>
      </c>
      <c r="BD523" t="s">
        <v>74</v>
      </c>
      <c r="BE523" t="s">
        <v>10243</v>
      </c>
      <c r="BF523" t="str">
        <f>HYPERLINK("http://dx.doi.org/10.1134/S0026261716020119","http://dx.doi.org/10.1134/S0026261716020119")</f>
        <v>http://dx.doi.org/10.1134/S0026261716020119</v>
      </c>
      <c r="BG523" t="s">
        <v>74</v>
      </c>
      <c r="BH523" t="s">
        <v>74</v>
      </c>
      <c r="BI523">
        <v>8</v>
      </c>
      <c r="BJ523" t="s">
        <v>2538</v>
      </c>
      <c r="BK523" t="s">
        <v>102</v>
      </c>
      <c r="BL523" t="s">
        <v>2538</v>
      </c>
      <c r="BM523" t="s">
        <v>10244</v>
      </c>
      <c r="BN523" t="s">
        <v>74</v>
      </c>
      <c r="BO523" t="s">
        <v>74</v>
      </c>
      <c r="BP523" t="s">
        <v>74</v>
      </c>
      <c r="BQ523" t="s">
        <v>74</v>
      </c>
      <c r="BR523" t="s">
        <v>106</v>
      </c>
      <c r="BS523" t="s">
        <v>10245</v>
      </c>
      <c r="BT523" t="str">
        <f>HYPERLINK("https%3A%2F%2Fwww.webofscience.com%2Fwos%2Fwoscc%2Ffull-record%2FWOS:000376069400003","View Full Record in Web of Science")</f>
        <v>View Full Record in Web of Science</v>
      </c>
    </row>
    <row r="524" spans="1:72" x14ac:dyDescent="0.15">
      <c r="A524" t="s">
        <v>72</v>
      </c>
      <c r="B524" t="s">
        <v>10246</v>
      </c>
      <c r="C524" t="s">
        <v>74</v>
      </c>
      <c r="D524" t="s">
        <v>74</v>
      </c>
      <c r="E524" t="s">
        <v>74</v>
      </c>
      <c r="F524" t="s">
        <v>10247</v>
      </c>
      <c r="G524" t="s">
        <v>74</v>
      </c>
      <c r="H524" t="s">
        <v>74</v>
      </c>
      <c r="I524" t="s">
        <v>10248</v>
      </c>
      <c r="J524" t="s">
        <v>6273</v>
      </c>
      <c r="K524" t="s">
        <v>74</v>
      </c>
      <c r="L524" t="s">
        <v>74</v>
      </c>
      <c r="M524" t="s">
        <v>78</v>
      </c>
      <c r="N524" t="s">
        <v>79</v>
      </c>
      <c r="O524" t="s">
        <v>74</v>
      </c>
      <c r="P524" t="s">
        <v>74</v>
      </c>
      <c r="Q524" t="s">
        <v>74</v>
      </c>
      <c r="R524" t="s">
        <v>74</v>
      </c>
      <c r="S524" t="s">
        <v>74</v>
      </c>
      <c r="T524" t="s">
        <v>10249</v>
      </c>
      <c r="U524" t="s">
        <v>74</v>
      </c>
      <c r="V524" t="s">
        <v>10250</v>
      </c>
      <c r="W524" t="s">
        <v>10251</v>
      </c>
      <c r="X524" t="s">
        <v>2357</v>
      </c>
      <c r="Y524" t="s">
        <v>10252</v>
      </c>
      <c r="Z524" t="s">
        <v>10253</v>
      </c>
      <c r="AA524" t="s">
        <v>74</v>
      </c>
      <c r="AB524" t="s">
        <v>74</v>
      </c>
      <c r="AC524" t="s">
        <v>74</v>
      </c>
      <c r="AD524" t="s">
        <v>74</v>
      </c>
      <c r="AE524" t="s">
        <v>74</v>
      </c>
      <c r="AF524" t="s">
        <v>74</v>
      </c>
      <c r="AG524">
        <v>11</v>
      </c>
      <c r="AH524">
        <v>7</v>
      </c>
      <c r="AI524">
        <v>7</v>
      </c>
      <c r="AJ524">
        <v>0</v>
      </c>
      <c r="AK524">
        <v>4</v>
      </c>
      <c r="AL524" t="s">
        <v>6280</v>
      </c>
      <c r="AM524" t="s">
        <v>6281</v>
      </c>
      <c r="AN524" t="s">
        <v>6282</v>
      </c>
      <c r="AO524" t="s">
        <v>6283</v>
      </c>
      <c r="AP524" t="s">
        <v>6284</v>
      </c>
      <c r="AQ524" t="s">
        <v>74</v>
      </c>
      <c r="AR524" t="s">
        <v>6285</v>
      </c>
      <c r="AS524" t="s">
        <v>6286</v>
      </c>
      <c r="AT524" t="s">
        <v>10046</v>
      </c>
      <c r="AU524">
        <v>2016</v>
      </c>
      <c r="AV524">
        <v>41</v>
      </c>
      <c r="AW524">
        <v>3</v>
      </c>
      <c r="AX524" t="s">
        <v>74</v>
      </c>
      <c r="AY524" t="s">
        <v>74</v>
      </c>
      <c r="AZ524" t="s">
        <v>74</v>
      </c>
      <c r="BA524" t="s">
        <v>74</v>
      </c>
      <c r="BB524">
        <v>199</v>
      </c>
      <c r="BC524">
        <v>204</v>
      </c>
      <c r="BD524" t="s">
        <v>74</v>
      </c>
      <c r="BE524" t="s">
        <v>10254</v>
      </c>
      <c r="BF524" t="str">
        <f>HYPERLINK("http://dx.doi.org/10.3103/S1068373916030055","http://dx.doi.org/10.3103/S1068373916030055")</f>
        <v>http://dx.doi.org/10.3103/S1068373916030055</v>
      </c>
      <c r="BG524" t="s">
        <v>74</v>
      </c>
      <c r="BH524" t="s">
        <v>74</v>
      </c>
      <c r="BI524">
        <v>6</v>
      </c>
      <c r="BJ524" t="s">
        <v>1726</v>
      </c>
      <c r="BK524" t="s">
        <v>102</v>
      </c>
      <c r="BL524" t="s">
        <v>1726</v>
      </c>
      <c r="BM524" t="s">
        <v>10255</v>
      </c>
      <c r="BN524" t="s">
        <v>74</v>
      </c>
      <c r="BO524" t="s">
        <v>74</v>
      </c>
      <c r="BP524" t="s">
        <v>74</v>
      </c>
      <c r="BQ524" t="s">
        <v>74</v>
      </c>
      <c r="BR524" t="s">
        <v>106</v>
      </c>
      <c r="BS524" t="s">
        <v>10256</v>
      </c>
      <c r="BT524" t="str">
        <f>HYPERLINK("https%3A%2F%2Fwww.webofscience.com%2Fwos%2Fwoscc%2Ffull-record%2FWOS:000376275200005","View Full Record in Web of Science")</f>
        <v>View Full Record in Web of Science</v>
      </c>
    </row>
    <row r="525" spans="1:72" x14ac:dyDescent="0.15">
      <c r="A525" t="s">
        <v>72</v>
      </c>
      <c r="B525" t="s">
        <v>10257</v>
      </c>
      <c r="C525" t="s">
        <v>74</v>
      </c>
      <c r="D525" t="s">
        <v>74</v>
      </c>
      <c r="E525" t="s">
        <v>74</v>
      </c>
      <c r="F525" t="s">
        <v>10258</v>
      </c>
      <c r="G525" t="s">
        <v>74</v>
      </c>
      <c r="H525" t="s">
        <v>74</v>
      </c>
      <c r="I525" t="s">
        <v>10259</v>
      </c>
      <c r="J525" t="s">
        <v>10260</v>
      </c>
      <c r="K525" t="s">
        <v>74</v>
      </c>
      <c r="L525" t="s">
        <v>74</v>
      </c>
      <c r="M525" t="s">
        <v>78</v>
      </c>
      <c r="N525" t="s">
        <v>79</v>
      </c>
      <c r="O525" t="s">
        <v>74</v>
      </c>
      <c r="P525" t="s">
        <v>74</v>
      </c>
      <c r="Q525" t="s">
        <v>74</v>
      </c>
      <c r="R525" t="s">
        <v>74</v>
      </c>
      <c r="S525" t="s">
        <v>74</v>
      </c>
      <c r="T525" t="s">
        <v>10261</v>
      </c>
      <c r="U525" t="s">
        <v>10262</v>
      </c>
      <c r="V525" t="s">
        <v>10263</v>
      </c>
      <c r="W525" t="s">
        <v>10264</v>
      </c>
      <c r="X525" t="s">
        <v>10265</v>
      </c>
      <c r="Y525" t="s">
        <v>10266</v>
      </c>
      <c r="Z525" t="s">
        <v>10267</v>
      </c>
      <c r="AA525" t="s">
        <v>74</v>
      </c>
      <c r="AB525" t="s">
        <v>74</v>
      </c>
      <c r="AC525" t="s">
        <v>10268</v>
      </c>
      <c r="AD525" t="s">
        <v>10269</v>
      </c>
      <c r="AE525" t="s">
        <v>10270</v>
      </c>
      <c r="AF525" t="s">
        <v>74</v>
      </c>
      <c r="AG525">
        <v>36</v>
      </c>
      <c r="AH525">
        <v>19</v>
      </c>
      <c r="AI525">
        <v>21</v>
      </c>
      <c r="AJ525">
        <v>1</v>
      </c>
      <c r="AK525">
        <v>15</v>
      </c>
      <c r="AL525" t="s">
        <v>10271</v>
      </c>
      <c r="AM525" t="s">
        <v>10272</v>
      </c>
      <c r="AN525" t="s">
        <v>10273</v>
      </c>
      <c r="AO525" t="s">
        <v>10274</v>
      </c>
      <c r="AP525" t="s">
        <v>10275</v>
      </c>
      <c r="AQ525" t="s">
        <v>74</v>
      </c>
      <c r="AR525" t="s">
        <v>10276</v>
      </c>
      <c r="AS525" t="s">
        <v>10277</v>
      </c>
      <c r="AT525" t="s">
        <v>10278</v>
      </c>
      <c r="AU525">
        <v>2016</v>
      </c>
      <c r="AV525">
        <v>101</v>
      </c>
      <c r="AW525" t="s">
        <v>10279</v>
      </c>
      <c r="AX525" t="s">
        <v>74</v>
      </c>
      <c r="AY525" t="s">
        <v>74</v>
      </c>
      <c r="AZ525" t="s">
        <v>74</v>
      </c>
      <c r="BA525" t="s">
        <v>74</v>
      </c>
      <c r="BB525">
        <v>960</v>
      </c>
      <c r="BC525">
        <v>969</v>
      </c>
      <c r="BD525" t="s">
        <v>74</v>
      </c>
      <c r="BE525" t="s">
        <v>10280</v>
      </c>
      <c r="BF525" t="str">
        <f>HYPERLINK("http://dx.doi.org/10.2138/am-2016-5398","http://dx.doi.org/10.2138/am-2016-5398")</f>
        <v>http://dx.doi.org/10.2138/am-2016-5398</v>
      </c>
      <c r="BG525" t="s">
        <v>74</v>
      </c>
      <c r="BH525" t="s">
        <v>74</v>
      </c>
      <c r="BI525">
        <v>10</v>
      </c>
      <c r="BJ525" t="s">
        <v>3344</v>
      </c>
      <c r="BK525" t="s">
        <v>102</v>
      </c>
      <c r="BL525" t="s">
        <v>3344</v>
      </c>
      <c r="BM525" t="s">
        <v>10281</v>
      </c>
      <c r="BN525" t="s">
        <v>74</v>
      </c>
      <c r="BO525" t="s">
        <v>74</v>
      </c>
      <c r="BP525" t="s">
        <v>74</v>
      </c>
      <c r="BQ525" t="s">
        <v>74</v>
      </c>
      <c r="BR525" t="s">
        <v>106</v>
      </c>
      <c r="BS525" t="s">
        <v>10282</v>
      </c>
      <c r="BT525" t="str">
        <f>HYPERLINK("https%3A%2F%2Fwww.webofscience.com%2Fwos%2Fwoscc%2Ffull-record%2FWOS:000374626100037","View Full Record in Web of Science")</f>
        <v>View Full Record in Web of Science</v>
      </c>
    </row>
    <row r="526" spans="1:72" x14ac:dyDescent="0.15">
      <c r="A526" t="s">
        <v>72</v>
      </c>
      <c r="B526" t="s">
        <v>10283</v>
      </c>
      <c r="C526" t="s">
        <v>74</v>
      </c>
      <c r="D526" t="s">
        <v>74</v>
      </c>
      <c r="E526" t="s">
        <v>74</v>
      </c>
      <c r="F526" t="s">
        <v>10284</v>
      </c>
      <c r="G526" t="s">
        <v>74</v>
      </c>
      <c r="H526" t="s">
        <v>74</v>
      </c>
      <c r="I526" t="s">
        <v>10285</v>
      </c>
      <c r="J526" t="s">
        <v>77</v>
      </c>
      <c r="K526" t="s">
        <v>74</v>
      </c>
      <c r="L526" t="s">
        <v>74</v>
      </c>
      <c r="M526" t="s">
        <v>78</v>
      </c>
      <c r="N526" t="s">
        <v>79</v>
      </c>
      <c r="O526" t="s">
        <v>74</v>
      </c>
      <c r="P526" t="s">
        <v>74</v>
      </c>
      <c r="Q526" t="s">
        <v>74</v>
      </c>
      <c r="R526" t="s">
        <v>74</v>
      </c>
      <c r="S526" t="s">
        <v>74</v>
      </c>
      <c r="T526" t="s">
        <v>74</v>
      </c>
      <c r="U526" t="s">
        <v>10286</v>
      </c>
      <c r="V526" t="s">
        <v>10287</v>
      </c>
      <c r="W526" t="s">
        <v>10288</v>
      </c>
      <c r="X526" t="s">
        <v>10289</v>
      </c>
      <c r="Y526" t="s">
        <v>10290</v>
      </c>
      <c r="Z526" t="s">
        <v>10291</v>
      </c>
      <c r="AA526" t="s">
        <v>10292</v>
      </c>
      <c r="AB526" t="s">
        <v>10293</v>
      </c>
      <c r="AC526" t="s">
        <v>10294</v>
      </c>
      <c r="AD526" t="s">
        <v>10295</v>
      </c>
      <c r="AE526" t="s">
        <v>10296</v>
      </c>
      <c r="AF526" t="s">
        <v>74</v>
      </c>
      <c r="AG526">
        <v>126</v>
      </c>
      <c r="AH526">
        <v>30</v>
      </c>
      <c r="AI526">
        <v>33</v>
      </c>
      <c r="AJ526">
        <v>1</v>
      </c>
      <c r="AK526">
        <v>38</v>
      </c>
      <c r="AL526" t="s">
        <v>92</v>
      </c>
      <c r="AM526" t="s">
        <v>93</v>
      </c>
      <c r="AN526" t="s">
        <v>94</v>
      </c>
      <c r="AO526" t="s">
        <v>95</v>
      </c>
      <c r="AP526" t="s">
        <v>96</v>
      </c>
      <c r="AQ526" t="s">
        <v>74</v>
      </c>
      <c r="AR526" t="s">
        <v>97</v>
      </c>
      <c r="AS526" t="s">
        <v>98</v>
      </c>
      <c r="AT526" t="s">
        <v>10046</v>
      </c>
      <c r="AU526">
        <v>2016</v>
      </c>
      <c r="AV526">
        <v>30</v>
      </c>
      <c r="AW526">
        <v>3</v>
      </c>
      <c r="AX526" t="s">
        <v>74</v>
      </c>
      <c r="AY526" t="s">
        <v>74</v>
      </c>
      <c r="AZ526" t="s">
        <v>74</v>
      </c>
      <c r="BA526" t="s">
        <v>74</v>
      </c>
      <c r="BB526">
        <v>421</v>
      </c>
      <c r="BC526">
        <v>437</v>
      </c>
      <c r="BD526" t="s">
        <v>74</v>
      </c>
      <c r="BE526" t="s">
        <v>10297</v>
      </c>
      <c r="BF526" t="str">
        <f>HYPERLINK("http://dx.doi.org/10.1002/2015GB005265","http://dx.doi.org/10.1002/2015GB005265")</f>
        <v>http://dx.doi.org/10.1002/2015GB005265</v>
      </c>
      <c r="BG526" t="s">
        <v>74</v>
      </c>
      <c r="BH526" t="s">
        <v>74</v>
      </c>
      <c r="BI526">
        <v>17</v>
      </c>
      <c r="BJ526" t="s">
        <v>101</v>
      </c>
      <c r="BK526" t="s">
        <v>102</v>
      </c>
      <c r="BL526" t="s">
        <v>103</v>
      </c>
      <c r="BM526" t="s">
        <v>10298</v>
      </c>
      <c r="BN526" t="s">
        <v>74</v>
      </c>
      <c r="BO526" t="s">
        <v>10299</v>
      </c>
      <c r="BP526" t="s">
        <v>74</v>
      </c>
      <c r="BQ526" t="s">
        <v>74</v>
      </c>
      <c r="BR526" t="s">
        <v>106</v>
      </c>
      <c r="BS526" t="s">
        <v>10300</v>
      </c>
      <c r="BT526" t="str">
        <f>HYPERLINK("https%3A%2F%2Fwww.webofscience.com%2Fwos%2Fwoscc%2Ffull-record%2FWOS:000374477400002","View Full Record in Web of Science")</f>
        <v>View Full Record in Web of Science</v>
      </c>
    </row>
    <row r="527" spans="1:72" x14ac:dyDescent="0.15">
      <c r="A527" t="s">
        <v>72</v>
      </c>
      <c r="B527" t="s">
        <v>10301</v>
      </c>
      <c r="C527" t="s">
        <v>74</v>
      </c>
      <c r="D527" t="s">
        <v>74</v>
      </c>
      <c r="E527" t="s">
        <v>74</v>
      </c>
      <c r="F527" t="s">
        <v>10302</v>
      </c>
      <c r="G527" t="s">
        <v>74</v>
      </c>
      <c r="H527" t="s">
        <v>74</v>
      </c>
      <c r="I527" t="s">
        <v>10303</v>
      </c>
      <c r="J527" t="s">
        <v>2433</v>
      </c>
      <c r="K527" t="s">
        <v>74</v>
      </c>
      <c r="L527" t="s">
        <v>74</v>
      </c>
      <c r="M527" t="s">
        <v>78</v>
      </c>
      <c r="N527" t="s">
        <v>79</v>
      </c>
      <c r="O527" t="s">
        <v>74</v>
      </c>
      <c r="P527" t="s">
        <v>74</v>
      </c>
      <c r="Q527" t="s">
        <v>74</v>
      </c>
      <c r="R527" t="s">
        <v>74</v>
      </c>
      <c r="S527" t="s">
        <v>74</v>
      </c>
      <c r="T527" t="s">
        <v>10304</v>
      </c>
      <c r="U527" t="s">
        <v>10305</v>
      </c>
      <c r="V527" t="s">
        <v>10306</v>
      </c>
      <c r="W527" t="s">
        <v>10307</v>
      </c>
      <c r="X527" t="s">
        <v>10308</v>
      </c>
      <c r="Y527" t="s">
        <v>10309</v>
      </c>
      <c r="Z527" t="s">
        <v>10310</v>
      </c>
      <c r="AA527" t="s">
        <v>10311</v>
      </c>
      <c r="AB527" t="s">
        <v>10312</v>
      </c>
      <c r="AC527" t="s">
        <v>10313</v>
      </c>
      <c r="AD527" t="s">
        <v>10314</v>
      </c>
      <c r="AE527" t="s">
        <v>10315</v>
      </c>
      <c r="AF527" t="s">
        <v>74</v>
      </c>
      <c r="AG527">
        <v>114</v>
      </c>
      <c r="AH527">
        <v>68</v>
      </c>
      <c r="AI527">
        <v>79</v>
      </c>
      <c r="AJ527">
        <v>0</v>
      </c>
      <c r="AK527">
        <v>24</v>
      </c>
      <c r="AL527" t="s">
        <v>92</v>
      </c>
      <c r="AM527" t="s">
        <v>93</v>
      </c>
      <c r="AN527" t="s">
        <v>94</v>
      </c>
      <c r="AO527" t="s">
        <v>2444</v>
      </c>
      <c r="AP527" t="s">
        <v>2445</v>
      </c>
      <c r="AQ527" t="s">
        <v>74</v>
      </c>
      <c r="AR527" t="s">
        <v>2446</v>
      </c>
      <c r="AS527" t="s">
        <v>2447</v>
      </c>
      <c r="AT527" t="s">
        <v>10046</v>
      </c>
      <c r="AU527">
        <v>2016</v>
      </c>
      <c r="AV527">
        <v>121</v>
      </c>
      <c r="AW527">
        <v>3</v>
      </c>
      <c r="AX527" t="s">
        <v>74</v>
      </c>
      <c r="AY527" t="s">
        <v>74</v>
      </c>
      <c r="AZ527" t="s">
        <v>74</v>
      </c>
      <c r="BA527" t="s">
        <v>74</v>
      </c>
      <c r="BB527">
        <v>1758</v>
      </c>
      <c r="BC527">
        <v>1775</v>
      </c>
      <c r="BD527" t="s">
        <v>74</v>
      </c>
      <c r="BE527" t="s">
        <v>10316</v>
      </c>
      <c r="BF527" t="str">
        <f>HYPERLINK("http://dx.doi.org/10.1002/2015JB012616","http://dx.doi.org/10.1002/2015JB012616")</f>
        <v>http://dx.doi.org/10.1002/2015JB012616</v>
      </c>
      <c r="BG527" t="s">
        <v>74</v>
      </c>
      <c r="BH527" t="s">
        <v>74</v>
      </c>
      <c r="BI527">
        <v>18</v>
      </c>
      <c r="BJ527" t="s">
        <v>727</v>
      </c>
      <c r="BK527" t="s">
        <v>102</v>
      </c>
      <c r="BL527" t="s">
        <v>727</v>
      </c>
      <c r="BM527" t="s">
        <v>10317</v>
      </c>
      <c r="BN527" t="s">
        <v>74</v>
      </c>
      <c r="BO527" t="s">
        <v>842</v>
      </c>
      <c r="BP527" t="s">
        <v>74</v>
      </c>
      <c r="BQ527" t="s">
        <v>74</v>
      </c>
      <c r="BR527" t="s">
        <v>106</v>
      </c>
      <c r="BS527" t="s">
        <v>10318</v>
      </c>
      <c r="BT527" t="str">
        <f>HYPERLINK("https%3A%2F%2Fwww.webofscience.com%2Fwos%2Fwoscc%2Ffull-record%2FWOS:000374695200028","View Full Record in Web of Science")</f>
        <v>View Full Record in Web of Science</v>
      </c>
    </row>
    <row r="528" spans="1:72" x14ac:dyDescent="0.15">
      <c r="A528" t="s">
        <v>72</v>
      </c>
      <c r="B528" t="s">
        <v>10319</v>
      </c>
      <c r="C528" t="s">
        <v>74</v>
      </c>
      <c r="D528" t="s">
        <v>74</v>
      </c>
      <c r="E528" t="s">
        <v>74</v>
      </c>
      <c r="F528" t="s">
        <v>10320</v>
      </c>
      <c r="G528" t="s">
        <v>74</v>
      </c>
      <c r="H528" t="s">
        <v>74</v>
      </c>
      <c r="I528" t="s">
        <v>10321</v>
      </c>
      <c r="J528" t="s">
        <v>385</v>
      </c>
      <c r="K528" t="s">
        <v>74</v>
      </c>
      <c r="L528" t="s">
        <v>74</v>
      </c>
      <c r="M528" t="s">
        <v>78</v>
      </c>
      <c r="N528" t="s">
        <v>79</v>
      </c>
      <c r="O528" t="s">
        <v>74</v>
      </c>
      <c r="P528" t="s">
        <v>74</v>
      </c>
      <c r="Q528" t="s">
        <v>74</v>
      </c>
      <c r="R528" t="s">
        <v>74</v>
      </c>
      <c r="S528" t="s">
        <v>74</v>
      </c>
      <c r="T528" t="s">
        <v>10322</v>
      </c>
      <c r="U528" t="s">
        <v>10323</v>
      </c>
      <c r="V528" t="s">
        <v>10324</v>
      </c>
      <c r="W528" t="s">
        <v>10325</v>
      </c>
      <c r="X528" t="s">
        <v>10326</v>
      </c>
      <c r="Y528" t="s">
        <v>10327</v>
      </c>
      <c r="Z528" t="s">
        <v>10328</v>
      </c>
      <c r="AA528" t="s">
        <v>10329</v>
      </c>
      <c r="AB528" t="s">
        <v>10330</v>
      </c>
      <c r="AC528" t="s">
        <v>10331</v>
      </c>
      <c r="AD528" t="s">
        <v>10332</v>
      </c>
      <c r="AE528" t="s">
        <v>10333</v>
      </c>
      <c r="AF528" t="s">
        <v>74</v>
      </c>
      <c r="AG528">
        <v>45</v>
      </c>
      <c r="AH528">
        <v>4</v>
      </c>
      <c r="AI528">
        <v>4</v>
      </c>
      <c r="AJ528">
        <v>1</v>
      </c>
      <c r="AK528">
        <v>5</v>
      </c>
      <c r="AL528" t="s">
        <v>92</v>
      </c>
      <c r="AM528" t="s">
        <v>93</v>
      </c>
      <c r="AN528" t="s">
        <v>94</v>
      </c>
      <c r="AO528" t="s">
        <v>397</v>
      </c>
      <c r="AP528" t="s">
        <v>398</v>
      </c>
      <c r="AQ528" t="s">
        <v>74</v>
      </c>
      <c r="AR528" t="s">
        <v>399</v>
      </c>
      <c r="AS528" t="s">
        <v>400</v>
      </c>
      <c r="AT528" t="s">
        <v>10046</v>
      </c>
      <c r="AU528">
        <v>2016</v>
      </c>
      <c r="AV528">
        <v>121</v>
      </c>
      <c r="AW528">
        <v>3</v>
      </c>
      <c r="AX528" t="s">
        <v>74</v>
      </c>
      <c r="AY528" t="s">
        <v>74</v>
      </c>
      <c r="AZ528" t="s">
        <v>74</v>
      </c>
      <c r="BA528" t="s">
        <v>74</v>
      </c>
      <c r="BB528">
        <v>2407</v>
      </c>
      <c r="BC528">
        <v>2417</v>
      </c>
      <c r="BD528" t="s">
        <v>74</v>
      </c>
      <c r="BE528" t="s">
        <v>10334</v>
      </c>
      <c r="BF528" t="str">
        <f>HYPERLINK("http://dx.doi.org/10.1002/2015JA022080","http://dx.doi.org/10.1002/2015JA022080")</f>
        <v>http://dx.doi.org/10.1002/2015JA022080</v>
      </c>
      <c r="BG528" t="s">
        <v>74</v>
      </c>
      <c r="BH528" t="s">
        <v>74</v>
      </c>
      <c r="BI528">
        <v>11</v>
      </c>
      <c r="BJ528" t="s">
        <v>248</v>
      </c>
      <c r="BK528" t="s">
        <v>102</v>
      </c>
      <c r="BL528" t="s">
        <v>248</v>
      </c>
      <c r="BM528" t="s">
        <v>10335</v>
      </c>
      <c r="BN528" t="s">
        <v>74</v>
      </c>
      <c r="BO528" t="s">
        <v>420</v>
      </c>
      <c r="BP528" t="s">
        <v>74</v>
      </c>
      <c r="BQ528" t="s">
        <v>74</v>
      </c>
      <c r="BR528" t="s">
        <v>106</v>
      </c>
      <c r="BS528" t="s">
        <v>10336</v>
      </c>
      <c r="BT528" t="str">
        <f>HYPERLINK("https%3A%2F%2Fwww.webofscience.com%2Fwos%2Fwoscc%2Ffull-record%2FWOS:000374730900038","View Full Record in Web of Science")</f>
        <v>View Full Record in Web of Science</v>
      </c>
    </row>
    <row r="529" spans="1:72" x14ac:dyDescent="0.15">
      <c r="A529" t="s">
        <v>72</v>
      </c>
      <c r="B529" t="s">
        <v>10337</v>
      </c>
      <c r="C529" t="s">
        <v>74</v>
      </c>
      <c r="D529" t="s">
        <v>74</v>
      </c>
      <c r="E529" t="s">
        <v>74</v>
      </c>
      <c r="F529" t="s">
        <v>10338</v>
      </c>
      <c r="G529" t="s">
        <v>74</v>
      </c>
      <c r="H529" t="s">
        <v>74</v>
      </c>
      <c r="I529" t="s">
        <v>10339</v>
      </c>
      <c r="J529" t="s">
        <v>6389</v>
      </c>
      <c r="K529" t="s">
        <v>74</v>
      </c>
      <c r="L529" t="s">
        <v>74</v>
      </c>
      <c r="M529" t="s">
        <v>78</v>
      </c>
      <c r="N529" t="s">
        <v>79</v>
      </c>
      <c r="O529" t="s">
        <v>74</v>
      </c>
      <c r="P529" t="s">
        <v>74</v>
      </c>
      <c r="Q529" t="s">
        <v>74</v>
      </c>
      <c r="R529" t="s">
        <v>74</v>
      </c>
      <c r="S529" t="s">
        <v>74</v>
      </c>
      <c r="T529" t="s">
        <v>74</v>
      </c>
      <c r="U529" t="s">
        <v>10340</v>
      </c>
      <c r="V529" t="s">
        <v>10341</v>
      </c>
      <c r="W529" t="s">
        <v>10342</v>
      </c>
      <c r="X529" t="s">
        <v>1057</v>
      </c>
      <c r="Y529" t="s">
        <v>10343</v>
      </c>
      <c r="Z529" t="s">
        <v>5082</v>
      </c>
      <c r="AA529" t="s">
        <v>10344</v>
      </c>
      <c r="AB529" t="s">
        <v>10345</v>
      </c>
      <c r="AC529" t="s">
        <v>10346</v>
      </c>
      <c r="AD529" t="s">
        <v>10346</v>
      </c>
      <c r="AE529" t="s">
        <v>10347</v>
      </c>
      <c r="AF529" t="s">
        <v>74</v>
      </c>
      <c r="AG529">
        <v>46</v>
      </c>
      <c r="AH529">
        <v>13</v>
      </c>
      <c r="AI529">
        <v>13</v>
      </c>
      <c r="AJ529">
        <v>0</v>
      </c>
      <c r="AK529">
        <v>35</v>
      </c>
      <c r="AL529" t="s">
        <v>6404</v>
      </c>
      <c r="AM529" t="s">
        <v>6405</v>
      </c>
      <c r="AN529" t="s">
        <v>6406</v>
      </c>
      <c r="AO529" t="s">
        <v>6407</v>
      </c>
      <c r="AP529" t="s">
        <v>6408</v>
      </c>
      <c r="AQ529" t="s">
        <v>74</v>
      </c>
      <c r="AR529" t="s">
        <v>6409</v>
      </c>
      <c r="AS529" t="s">
        <v>6410</v>
      </c>
      <c r="AT529" t="s">
        <v>10046</v>
      </c>
      <c r="AU529">
        <v>2016</v>
      </c>
      <c r="AV529">
        <v>73</v>
      </c>
      <c r="AW529">
        <v>3</v>
      </c>
      <c r="AX529" t="s">
        <v>74</v>
      </c>
      <c r="AY529" t="s">
        <v>74</v>
      </c>
      <c r="AZ529" t="s">
        <v>74</v>
      </c>
      <c r="BA529" t="s">
        <v>74</v>
      </c>
      <c r="BB529">
        <v>436</v>
      </c>
      <c r="BC529">
        <v>444</v>
      </c>
      <c r="BD529" t="s">
        <v>74</v>
      </c>
      <c r="BE529" t="s">
        <v>10348</v>
      </c>
      <c r="BF529" t="str">
        <f>HYPERLINK("http://dx.doi.org/10.1139/cjfas-2015-0273","http://dx.doi.org/10.1139/cjfas-2015-0273")</f>
        <v>http://dx.doi.org/10.1139/cjfas-2015-0273</v>
      </c>
      <c r="BG529" t="s">
        <v>74</v>
      </c>
      <c r="BH529" t="s">
        <v>74</v>
      </c>
      <c r="BI529">
        <v>9</v>
      </c>
      <c r="BJ529" t="s">
        <v>3049</v>
      </c>
      <c r="BK529" t="s">
        <v>102</v>
      </c>
      <c r="BL529" t="s">
        <v>3049</v>
      </c>
      <c r="BM529" t="s">
        <v>10349</v>
      </c>
      <c r="BN529" t="s">
        <v>74</v>
      </c>
      <c r="BO529" t="s">
        <v>380</v>
      </c>
      <c r="BP529" t="s">
        <v>74</v>
      </c>
      <c r="BQ529" t="s">
        <v>74</v>
      </c>
      <c r="BR529" t="s">
        <v>106</v>
      </c>
      <c r="BS529" t="s">
        <v>10350</v>
      </c>
      <c r="BT529" t="str">
        <f>HYPERLINK("https%3A%2F%2Fwww.webofscience.com%2Fwos%2Fwoscc%2Ffull-record%2FWOS:000375423600011","View Full Record in Web of Science")</f>
        <v>View Full Record in Web of Science</v>
      </c>
    </row>
    <row r="530" spans="1:72" x14ac:dyDescent="0.15">
      <c r="A530" t="s">
        <v>72</v>
      </c>
      <c r="B530" t="s">
        <v>10351</v>
      </c>
      <c r="C530" t="s">
        <v>74</v>
      </c>
      <c r="D530" t="s">
        <v>74</v>
      </c>
      <c r="E530" t="s">
        <v>74</v>
      </c>
      <c r="F530" t="s">
        <v>10352</v>
      </c>
      <c r="G530" t="s">
        <v>74</v>
      </c>
      <c r="H530" t="s">
        <v>74</v>
      </c>
      <c r="I530" t="s">
        <v>10353</v>
      </c>
      <c r="J530" t="s">
        <v>10354</v>
      </c>
      <c r="K530" t="s">
        <v>74</v>
      </c>
      <c r="L530" t="s">
        <v>74</v>
      </c>
      <c r="M530" t="s">
        <v>78</v>
      </c>
      <c r="N530" t="s">
        <v>79</v>
      </c>
      <c r="O530" t="s">
        <v>74</v>
      </c>
      <c r="P530" t="s">
        <v>74</v>
      </c>
      <c r="Q530" t="s">
        <v>74</v>
      </c>
      <c r="R530" t="s">
        <v>74</v>
      </c>
      <c r="S530" t="s">
        <v>74</v>
      </c>
      <c r="T530" t="s">
        <v>10355</v>
      </c>
      <c r="U530" t="s">
        <v>10356</v>
      </c>
      <c r="V530" t="s">
        <v>10357</v>
      </c>
      <c r="W530" t="s">
        <v>10358</v>
      </c>
      <c r="X530" t="s">
        <v>10359</v>
      </c>
      <c r="Y530" t="s">
        <v>10360</v>
      </c>
      <c r="Z530" t="s">
        <v>10361</v>
      </c>
      <c r="AA530" t="s">
        <v>10362</v>
      </c>
      <c r="AB530" t="s">
        <v>10363</v>
      </c>
      <c r="AC530" t="s">
        <v>10364</v>
      </c>
      <c r="AD530" t="s">
        <v>10365</v>
      </c>
      <c r="AE530" t="s">
        <v>10366</v>
      </c>
      <c r="AF530" t="s">
        <v>74</v>
      </c>
      <c r="AG530">
        <v>34</v>
      </c>
      <c r="AH530">
        <v>7</v>
      </c>
      <c r="AI530">
        <v>9</v>
      </c>
      <c r="AJ530">
        <v>0</v>
      </c>
      <c r="AK530">
        <v>25</v>
      </c>
      <c r="AL530" t="s">
        <v>10367</v>
      </c>
      <c r="AM530" t="s">
        <v>10368</v>
      </c>
      <c r="AN530" t="s">
        <v>10369</v>
      </c>
      <c r="AO530" t="s">
        <v>10370</v>
      </c>
      <c r="AP530" t="s">
        <v>10371</v>
      </c>
      <c r="AQ530" t="s">
        <v>74</v>
      </c>
      <c r="AR530" t="s">
        <v>10354</v>
      </c>
      <c r="AS530" t="s">
        <v>10372</v>
      </c>
      <c r="AT530" t="s">
        <v>10046</v>
      </c>
      <c r="AU530">
        <v>2016</v>
      </c>
      <c r="AV530">
        <v>20</v>
      </c>
      <c r="AW530">
        <v>2</v>
      </c>
      <c r="AX530" t="s">
        <v>74</v>
      </c>
      <c r="AY530" t="s">
        <v>74</v>
      </c>
      <c r="AZ530" t="s">
        <v>74</v>
      </c>
      <c r="BA530" t="s">
        <v>74</v>
      </c>
      <c r="BB530">
        <v>227</v>
      </c>
      <c r="BC530">
        <v>234</v>
      </c>
      <c r="BD530" t="s">
        <v>74</v>
      </c>
      <c r="BE530" t="s">
        <v>10373</v>
      </c>
      <c r="BF530" t="str">
        <f>HYPERLINK("http://dx.doi.org/10.1007/s00792-016-0813-2","http://dx.doi.org/10.1007/s00792-016-0813-2")</f>
        <v>http://dx.doi.org/10.1007/s00792-016-0813-2</v>
      </c>
      <c r="BG530" t="s">
        <v>74</v>
      </c>
      <c r="BH530" t="s">
        <v>74</v>
      </c>
      <c r="BI530">
        <v>8</v>
      </c>
      <c r="BJ530" t="s">
        <v>10374</v>
      </c>
      <c r="BK530" t="s">
        <v>102</v>
      </c>
      <c r="BL530" t="s">
        <v>10374</v>
      </c>
      <c r="BM530" t="s">
        <v>10375</v>
      </c>
      <c r="BN530">
        <v>26847199</v>
      </c>
      <c r="BO530" t="s">
        <v>74</v>
      </c>
      <c r="BP530" t="s">
        <v>74</v>
      </c>
      <c r="BQ530" t="s">
        <v>74</v>
      </c>
      <c r="BR530" t="s">
        <v>106</v>
      </c>
      <c r="BS530" t="s">
        <v>10376</v>
      </c>
      <c r="BT530" t="str">
        <f>HYPERLINK("https%3A%2F%2Fwww.webofscience.com%2Fwos%2Fwoscc%2Ffull-record%2FWOS:000374832600012","View Full Record in Web of Science")</f>
        <v>View Full Record in Web of Science</v>
      </c>
    </row>
    <row r="531" spans="1:72" x14ac:dyDescent="0.15">
      <c r="A531" t="s">
        <v>72</v>
      </c>
      <c r="B531" t="s">
        <v>10377</v>
      </c>
      <c r="C531" t="s">
        <v>74</v>
      </c>
      <c r="D531" t="s">
        <v>74</v>
      </c>
      <c r="E531" t="s">
        <v>74</v>
      </c>
      <c r="F531" t="s">
        <v>10378</v>
      </c>
      <c r="G531" t="s">
        <v>74</v>
      </c>
      <c r="H531" t="s">
        <v>74</v>
      </c>
      <c r="I531" t="s">
        <v>10379</v>
      </c>
      <c r="J531" t="s">
        <v>3391</v>
      </c>
      <c r="K531" t="s">
        <v>74</v>
      </c>
      <c r="L531" t="s">
        <v>74</v>
      </c>
      <c r="M531" t="s">
        <v>78</v>
      </c>
      <c r="N531" t="s">
        <v>79</v>
      </c>
      <c r="O531" t="s">
        <v>74</v>
      </c>
      <c r="P531" t="s">
        <v>74</v>
      </c>
      <c r="Q531" t="s">
        <v>74</v>
      </c>
      <c r="R531" t="s">
        <v>74</v>
      </c>
      <c r="S531" t="s">
        <v>74</v>
      </c>
      <c r="T531" t="s">
        <v>74</v>
      </c>
      <c r="U531" t="s">
        <v>10380</v>
      </c>
      <c r="V531" t="s">
        <v>10381</v>
      </c>
      <c r="W531" t="s">
        <v>10382</v>
      </c>
      <c r="X531" t="s">
        <v>10383</v>
      </c>
      <c r="Y531" t="s">
        <v>10384</v>
      </c>
      <c r="Z531" t="s">
        <v>10385</v>
      </c>
      <c r="AA531" t="s">
        <v>74</v>
      </c>
      <c r="AB531" t="s">
        <v>74</v>
      </c>
      <c r="AC531" t="s">
        <v>10386</v>
      </c>
      <c r="AD531" t="s">
        <v>10387</v>
      </c>
      <c r="AE531" t="s">
        <v>10388</v>
      </c>
      <c r="AF531" t="s">
        <v>74</v>
      </c>
      <c r="AG531">
        <v>100</v>
      </c>
      <c r="AH531">
        <v>24</v>
      </c>
      <c r="AI531">
        <v>26</v>
      </c>
      <c r="AJ531">
        <v>1</v>
      </c>
      <c r="AK531">
        <v>22</v>
      </c>
      <c r="AL531" t="s">
        <v>511</v>
      </c>
      <c r="AM531" t="s">
        <v>512</v>
      </c>
      <c r="AN531" t="s">
        <v>513</v>
      </c>
      <c r="AO531" t="s">
        <v>3403</v>
      </c>
      <c r="AP531" t="s">
        <v>3404</v>
      </c>
      <c r="AQ531" t="s">
        <v>74</v>
      </c>
      <c r="AR531" t="s">
        <v>3405</v>
      </c>
      <c r="AS531" t="s">
        <v>3406</v>
      </c>
      <c r="AT531" t="s">
        <v>10046</v>
      </c>
      <c r="AU531">
        <v>2016</v>
      </c>
      <c r="AV531">
        <v>29</v>
      </c>
      <c r="AW531">
        <v>6</v>
      </c>
      <c r="AX531" t="s">
        <v>74</v>
      </c>
      <c r="AY531" t="s">
        <v>74</v>
      </c>
      <c r="AZ531" t="s">
        <v>74</v>
      </c>
      <c r="BA531" t="s">
        <v>74</v>
      </c>
      <c r="BB531">
        <v>2291</v>
      </c>
      <c r="BC531">
        <v>2309</v>
      </c>
      <c r="BD531" t="s">
        <v>74</v>
      </c>
      <c r="BE531" t="s">
        <v>10389</v>
      </c>
      <c r="BF531" t="str">
        <f>HYPERLINK("http://dx.doi.org/10.1175/JCLI-D-15-0361.1","http://dx.doi.org/10.1175/JCLI-D-15-0361.1")</f>
        <v>http://dx.doi.org/10.1175/JCLI-D-15-0361.1</v>
      </c>
      <c r="BG531" t="s">
        <v>74</v>
      </c>
      <c r="BH531" t="s">
        <v>74</v>
      </c>
      <c r="BI531">
        <v>19</v>
      </c>
      <c r="BJ531" t="s">
        <v>1726</v>
      </c>
      <c r="BK531" t="s">
        <v>102</v>
      </c>
      <c r="BL531" t="s">
        <v>1726</v>
      </c>
      <c r="BM531" t="s">
        <v>10390</v>
      </c>
      <c r="BN531" t="s">
        <v>74</v>
      </c>
      <c r="BO531" t="s">
        <v>222</v>
      </c>
      <c r="BP531" t="s">
        <v>74</v>
      </c>
      <c r="BQ531" t="s">
        <v>74</v>
      </c>
      <c r="BR531" t="s">
        <v>106</v>
      </c>
      <c r="BS531" t="s">
        <v>10391</v>
      </c>
      <c r="BT531" t="str">
        <f>HYPERLINK("https%3A%2F%2Fwww.webofscience.com%2Fwos%2Fwoscc%2Ffull-record%2FWOS:000375786600019","View Full Record in Web of Science")</f>
        <v>View Full Record in Web of Science</v>
      </c>
    </row>
    <row r="532" spans="1:72" x14ac:dyDescent="0.15">
      <c r="A532" t="s">
        <v>72</v>
      </c>
      <c r="B532" t="s">
        <v>10392</v>
      </c>
      <c r="C532" t="s">
        <v>74</v>
      </c>
      <c r="D532" t="s">
        <v>74</v>
      </c>
      <c r="E532" t="s">
        <v>74</v>
      </c>
      <c r="F532" t="s">
        <v>10393</v>
      </c>
      <c r="G532" t="s">
        <v>74</v>
      </c>
      <c r="H532" t="s">
        <v>74</v>
      </c>
      <c r="I532" t="s">
        <v>10394</v>
      </c>
      <c r="J532" t="s">
        <v>10395</v>
      </c>
      <c r="K532" t="s">
        <v>74</v>
      </c>
      <c r="L532" t="s">
        <v>74</v>
      </c>
      <c r="M532" t="s">
        <v>78</v>
      </c>
      <c r="N532" t="s">
        <v>79</v>
      </c>
      <c r="O532" t="s">
        <v>74</v>
      </c>
      <c r="P532" t="s">
        <v>74</v>
      </c>
      <c r="Q532" t="s">
        <v>74</v>
      </c>
      <c r="R532" t="s">
        <v>74</v>
      </c>
      <c r="S532" t="s">
        <v>74</v>
      </c>
      <c r="T532" t="s">
        <v>10396</v>
      </c>
      <c r="U532" t="s">
        <v>10397</v>
      </c>
      <c r="V532" t="s">
        <v>10398</v>
      </c>
      <c r="W532" t="s">
        <v>10399</v>
      </c>
      <c r="X532" t="s">
        <v>10400</v>
      </c>
      <c r="Y532" t="s">
        <v>10401</v>
      </c>
      <c r="Z532" t="s">
        <v>10402</v>
      </c>
      <c r="AA532" t="s">
        <v>10403</v>
      </c>
      <c r="AB532" t="s">
        <v>10404</v>
      </c>
      <c r="AC532" t="s">
        <v>10405</v>
      </c>
      <c r="AD532" t="s">
        <v>10406</v>
      </c>
      <c r="AE532" t="s">
        <v>10407</v>
      </c>
      <c r="AF532" t="s">
        <v>74</v>
      </c>
      <c r="AG532">
        <v>95</v>
      </c>
      <c r="AH532">
        <v>33</v>
      </c>
      <c r="AI532">
        <v>36</v>
      </c>
      <c r="AJ532">
        <v>6</v>
      </c>
      <c r="AK532">
        <v>72</v>
      </c>
      <c r="AL532" t="s">
        <v>2577</v>
      </c>
      <c r="AM532" t="s">
        <v>2578</v>
      </c>
      <c r="AN532" t="s">
        <v>2579</v>
      </c>
      <c r="AO532" t="s">
        <v>10408</v>
      </c>
      <c r="AP532" t="s">
        <v>74</v>
      </c>
      <c r="AQ532" t="s">
        <v>74</v>
      </c>
      <c r="AR532" t="s">
        <v>10395</v>
      </c>
      <c r="AS532" t="s">
        <v>10409</v>
      </c>
      <c r="AT532" t="s">
        <v>10046</v>
      </c>
      <c r="AU532">
        <v>2016</v>
      </c>
      <c r="AV532">
        <v>6</v>
      </c>
      <c r="AW532">
        <v>1</v>
      </c>
      <c r="AX532" t="s">
        <v>74</v>
      </c>
      <c r="AY532" t="s">
        <v>74</v>
      </c>
      <c r="AZ532" t="s">
        <v>74</v>
      </c>
      <c r="BA532" t="s">
        <v>74</v>
      </c>
      <c r="BB532" t="s">
        <v>74</v>
      </c>
      <c r="BC532" t="s">
        <v>74</v>
      </c>
      <c r="BD532" t="s">
        <v>74</v>
      </c>
      <c r="BE532" t="s">
        <v>10410</v>
      </c>
      <c r="BF532" t="str">
        <f>HYPERLINK("http://dx.doi.org/10.3390/metabo6010002","http://dx.doi.org/10.3390/metabo6010002")</f>
        <v>http://dx.doi.org/10.3390/metabo6010002</v>
      </c>
      <c r="BG532" t="s">
        <v>74</v>
      </c>
      <c r="BH532" t="s">
        <v>74</v>
      </c>
      <c r="BI532">
        <v>18</v>
      </c>
      <c r="BJ532" t="s">
        <v>10411</v>
      </c>
      <c r="BK532" t="s">
        <v>102</v>
      </c>
      <c r="BL532" t="s">
        <v>10411</v>
      </c>
      <c r="BM532" t="s">
        <v>10412</v>
      </c>
      <c r="BN532">
        <v>26761036</v>
      </c>
      <c r="BO532" t="s">
        <v>10413</v>
      </c>
      <c r="BP532" t="s">
        <v>74</v>
      </c>
      <c r="BQ532" t="s">
        <v>74</v>
      </c>
      <c r="BR532" t="s">
        <v>106</v>
      </c>
      <c r="BS532" t="s">
        <v>10414</v>
      </c>
      <c r="BT532" t="str">
        <f>HYPERLINK("https%3A%2F%2Fwww.webofscience.com%2Fwos%2Fwoscc%2Ffull-record%2FWOS:000375103300002","View Full Record in Web of Science")</f>
        <v>View Full Record in Web of Science</v>
      </c>
    </row>
    <row r="533" spans="1:72" x14ac:dyDescent="0.15">
      <c r="A533" t="s">
        <v>72</v>
      </c>
      <c r="B533" t="s">
        <v>10415</v>
      </c>
      <c r="C533" t="s">
        <v>74</v>
      </c>
      <c r="D533" t="s">
        <v>74</v>
      </c>
      <c r="E533" t="s">
        <v>74</v>
      </c>
      <c r="F533" t="s">
        <v>10416</v>
      </c>
      <c r="G533" t="s">
        <v>74</v>
      </c>
      <c r="H533" t="s">
        <v>74</v>
      </c>
      <c r="I533" t="s">
        <v>10417</v>
      </c>
      <c r="J533" t="s">
        <v>823</v>
      </c>
      <c r="K533" t="s">
        <v>74</v>
      </c>
      <c r="L533" t="s">
        <v>74</v>
      </c>
      <c r="M533" t="s">
        <v>78</v>
      </c>
      <c r="N533" t="s">
        <v>79</v>
      </c>
      <c r="O533" t="s">
        <v>74</v>
      </c>
      <c r="P533" t="s">
        <v>74</v>
      </c>
      <c r="Q533" t="s">
        <v>74</v>
      </c>
      <c r="R533" t="s">
        <v>74</v>
      </c>
      <c r="S533" t="s">
        <v>74</v>
      </c>
      <c r="T533" t="s">
        <v>10418</v>
      </c>
      <c r="U533" t="s">
        <v>10419</v>
      </c>
      <c r="V533" t="s">
        <v>10420</v>
      </c>
      <c r="W533" t="s">
        <v>10421</v>
      </c>
      <c r="X533" t="s">
        <v>10422</v>
      </c>
      <c r="Y533" t="s">
        <v>10423</v>
      </c>
      <c r="Z533" t="s">
        <v>10424</v>
      </c>
      <c r="AA533" t="s">
        <v>74</v>
      </c>
      <c r="AB533" t="s">
        <v>10425</v>
      </c>
      <c r="AC533" t="s">
        <v>10426</v>
      </c>
      <c r="AD533" t="s">
        <v>10427</v>
      </c>
      <c r="AE533" t="s">
        <v>10428</v>
      </c>
      <c r="AF533" t="s">
        <v>74</v>
      </c>
      <c r="AG533">
        <v>58</v>
      </c>
      <c r="AH533">
        <v>12</v>
      </c>
      <c r="AI533">
        <v>13</v>
      </c>
      <c r="AJ533">
        <v>2</v>
      </c>
      <c r="AK533">
        <v>25</v>
      </c>
      <c r="AL533" t="s">
        <v>92</v>
      </c>
      <c r="AM533" t="s">
        <v>93</v>
      </c>
      <c r="AN533" t="s">
        <v>94</v>
      </c>
      <c r="AO533" t="s">
        <v>835</v>
      </c>
      <c r="AP533" t="s">
        <v>836</v>
      </c>
      <c r="AQ533" t="s">
        <v>74</v>
      </c>
      <c r="AR533" t="s">
        <v>823</v>
      </c>
      <c r="AS533" t="s">
        <v>837</v>
      </c>
      <c r="AT533" t="s">
        <v>10046</v>
      </c>
      <c r="AU533">
        <v>2016</v>
      </c>
      <c r="AV533">
        <v>31</v>
      </c>
      <c r="AW533">
        <v>3</v>
      </c>
      <c r="AX533" t="s">
        <v>74</v>
      </c>
      <c r="AY533" t="s">
        <v>74</v>
      </c>
      <c r="AZ533" t="s">
        <v>74</v>
      </c>
      <c r="BA533" t="s">
        <v>74</v>
      </c>
      <c r="BB533">
        <v>416</v>
      </c>
      <c r="BC533">
        <v>433</v>
      </c>
      <c r="BD533" t="s">
        <v>74</v>
      </c>
      <c r="BE533" t="s">
        <v>10429</v>
      </c>
      <c r="BF533" t="str">
        <f>HYPERLINK("http://dx.doi.org/10.1002/2015PA002851","http://dx.doi.org/10.1002/2015PA002851")</f>
        <v>http://dx.doi.org/10.1002/2015PA002851</v>
      </c>
      <c r="BG533" t="s">
        <v>74</v>
      </c>
      <c r="BH533" t="s">
        <v>74</v>
      </c>
      <c r="BI533">
        <v>18</v>
      </c>
      <c r="BJ533" t="s">
        <v>839</v>
      </c>
      <c r="BK533" t="s">
        <v>102</v>
      </c>
      <c r="BL533" t="s">
        <v>840</v>
      </c>
      <c r="BM533" t="s">
        <v>10430</v>
      </c>
      <c r="BN533" t="s">
        <v>74</v>
      </c>
      <c r="BO533" t="s">
        <v>420</v>
      </c>
      <c r="BP533" t="s">
        <v>74</v>
      </c>
      <c r="BQ533" t="s">
        <v>74</v>
      </c>
      <c r="BR533" t="s">
        <v>106</v>
      </c>
      <c r="BS533" t="s">
        <v>10431</v>
      </c>
      <c r="BT533" t="str">
        <f>HYPERLINK("https%3A%2F%2Fwww.webofscience.com%2Fwos%2Fwoscc%2Ffull-record%2FWOS:000374344000005","View Full Record in Web of Science")</f>
        <v>View Full Record in Web of Science</v>
      </c>
    </row>
    <row r="534" spans="1:72" x14ac:dyDescent="0.15">
      <c r="A534" t="s">
        <v>72</v>
      </c>
      <c r="B534" t="s">
        <v>10432</v>
      </c>
      <c r="C534" t="s">
        <v>74</v>
      </c>
      <c r="D534" t="s">
        <v>74</v>
      </c>
      <c r="E534" t="s">
        <v>74</v>
      </c>
      <c r="F534" t="s">
        <v>10433</v>
      </c>
      <c r="G534" t="s">
        <v>74</v>
      </c>
      <c r="H534" t="s">
        <v>74</v>
      </c>
      <c r="I534" t="s">
        <v>10434</v>
      </c>
      <c r="J534" t="s">
        <v>10435</v>
      </c>
      <c r="K534" t="s">
        <v>74</v>
      </c>
      <c r="L534" t="s">
        <v>74</v>
      </c>
      <c r="M534" t="s">
        <v>78</v>
      </c>
      <c r="N534" t="s">
        <v>79</v>
      </c>
      <c r="O534" t="s">
        <v>74</v>
      </c>
      <c r="P534" t="s">
        <v>74</v>
      </c>
      <c r="Q534" t="s">
        <v>74</v>
      </c>
      <c r="R534" t="s">
        <v>74</v>
      </c>
      <c r="S534" t="s">
        <v>74</v>
      </c>
      <c r="T534" t="s">
        <v>10436</v>
      </c>
      <c r="U534" t="s">
        <v>10437</v>
      </c>
      <c r="V534" t="s">
        <v>10438</v>
      </c>
      <c r="W534" t="s">
        <v>10439</v>
      </c>
      <c r="X534" t="s">
        <v>10440</v>
      </c>
      <c r="Y534" t="s">
        <v>10441</v>
      </c>
      <c r="Z534" t="s">
        <v>10442</v>
      </c>
      <c r="AA534" t="s">
        <v>74</v>
      </c>
      <c r="AB534" t="s">
        <v>74</v>
      </c>
      <c r="AC534" t="s">
        <v>10443</v>
      </c>
      <c r="AD534" t="s">
        <v>10444</v>
      </c>
      <c r="AE534" t="s">
        <v>10445</v>
      </c>
      <c r="AF534" t="s">
        <v>74</v>
      </c>
      <c r="AG534">
        <v>35</v>
      </c>
      <c r="AH534">
        <v>5</v>
      </c>
      <c r="AI534">
        <v>5</v>
      </c>
      <c r="AJ534">
        <v>1</v>
      </c>
      <c r="AK534">
        <v>47</v>
      </c>
      <c r="AL534" t="s">
        <v>2034</v>
      </c>
      <c r="AM534" t="s">
        <v>262</v>
      </c>
      <c r="AN534" t="s">
        <v>2035</v>
      </c>
      <c r="AO534" t="s">
        <v>10446</v>
      </c>
      <c r="AP534" t="s">
        <v>10447</v>
      </c>
      <c r="AQ534" t="s">
        <v>74</v>
      </c>
      <c r="AR534" t="s">
        <v>10448</v>
      </c>
      <c r="AS534" t="s">
        <v>10449</v>
      </c>
      <c r="AT534" t="s">
        <v>10046</v>
      </c>
      <c r="AU534">
        <v>2016</v>
      </c>
      <c r="AV534">
        <v>27</v>
      </c>
      <c r="AW534">
        <v>3</v>
      </c>
      <c r="AX534" t="s">
        <v>74</v>
      </c>
      <c r="AY534" t="s">
        <v>74</v>
      </c>
      <c r="AZ534" t="s">
        <v>74</v>
      </c>
      <c r="BA534" t="s">
        <v>74</v>
      </c>
      <c r="BB534">
        <v>405</v>
      </c>
      <c r="BC534">
        <v>411</v>
      </c>
      <c r="BD534" t="s">
        <v>74</v>
      </c>
      <c r="BE534" t="s">
        <v>10450</v>
      </c>
      <c r="BF534" t="str">
        <f>HYPERLINK("http://dx.doi.org/10.1016/j.cclet.2015.12.001","http://dx.doi.org/10.1016/j.cclet.2015.12.001")</f>
        <v>http://dx.doi.org/10.1016/j.cclet.2015.12.001</v>
      </c>
      <c r="BG534" t="s">
        <v>74</v>
      </c>
      <c r="BH534" t="s">
        <v>74</v>
      </c>
      <c r="BI534">
        <v>7</v>
      </c>
      <c r="BJ534" t="s">
        <v>9761</v>
      </c>
      <c r="BK534" t="s">
        <v>102</v>
      </c>
      <c r="BL534" t="s">
        <v>1259</v>
      </c>
      <c r="BM534" t="s">
        <v>10451</v>
      </c>
      <c r="BN534" t="s">
        <v>74</v>
      </c>
      <c r="BO534" t="s">
        <v>74</v>
      </c>
      <c r="BP534" t="s">
        <v>74</v>
      </c>
      <c r="BQ534" t="s">
        <v>74</v>
      </c>
      <c r="BR534" t="s">
        <v>106</v>
      </c>
      <c r="BS534" t="s">
        <v>10452</v>
      </c>
      <c r="BT534" t="str">
        <f>HYPERLINK("https%3A%2F%2Fwww.webofscience.com%2Fwos%2Fwoscc%2Ffull-record%2FWOS:000374799400022","View Full Record in Web of Science")</f>
        <v>View Full Record in Web of Science</v>
      </c>
    </row>
    <row r="535" spans="1:72" x14ac:dyDescent="0.15">
      <c r="A535" t="s">
        <v>72</v>
      </c>
      <c r="B535" t="s">
        <v>10453</v>
      </c>
      <c r="C535" t="s">
        <v>74</v>
      </c>
      <c r="D535" t="s">
        <v>74</v>
      </c>
      <c r="E535" t="s">
        <v>74</v>
      </c>
      <c r="F535" t="s">
        <v>10454</v>
      </c>
      <c r="G535" t="s">
        <v>74</v>
      </c>
      <c r="H535" t="s">
        <v>74</v>
      </c>
      <c r="I535" t="s">
        <v>10455</v>
      </c>
      <c r="J535" t="s">
        <v>10456</v>
      </c>
      <c r="K535" t="s">
        <v>74</v>
      </c>
      <c r="L535" t="s">
        <v>74</v>
      </c>
      <c r="M535" t="s">
        <v>78</v>
      </c>
      <c r="N535" t="s">
        <v>79</v>
      </c>
      <c r="O535" t="s">
        <v>74</v>
      </c>
      <c r="P535" t="s">
        <v>74</v>
      </c>
      <c r="Q535" t="s">
        <v>74</v>
      </c>
      <c r="R535" t="s">
        <v>74</v>
      </c>
      <c r="S535" t="s">
        <v>74</v>
      </c>
      <c r="T535" t="s">
        <v>10457</v>
      </c>
      <c r="U535" t="s">
        <v>10458</v>
      </c>
      <c r="V535" t="s">
        <v>10459</v>
      </c>
      <c r="W535" t="s">
        <v>10460</v>
      </c>
      <c r="X535" t="s">
        <v>74</v>
      </c>
      <c r="Y535" t="s">
        <v>10461</v>
      </c>
      <c r="Z535" t="s">
        <v>10462</v>
      </c>
      <c r="AA535" t="s">
        <v>74</v>
      </c>
      <c r="AB535" t="s">
        <v>74</v>
      </c>
      <c r="AC535" t="s">
        <v>10463</v>
      </c>
      <c r="AD535" t="s">
        <v>10464</v>
      </c>
      <c r="AE535" t="s">
        <v>10465</v>
      </c>
      <c r="AF535" t="s">
        <v>74</v>
      </c>
      <c r="AG535">
        <v>63</v>
      </c>
      <c r="AH535">
        <v>0</v>
      </c>
      <c r="AI535">
        <v>0</v>
      </c>
      <c r="AJ535">
        <v>0</v>
      </c>
      <c r="AK535">
        <v>19</v>
      </c>
      <c r="AL535" t="s">
        <v>194</v>
      </c>
      <c r="AM535" t="s">
        <v>195</v>
      </c>
      <c r="AN535" t="s">
        <v>196</v>
      </c>
      <c r="AO535" t="s">
        <v>10466</v>
      </c>
      <c r="AP535" t="s">
        <v>10467</v>
      </c>
      <c r="AQ535" t="s">
        <v>74</v>
      </c>
      <c r="AR535" t="s">
        <v>10468</v>
      </c>
      <c r="AS535" t="s">
        <v>10469</v>
      </c>
      <c r="AT535" t="s">
        <v>10046</v>
      </c>
      <c r="AU535">
        <v>2016</v>
      </c>
      <c r="AV535">
        <v>37</v>
      </c>
      <c r="AW535">
        <v>1</v>
      </c>
      <c r="AX535" t="s">
        <v>74</v>
      </c>
      <c r="AY535" t="s">
        <v>74</v>
      </c>
      <c r="AZ535" t="s">
        <v>74</v>
      </c>
      <c r="BA535" t="s">
        <v>74</v>
      </c>
      <c r="BB535">
        <v>37</v>
      </c>
      <c r="BC535">
        <v>48</v>
      </c>
      <c r="BD535" t="s">
        <v>74</v>
      </c>
      <c r="BE535" t="s">
        <v>10470</v>
      </c>
      <c r="BF535" t="str">
        <f>HYPERLINK("http://dx.doi.org/10.1007/s11001-015-9262-z","http://dx.doi.org/10.1007/s11001-015-9262-z")</f>
        <v>http://dx.doi.org/10.1007/s11001-015-9262-z</v>
      </c>
      <c r="BG535" t="s">
        <v>74</v>
      </c>
      <c r="BH535" t="s">
        <v>74</v>
      </c>
      <c r="BI535">
        <v>12</v>
      </c>
      <c r="BJ535" t="s">
        <v>10471</v>
      </c>
      <c r="BK535" t="s">
        <v>102</v>
      </c>
      <c r="BL535" t="s">
        <v>10471</v>
      </c>
      <c r="BM535" t="s">
        <v>10472</v>
      </c>
      <c r="BN535" t="s">
        <v>74</v>
      </c>
      <c r="BO535" t="s">
        <v>74</v>
      </c>
      <c r="BP535" t="s">
        <v>74</v>
      </c>
      <c r="BQ535" t="s">
        <v>74</v>
      </c>
      <c r="BR535" t="s">
        <v>106</v>
      </c>
      <c r="BS535" t="s">
        <v>10473</v>
      </c>
      <c r="BT535" t="str">
        <f>HYPERLINK("https%3A%2F%2Fwww.webofscience.com%2Fwos%2Fwoscc%2Ffull-record%2FWOS:000374247900003","View Full Record in Web of Science")</f>
        <v>View Full Record in Web of Science</v>
      </c>
    </row>
    <row r="536" spans="1:72" x14ac:dyDescent="0.15">
      <c r="A536" t="s">
        <v>72</v>
      </c>
      <c r="B536" t="s">
        <v>10474</v>
      </c>
      <c r="C536" t="s">
        <v>74</v>
      </c>
      <c r="D536" t="s">
        <v>74</v>
      </c>
      <c r="E536" t="s">
        <v>74</v>
      </c>
      <c r="F536" t="s">
        <v>10475</v>
      </c>
      <c r="G536" t="s">
        <v>74</v>
      </c>
      <c r="H536" t="s">
        <v>74</v>
      </c>
      <c r="I536" t="s">
        <v>10476</v>
      </c>
      <c r="J536" t="s">
        <v>10477</v>
      </c>
      <c r="K536" t="s">
        <v>74</v>
      </c>
      <c r="L536" t="s">
        <v>74</v>
      </c>
      <c r="M536" t="s">
        <v>78</v>
      </c>
      <c r="N536" t="s">
        <v>79</v>
      </c>
      <c r="O536" t="s">
        <v>74</v>
      </c>
      <c r="P536" t="s">
        <v>74</v>
      </c>
      <c r="Q536" t="s">
        <v>74</v>
      </c>
      <c r="R536" t="s">
        <v>74</v>
      </c>
      <c r="S536" t="s">
        <v>74</v>
      </c>
      <c r="T536" t="s">
        <v>10478</v>
      </c>
      <c r="U536" t="s">
        <v>10479</v>
      </c>
      <c r="V536" t="s">
        <v>10480</v>
      </c>
      <c r="W536" t="s">
        <v>10481</v>
      </c>
      <c r="X536" t="s">
        <v>8457</v>
      </c>
      <c r="Y536" t="s">
        <v>10482</v>
      </c>
      <c r="Z536" t="s">
        <v>10483</v>
      </c>
      <c r="AA536" t="s">
        <v>10484</v>
      </c>
      <c r="AB536" t="s">
        <v>10485</v>
      </c>
      <c r="AC536" t="s">
        <v>10486</v>
      </c>
      <c r="AD536" t="s">
        <v>10487</v>
      </c>
      <c r="AE536" t="s">
        <v>10488</v>
      </c>
      <c r="AF536" t="s">
        <v>74</v>
      </c>
      <c r="AG536">
        <v>18</v>
      </c>
      <c r="AH536">
        <v>4</v>
      </c>
      <c r="AI536">
        <v>8</v>
      </c>
      <c r="AJ536">
        <v>1</v>
      </c>
      <c r="AK536">
        <v>18</v>
      </c>
      <c r="AL536" t="s">
        <v>194</v>
      </c>
      <c r="AM536" t="s">
        <v>262</v>
      </c>
      <c r="AN536" t="s">
        <v>263</v>
      </c>
      <c r="AO536" t="s">
        <v>10489</v>
      </c>
      <c r="AP536" t="s">
        <v>10490</v>
      </c>
      <c r="AQ536" t="s">
        <v>74</v>
      </c>
      <c r="AR536" t="s">
        <v>10491</v>
      </c>
      <c r="AS536" t="s">
        <v>10492</v>
      </c>
      <c r="AT536" t="s">
        <v>10046</v>
      </c>
      <c r="AU536">
        <v>2016</v>
      </c>
      <c r="AV536">
        <v>13</v>
      </c>
      <c r="AW536">
        <v>1</v>
      </c>
      <c r="AX536" t="s">
        <v>74</v>
      </c>
      <c r="AY536" t="s">
        <v>74</v>
      </c>
      <c r="AZ536" t="s">
        <v>74</v>
      </c>
      <c r="BA536" t="s">
        <v>74</v>
      </c>
      <c r="BB536">
        <v>203</v>
      </c>
      <c r="BC536">
        <v>208</v>
      </c>
      <c r="BD536" t="s">
        <v>74</v>
      </c>
      <c r="BE536" t="s">
        <v>10493</v>
      </c>
      <c r="BF536" t="str">
        <f>HYPERLINK("http://dx.doi.org/10.1007/s11770-016-0540-6","http://dx.doi.org/10.1007/s11770-016-0540-6")</f>
        <v>http://dx.doi.org/10.1007/s11770-016-0540-6</v>
      </c>
      <c r="BG536" t="s">
        <v>74</v>
      </c>
      <c r="BH536" t="s">
        <v>74</v>
      </c>
      <c r="BI536">
        <v>6</v>
      </c>
      <c r="BJ536" t="s">
        <v>727</v>
      </c>
      <c r="BK536" t="s">
        <v>102</v>
      </c>
      <c r="BL536" t="s">
        <v>727</v>
      </c>
      <c r="BM536" t="s">
        <v>10494</v>
      </c>
      <c r="BN536" t="s">
        <v>74</v>
      </c>
      <c r="BO536" t="s">
        <v>74</v>
      </c>
      <c r="BP536" t="s">
        <v>74</v>
      </c>
      <c r="BQ536" t="s">
        <v>74</v>
      </c>
      <c r="BR536" t="s">
        <v>106</v>
      </c>
      <c r="BS536" t="s">
        <v>10495</v>
      </c>
      <c r="BT536" t="str">
        <f>HYPERLINK("https%3A%2F%2Fwww.webofscience.com%2Fwos%2Fwoscc%2Ffull-record%2FWOS:000374099000019","View Full Record in Web of Science")</f>
        <v>View Full Record in Web of Science</v>
      </c>
    </row>
    <row r="537" spans="1:72" x14ac:dyDescent="0.15">
      <c r="A537" t="s">
        <v>72</v>
      </c>
      <c r="B537" t="s">
        <v>10496</v>
      </c>
      <c r="C537" t="s">
        <v>74</v>
      </c>
      <c r="D537" t="s">
        <v>74</v>
      </c>
      <c r="E537" t="s">
        <v>74</v>
      </c>
      <c r="F537" t="s">
        <v>10497</v>
      </c>
      <c r="G537" t="s">
        <v>74</v>
      </c>
      <c r="H537" t="s">
        <v>74</v>
      </c>
      <c r="I537" t="s">
        <v>10498</v>
      </c>
      <c r="J537" t="s">
        <v>10477</v>
      </c>
      <c r="K537" t="s">
        <v>74</v>
      </c>
      <c r="L537" t="s">
        <v>74</v>
      </c>
      <c r="M537" t="s">
        <v>78</v>
      </c>
      <c r="N537" t="s">
        <v>79</v>
      </c>
      <c r="O537" t="s">
        <v>74</v>
      </c>
      <c r="P537" t="s">
        <v>74</v>
      </c>
      <c r="Q537" t="s">
        <v>74</v>
      </c>
      <c r="R537" t="s">
        <v>74</v>
      </c>
      <c r="S537" t="s">
        <v>74</v>
      </c>
      <c r="T537" t="s">
        <v>10499</v>
      </c>
      <c r="U537" t="s">
        <v>10500</v>
      </c>
      <c r="V537" t="s">
        <v>10501</v>
      </c>
      <c r="W537" t="s">
        <v>10502</v>
      </c>
      <c r="X537" t="s">
        <v>8457</v>
      </c>
      <c r="Y537" t="s">
        <v>10503</v>
      </c>
      <c r="Z537" t="s">
        <v>10504</v>
      </c>
      <c r="AA537" t="s">
        <v>10505</v>
      </c>
      <c r="AB537" t="s">
        <v>10506</v>
      </c>
      <c r="AC537" t="s">
        <v>10507</v>
      </c>
      <c r="AD537" t="s">
        <v>10508</v>
      </c>
      <c r="AE537" t="s">
        <v>10509</v>
      </c>
      <c r="AF537" t="s">
        <v>74</v>
      </c>
      <c r="AG537">
        <v>18</v>
      </c>
      <c r="AH537">
        <v>2</v>
      </c>
      <c r="AI537">
        <v>4</v>
      </c>
      <c r="AJ537">
        <v>1</v>
      </c>
      <c r="AK537">
        <v>16</v>
      </c>
      <c r="AL537" t="s">
        <v>194</v>
      </c>
      <c r="AM537" t="s">
        <v>262</v>
      </c>
      <c r="AN537" t="s">
        <v>263</v>
      </c>
      <c r="AO537" t="s">
        <v>10489</v>
      </c>
      <c r="AP537" t="s">
        <v>10490</v>
      </c>
      <c r="AQ537" t="s">
        <v>74</v>
      </c>
      <c r="AR537" t="s">
        <v>10491</v>
      </c>
      <c r="AS537" t="s">
        <v>10492</v>
      </c>
      <c r="AT537" t="s">
        <v>10046</v>
      </c>
      <c r="AU537">
        <v>2016</v>
      </c>
      <c r="AV537">
        <v>13</v>
      </c>
      <c r="AW537">
        <v>1</v>
      </c>
      <c r="AX537" t="s">
        <v>74</v>
      </c>
      <c r="AY537" t="s">
        <v>74</v>
      </c>
      <c r="AZ537" t="s">
        <v>74</v>
      </c>
      <c r="BA537" t="s">
        <v>74</v>
      </c>
      <c r="BB537">
        <v>209</v>
      </c>
      <c r="BC537">
        <v>216</v>
      </c>
      <c r="BD537" t="s">
        <v>74</v>
      </c>
      <c r="BE537" t="s">
        <v>10510</v>
      </c>
      <c r="BF537" t="str">
        <f>HYPERLINK("http://dx.doi.org/10.1007/s11770-016-0539-z","http://dx.doi.org/10.1007/s11770-016-0539-z")</f>
        <v>http://dx.doi.org/10.1007/s11770-016-0539-z</v>
      </c>
      <c r="BG537" t="s">
        <v>74</v>
      </c>
      <c r="BH537" t="s">
        <v>74</v>
      </c>
      <c r="BI537">
        <v>8</v>
      </c>
      <c r="BJ537" t="s">
        <v>727</v>
      </c>
      <c r="BK537" t="s">
        <v>102</v>
      </c>
      <c r="BL537" t="s">
        <v>727</v>
      </c>
      <c r="BM537" t="s">
        <v>10494</v>
      </c>
      <c r="BN537" t="s">
        <v>74</v>
      </c>
      <c r="BO537" t="s">
        <v>74</v>
      </c>
      <c r="BP537" t="s">
        <v>74</v>
      </c>
      <c r="BQ537" t="s">
        <v>74</v>
      </c>
      <c r="BR537" t="s">
        <v>106</v>
      </c>
      <c r="BS537" t="s">
        <v>10511</v>
      </c>
      <c r="BT537" t="str">
        <f>HYPERLINK("https%3A%2F%2Fwww.webofscience.com%2Fwos%2Fwoscc%2Ffull-record%2FWOS:000374099000020","View Full Record in Web of Science")</f>
        <v>View Full Record in Web of Science</v>
      </c>
    </row>
    <row r="538" spans="1:72" x14ac:dyDescent="0.15">
      <c r="A538" t="s">
        <v>72</v>
      </c>
      <c r="B538" t="s">
        <v>10512</v>
      </c>
      <c r="C538" t="s">
        <v>74</v>
      </c>
      <c r="D538" t="s">
        <v>74</v>
      </c>
      <c r="E538" t="s">
        <v>74</v>
      </c>
      <c r="F538" t="s">
        <v>10513</v>
      </c>
      <c r="G538" t="s">
        <v>74</v>
      </c>
      <c r="H538" t="s">
        <v>74</v>
      </c>
      <c r="I538" t="s">
        <v>10514</v>
      </c>
      <c r="J538" t="s">
        <v>3351</v>
      </c>
      <c r="K538" t="s">
        <v>74</v>
      </c>
      <c r="L538" t="s">
        <v>74</v>
      </c>
      <c r="M538" t="s">
        <v>78</v>
      </c>
      <c r="N538" t="s">
        <v>79</v>
      </c>
      <c r="O538" t="s">
        <v>74</v>
      </c>
      <c r="P538" t="s">
        <v>74</v>
      </c>
      <c r="Q538" t="s">
        <v>74</v>
      </c>
      <c r="R538" t="s">
        <v>74</v>
      </c>
      <c r="S538" t="s">
        <v>74</v>
      </c>
      <c r="T538" t="s">
        <v>10515</v>
      </c>
      <c r="U538" t="s">
        <v>10516</v>
      </c>
      <c r="V538" t="s">
        <v>10517</v>
      </c>
      <c r="W538" t="s">
        <v>10518</v>
      </c>
      <c r="X538" t="s">
        <v>10519</v>
      </c>
      <c r="Y538" t="s">
        <v>10520</v>
      </c>
      <c r="Z538" t="s">
        <v>10521</v>
      </c>
      <c r="AA538" t="s">
        <v>10522</v>
      </c>
      <c r="AB538" t="s">
        <v>10523</v>
      </c>
      <c r="AC538" t="s">
        <v>10524</v>
      </c>
      <c r="AD538" t="s">
        <v>10525</v>
      </c>
      <c r="AE538" t="s">
        <v>10526</v>
      </c>
      <c r="AF538" t="s">
        <v>74</v>
      </c>
      <c r="AG538">
        <v>96</v>
      </c>
      <c r="AH538">
        <v>33</v>
      </c>
      <c r="AI538">
        <v>41</v>
      </c>
      <c r="AJ538">
        <v>0</v>
      </c>
      <c r="AK538">
        <v>19</v>
      </c>
      <c r="AL538" t="s">
        <v>1657</v>
      </c>
      <c r="AM538" t="s">
        <v>679</v>
      </c>
      <c r="AN538" t="s">
        <v>1658</v>
      </c>
      <c r="AO538" t="s">
        <v>3364</v>
      </c>
      <c r="AP538" t="s">
        <v>3365</v>
      </c>
      <c r="AQ538" t="s">
        <v>74</v>
      </c>
      <c r="AR538" t="s">
        <v>3366</v>
      </c>
      <c r="AS538" t="s">
        <v>3367</v>
      </c>
      <c r="AT538" t="s">
        <v>10046</v>
      </c>
      <c r="AU538">
        <v>2016</v>
      </c>
      <c r="AV538">
        <v>204</v>
      </c>
      <c r="AW538">
        <v>3</v>
      </c>
      <c r="AX538" t="s">
        <v>74</v>
      </c>
      <c r="AY538" t="s">
        <v>74</v>
      </c>
      <c r="AZ538" t="s">
        <v>74</v>
      </c>
      <c r="BA538" t="s">
        <v>74</v>
      </c>
      <c r="BB538">
        <v>1636</v>
      </c>
      <c r="BC538">
        <v>1648</v>
      </c>
      <c r="BD538" t="s">
        <v>74</v>
      </c>
      <c r="BE538" t="s">
        <v>10527</v>
      </c>
      <c r="BF538" t="str">
        <f>HYPERLINK("http://dx.doi.org/10.1093/gji/ggv542","http://dx.doi.org/10.1093/gji/ggv542")</f>
        <v>http://dx.doi.org/10.1093/gji/ggv542</v>
      </c>
      <c r="BG538" t="s">
        <v>74</v>
      </c>
      <c r="BH538" t="s">
        <v>74</v>
      </c>
      <c r="BI538">
        <v>13</v>
      </c>
      <c r="BJ538" t="s">
        <v>727</v>
      </c>
      <c r="BK538" t="s">
        <v>102</v>
      </c>
      <c r="BL538" t="s">
        <v>727</v>
      </c>
      <c r="BM538" t="s">
        <v>10528</v>
      </c>
      <c r="BN538" t="s">
        <v>74</v>
      </c>
      <c r="BO538" t="s">
        <v>420</v>
      </c>
      <c r="BP538" t="s">
        <v>74</v>
      </c>
      <c r="BQ538" t="s">
        <v>74</v>
      </c>
      <c r="BR538" t="s">
        <v>106</v>
      </c>
      <c r="BS538" t="s">
        <v>10529</v>
      </c>
      <c r="BT538" t="str">
        <f>HYPERLINK("https%3A%2F%2Fwww.webofscience.com%2Fwos%2Fwoscc%2Ffull-record%2FWOS:000373719100016","View Full Record in Web of Science")</f>
        <v>View Full Record in Web of Science</v>
      </c>
    </row>
    <row r="539" spans="1:72" x14ac:dyDescent="0.15">
      <c r="A539" t="s">
        <v>72</v>
      </c>
      <c r="B539" t="s">
        <v>10530</v>
      </c>
      <c r="C539" t="s">
        <v>74</v>
      </c>
      <c r="D539" t="s">
        <v>74</v>
      </c>
      <c r="E539" t="s">
        <v>74</v>
      </c>
      <c r="F539" t="s">
        <v>10531</v>
      </c>
      <c r="G539" t="s">
        <v>74</v>
      </c>
      <c r="H539" t="s">
        <v>74</v>
      </c>
      <c r="I539" t="s">
        <v>10532</v>
      </c>
      <c r="J539" t="s">
        <v>2564</v>
      </c>
      <c r="K539" t="s">
        <v>74</v>
      </c>
      <c r="L539" t="s">
        <v>74</v>
      </c>
      <c r="M539" t="s">
        <v>78</v>
      </c>
      <c r="N539" t="s">
        <v>79</v>
      </c>
      <c r="O539" t="s">
        <v>74</v>
      </c>
      <c r="P539" t="s">
        <v>74</v>
      </c>
      <c r="Q539" t="s">
        <v>74</v>
      </c>
      <c r="R539" t="s">
        <v>74</v>
      </c>
      <c r="S539" t="s">
        <v>74</v>
      </c>
      <c r="T539" t="s">
        <v>10533</v>
      </c>
      <c r="U539" t="s">
        <v>10534</v>
      </c>
      <c r="V539" t="s">
        <v>10535</v>
      </c>
      <c r="W539" t="s">
        <v>10536</v>
      </c>
      <c r="X539" t="s">
        <v>10537</v>
      </c>
      <c r="Y539" t="s">
        <v>10538</v>
      </c>
      <c r="Z539" t="s">
        <v>10539</v>
      </c>
      <c r="AA539" t="s">
        <v>10540</v>
      </c>
      <c r="AB539" t="s">
        <v>74</v>
      </c>
      <c r="AC539" t="s">
        <v>10541</v>
      </c>
      <c r="AD539" t="s">
        <v>10542</v>
      </c>
      <c r="AE539" t="s">
        <v>10543</v>
      </c>
      <c r="AF539" t="s">
        <v>74</v>
      </c>
      <c r="AG539">
        <v>39</v>
      </c>
      <c r="AH539">
        <v>43</v>
      </c>
      <c r="AI539">
        <v>49</v>
      </c>
      <c r="AJ539">
        <v>1</v>
      </c>
      <c r="AK539">
        <v>31</v>
      </c>
      <c r="AL539" t="s">
        <v>2577</v>
      </c>
      <c r="AM539" t="s">
        <v>2578</v>
      </c>
      <c r="AN539" t="s">
        <v>2579</v>
      </c>
      <c r="AO539" t="s">
        <v>74</v>
      </c>
      <c r="AP539" t="s">
        <v>2580</v>
      </c>
      <c r="AQ539" t="s">
        <v>74</v>
      </c>
      <c r="AR539" t="s">
        <v>2581</v>
      </c>
      <c r="AS539" t="s">
        <v>2582</v>
      </c>
      <c r="AT539" t="s">
        <v>10046</v>
      </c>
      <c r="AU539">
        <v>2016</v>
      </c>
      <c r="AV539">
        <v>8</v>
      </c>
      <c r="AW539">
        <v>3</v>
      </c>
      <c r="AX539" t="s">
        <v>74</v>
      </c>
      <c r="AY539" t="s">
        <v>74</v>
      </c>
      <c r="AZ539" t="s">
        <v>74</v>
      </c>
      <c r="BA539" t="s">
        <v>74</v>
      </c>
      <c r="BB539" t="s">
        <v>74</v>
      </c>
      <c r="BC539" t="s">
        <v>74</v>
      </c>
      <c r="BD539">
        <v>167</v>
      </c>
      <c r="BE539" t="s">
        <v>10544</v>
      </c>
      <c r="BF539" t="str">
        <f>HYPERLINK("http://dx.doi.org/10.3390/rs8030167","http://dx.doi.org/10.3390/rs8030167")</f>
        <v>http://dx.doi.org/10.3390/rs8030167</v>
      </c>
      <c r="BG539" t="s">
        <v>74</v>
      </c>
      <c r="BH539" t="s">
        <v>74</v>
      </c>
      <c r="BI539">
        <v>19</v>
      </c>
      <c r="BJ539" t="s">
        <v>2584</v>
      </c>
      <c r="BK539" t="s">
        <v>102</v>
      </c>
      <c r="BL539" t="s">
        <v>2585</v>
      </c>
      <c r="BM539" t="s">
        <v>10545</v>
      </c>
      <c r="BN539" t="s">
        <v>74</v>
      </c>
      <c r="BO539" t="s">
        <v>2623</v>
      </c>
      <c r="BP539" t="s">
        <v>74</v>
      </c>
      <c r="BQ539" t="s">
        <v>74</v>
      </c>
      <c r="BR539" t="s">
        <v>106</v>
      </c>
      <c r="BS539" t="s">
        <v>10546</v>
      </c>
      <c r="BT539" t="str">
        <f>HYPERLINK("https%3A%2F%2Fwww.webofscience.com%2Fwos%2Fwoscc%2Ffull-record%2FWOS:000373627400022","View Full Record in Web of Science")</f>
        <v>View Full Record in Web of Science</v>
      </c>
    </row>
    <row r="540" spans="1:72" x14ac:dyDescent="0.15">
      <c r="A540" t="s">
        <v>72</v>
      </c>
      <c r="B540" t="s">
        <v>10547</v>
      </c>
      <c r="C540" t="s">
        <v>74</v>
      </c>
      <c r="D540" t="s">
        <v>74</v>
      </c>
      <c r="E540" t="s">
        <v>74</v>
      </c>
      <c r="F540" t="s">
        <v>10548</v>
      </c>
      <c r="G540" t="s">
        <v>74</v>
      </c>
      <c r="H540" t="s">
        <v>74</v>
      </c>
      <c r="I540" t="s">
        <v>10549</v>
      </c>
      <c r="J540" t="s">
        <v>10550</v>
      </c>
      <c r="K540" t="s">
        <v>74</v>
      </c>
      <c r="L540" t="s">
        <v>74</v>
      </c>
      <c r="M540" t="s">
        <v>78</v>
      </c>
      <c r="N540" t="s">
        <v>79</v>
      </c>
      <c r="O540" t="s">
        <v>74</v>
      </c>
      <c r="P540" t="s">
        <v>74</v>
      </c>
      <c r="Q540" t="s">
        <v>74</v>
      </c>
      <c r="R540" t="s">
        <v>74</v>
      </c>
      <c r="S540" t="s">
        <v>74</v>
      </c>
      <c r="T540" t="s">
        <v>10551</v>
      </c>
      <c r="U540" t="s">
        <v>10552</v>
      </c>
      <c r="V540" t="s">
        <v>10553</v>
      </c>
      <c r="W540" t="s">
        <v>10554</v>
      </c>
      <c r="X540" t="s">
        <v>10555</v>
      </c>
      <c r="Y540" t="s">
        <v>10556</v>
      </c>
      <c r="Z540" t="s">
        <v>10557</v>
      </c>
      <c r="AA540" t="s">
        <v>10558</v>
      </c>
      <c r="AB540" t="s">
        <v>10559</v>
      </c>
      <c r="AC540" t="s">
        <v>10560</v>
      </c>
      <c r="AD540" t="s">
        <v>10561</v>
      </c>
      <c r="AE540" t="s">
        <v>10562</v>
      </c>
      <c r="AF540" t="s">
        <v>74</v>
      </c>
      <c r="AG540">
        <v>18</v>
      </c>
      <c r="AH540">
        <v>2</v>
      </c>
      <c r="AI540">
        <v>2</v>
      </c>
      <c r="AJ540">
        <v>0</v>
      </c>
      <c r="AK540">
        <v>13</v>
      </c>
      <c r="AL540" t="s">
        <v>2604</v>
      </c>
      <c r="AM540" t="s">
        <v>2578</v>
      </c>
      <c r="AN540" t="s">
        <v>10563</v>
      </c>
      <c r="AO540" t="s">
        <v>10564</v>
      </c>
      <c r="AP540" t="s">
        <v>74</v>
      </c>
      <c r="AQ540" t="s">
        <v>74</v>
      </c>
      <c r="AR540" t="s">
        <v>10565</v>
      </c>
      <c r="AS540" t="s">
        <v>10566</v>
      </c>
      <c r="AT540" t="s">
        <v>10046</v>
      </c>
      <c r="AU540">
        <v>2016</v>
      </c>
      <c r="AV540">
        <v>5</v>
      </c>
      <c r="AW540">
        <v>3</v>
      </c>
      <c r="AX540" t="s">
        <v>74</v>
      </c>
      <c r="AY540" t="s">
        <v>74</v>
      </c>
      <c r="AZ540" t="s">
        <v>74</v>
      </c>
      <c r="BA540" t="s">
        <v>74</v>
      </c>
      <c r="BB540" t="s">
        <v>74</v>
      </c>
      <c r="BC540" t="s">
        <v>74</v>
      </c>
      <c r="BD540">
        <v>32</v>
      </c>
      <c r="BE540" t="s">
        <v>10567</v>
      </c>
      <c r="BF540" t="str">
        <f>HYPERLINK("http://dx.doi.org/10.3390/ijgi5030032","http://dx.doi.org/10.3390/ijgi5030032")</f>
        <v>http://dx.doi.org/10.3390/ijgi5030032</v>
      </c>
      <c r="BG540" t="s">
        <v>74</v>
      </c>
      <c r="BH540" t="s">
        <v>74</v>
      </c>
      <c r="BI540">
        <v>15</v>
      </c>
      <c r="BJ540" t="s">
        <v>10568</v>
      </c>
      <c r="BK540" t="s">
        <v>102</v>
      </c>
      <c r="BL540" t="s">
        <v>10569</v>
      </c>
      <c r="BM540" t="s">
        <v>10570</v>
      </c>
      <c r="BN540" t="s">
        <v>74</v>
      </c>
      <c r="BO540" t="s">
        <v>1684</v>
      </c>
      <c r="BP540" t="s">
        <v>74</v>
      </c>
      <c r="BQ540" t="s">
        <v>74</v>
      </c>
      <c r="BR540" t="s">
        <v>106</v>
      </c>
      <c r="BS540" t="s">
        <v>10571</v>
      </c>
      <c r="BT540" t="str">
        <f>HYPERLINK("https%3A%2F%2Fwww.webofscience.com%2Fwos%2Fwoscc%2Ffull-record%2FWOS:000373367400011","View Full Record in Web of Science")</f>
        <v>View Full Record in Web of Science</v>
      </c>
    </row>
    <row r="541" spans="1:72" x14ac:dyDescent="0.15">
      <c r="A541" t="s">
        <v>72</v>
      </c>
      <c r="B541" t="s">
        <v>10572</v>
      </c>
      <c r="C541" t="s">
        <v>74</v>
      </c>
      <c r="D541" t="s">
        <v>74</v>
      </c>
      <c r="E541" t="s">
        <v>74</v>
      </c>
      <c r="F541" t="s">
        <v>10573</v>
      </c>
      <c r="G541" t="s">
        <v>74</v>
      </c>
      <c r="H541" t="s">
        <v>74</v>
      </c>
      <c r="I541" t="s">
        <v>10574</v>
      </c>
      <c r="J541" t="s">
        <v>2979</v>
      </c>
      <c r="K541" t="s">
        <v>74</v>
      </c>
      <c r="L541" t="s">
        <v>74</v>
      </c>
      <c r="M541" t="s">
        <v>78</v>
      </c>
      <c r="N541" t="s">
        <v>79</v>
      </c>
      <c r="O541" t="s">
        <v>74</v>
      </c>
      <c r="P541" t="s">
        <v>74</v>
      </c>
      <c r="Q541" t="s">
        <v>74</v>
      </c>
      <c r="R541" t="s">
        <v>74</v>
      </c>
      <c r="S541" t="s">
        <v>74</v>
      </c>
      <c r="T541" t="s">
        <v>10575</v>
      </c>
      <c r="U541" t="s">
        <v>10576</v>
      </c>
      <c r="V541" t="s">
        <v>10577</v>
      </c>
      <c r="W541" t="s">
        <v>10578</v>
      </c>
      <c r="X541" t="s">
        <v>10579</v>
      </c>
      <c r="Y541" t="s">
        <v>10580</v>
      </c>
      <c r="Z541" t="s">
        <v>10581</v>
      </c>
      <c r="AA541" t="s">
        <v>74</v>
      </c>
      <c r="AB541" t="s">
        <v>74</v>
      </c>
      <c r="AC541" t="s">
        <v>10582</v>
      </c>
      <c r="AD541" t="s">
        <v>10583</v>
      </c>
      <c r="AE541" t="s">
        <v>10584</v>
      </c>
      <c r="AF541" t="s">
        <v>74</v>
      </c>
      <c r="AG541">
        <v>27</v>
      </c>
      <c r="AH541">
        <v>5</v>
      </c>
      <c r="AI541">
        <v>6</v>
      </c>
      <c r="AJ541">
        <v>0</v>
      </c>
      <c r="AK541">
        <v>19</v>
      </c>
      <c r="AL541" t="s">
        <v>1657</v>
      </c>
      <c r="AM541" t="s">
        <v>679</v>
      </c>
      <c r="AN541" t="s">
        <v>1658</v>
      </c>
      <c r="AO541" t="s">
        <v>2990</v>
      </c>
      <c r="AP541" t="s">
        <v>2991</v>
      </c>
      <c r="AQ541" t="s">
        <v>74</v>
      </c>
      <c r="AR541" t="s">
        <v>2992</v>
      </c>
      <c r="AS541" t="s">
        <v>2993</v>
      </c>
      <c r="AT541" t="s">
        <v>10046</v>
      </c>
      <c r="AU541">
        <v>2016</v>
      </c>
      <c r="AV541">
        <v>36</v>
      </c>
      <c r="AW541">
        <v>2</v>
      </c>
      <c r="AX541" t="s">
        <v>74</v>
      </c>
      <c r="AY541" t="s">
        <v>74</v>
      </c>
      <c r="AZ541" t="s">
        <v>74</v>
      </c>
      <c r="BA541" t="s">
        <v>74</v>
      </c>
      <c r="BB541">
        <v>238</v>
      </c>
      <c r="BC541">
        <v>247</v>
      </c>
      <c r="BD541" t="s">
        <v>74</v>
      </c>
      <c r="BE541" t="s">
        <v>10585</v>
      </c>
      <c r="BF541" t="str">
        <f>HYPERLINK("http://dx.doi.org/10.1163/1937240X-00002418","http://dx.doi.org/10.1163/1937240X-00002418")</f>
        <v>http://dx.doi.org/10.1163/1937240X-00002418</v>
      </c>
      <c r="BG541" t="s">
        <v>74</v>
      </c>
      <c r="BH541" t="s">
        <v>74</v>
      </c>
      <c r="BI541">
        <v>10</v>
      </c>
      <c r="BJ541" t="s">
        <v>2995</v>
      </c>
      <c r="BK541" t="s">
        <v>102</v>
      </c>
      <c r="BL541" t="s">
        <v>2995</v>
      </c>
      <c r="BM541" t="s">
        <v>10586</v>
      </c>
      <c r="BN541" t="s">
        <v>74</v>
      </c>
      <c r="BO541" t="s">
        <v>420</v>
      </c>
      <c r="BP541" t="s">
        <v>74</v>
      </c>
      <c r="BQ541" t="s">
        <v>74</v>
      </c>
      <c r="BR541" t="s">
        <v>106</v>
      </c>
      <c r="BS541" t="s">
        <v>10587</v>
      </c>
      <c r="BT541" t="str">
        <f>HYPERLINK("https%3A%2F%2Fwww.webofscience.com%2Fwos%2Fwoscc%2Ffull-record%2FWOS:000373033900015","View Full Record in Web of Science")</f>
        <v>View Full Record in Web of Science</v>
      </c>
    </row>
    <row r="542" spans="1:72" x14ac:dyDescent="0.15">
      <c r="A542" t="s">
        <v>72</v>
      </c>
      <c r="B542" t="s">
        <v>10588</v>
      </c>
      <c r="C542" t="s">
        <v>74</v>
      </c>
      <c r="D542" t="s">
        <v>74</v>
      </c>
      <c r="E542" t="s">
        <v>74</v>
      </c>
      <c r="F542" t="s">
        <v>10589</v>
      </c>
      <c r="G542" t="s">
        <v>74</v>
      </c>
      <c r="H542" t="s">
        <v>74</v>
      </c>
      <c r="I542" t="s">
        <v>10590</v>
      </c>
      <c r="J542" t="s">
        <v>2648</v>
      </c>
      <c r="K542" t="s">
        <v>74</v>
      </c>
      <c r="L542" t="s">
        <v>74</v>
      </c>
      <c r="M542" t="s">
        <v>78</v>
      </c>
      <c r="N542" t="s">
        <v>79</v>
      </c>
      <c r="O542" t="s">
        <v>74</v>
      </c>
      <c r="P542" t="s">
        <v>74</v>
      </c>
      <c r="Q542" t="s">
        <v>74</v>
      </c>
      <c r="R542" t="s">
        <v>74</v>
      </c>
      <c r="S542" t="s">
        <v>74</v>
      </c>
      <c r="T542" t="s">
        <v>74</v>
      </c>
      <c r="U542" t="s">
        <v>10591</v>
      </c>
      <c r="V542" t="s">
        <v>10592</v>
      </c>
      <c r="W542" t="s">
        <v>10593</v>
      </c>
      <c r="X542" t="s">
        <v>10594</v>
      </c>
      <c r="Y542" t="s">
        <v>10595</v>
      </c>
      <c r="Z542" t="s">
        <v>10596</v>
      </c>
      <c r="AA542" t="s">
        <v>74</v>
      </c>
      <c r="AB542" t="s">
        <v>10597</v>
      </c>
      <c r="AC542" t="s">
        <v>10598</v>
      </c>
      <c r="AD542" t="s">
        <v>10598</v>
      </c>
      <c r="AE542" t="s">
        <v>10599</v>
      </c>
      <c r="AF542" t="s">
        <v>74</v>
      </c>
      <c r="AG542">
        <v>30</v>
      </c>
      <c r="AH542">
        <v>10</v>
      </c>
      <c r="AI542">
        <v>11</v>
      </c>
      <c r="AJ542">
        <v>0</v>
      </c>
      <c r="AK542">
        <v>24</v>
      </c>
      <c r="AL542" t="s">
        <v>2660</v>
      </c>
      <c r="AM542" t="s">
        <v>2661</v>
      </c>
      <c r="AN542" t="s">
        <v>2662</v>
      </c>
      <c r="AO542" t="s">
        <v>2663</v>
      </c>
      <c r="AP542" t="s">
        <v>2664</v>
      </c>
      <c r="AQ542" t="s">
        <v>74</v>
      </c>
      <c r="AR542" t="s">
        <v>2665</v>
      </c>
      <c r="AS542" t="s">
        <v>2666</v>
      </c>
      <c r="AT542" t="s">
        <v>10046</v>
      </c>
      <c r="AU542">
        <v>2016</v>
      </c>
      <c r="AV542">
        <v>139</v>
      </c>
      <c r="AW542">
        <v>3</v>
      </c>
      <c r="AX542" t="s">
        <v>74</v>
      </c>
      <c r="AY542" t="s">
        <v>74</v>
      </c>
      <c r="AZ542" t="s">
        <v>74</v>
      </c>
      <c r="BA542" t="s">
        <v>74</v>
      </c>
      <c r="BB542" t="s">
        <v>10600</v>
      </c>
      <c r="BC542" t="s">
        <v>10601</v>
      </c>
      <c r="BD542" t="s">
        <v>74</v>
      </c>
      <c r="BE542" t="s">
        <v>10602</v>
      </c>
      <c r="BF542" t="str">
        <f>HYPERLINK("http://dx.doi.org/10.1121/1.4943627","http://dx.doi.org/10.1121/1.4943627")</f>
        <v>http://dx.doi.org/10.1121/1.4943627</v>
      </c>
      <c r="BG542" t="s">
        <v>74</v>
      </c>
      <c r="BH542" t="s">
        <v>74</v>
      </c>
      <c r="BI542">
        <v>7</v>
      </c>
      <c r="BJ542" t="s">
        <v>2668</v>
      </c>
      <c r="BK542" t="s">
        <v>102</v>
      </c>
      <c r="BL542" t="s">
        <v>2668</v>
      </c>
      <c r="BM542" t="s">
        <v>10603</v>
      </c>
      <c r="BN542">
        <v>27036292</v>
      </c>
      <c r="BO542" t="s">
        <v>222</v>
      </c>
      <c r="BP542" t="s">
        <v>74</v>
      </c>
      <c r="BQ542" t="s">
        <v>74</v>
      </c>
      <c r="BR542" t="s">
        <v>106</v>
      </c>
      <c r="BS542" t="s">
        <v>10604</v>
      </c>
      <c r="BT542" t="str">
        <f>HYPERLINK("https%3A%2F%2Fwww.webofscience.com%2Fwos%2Fwoscc%2Ffull-record%2FWOS:000373644200006","View Full Record in Web of Science")</f>
        <v>View Full Record in Web of Science</v>
      </c>
    </row>
    <row r="543" spans="1:72" x14ac:dyDescent="0.15">
      <c r="A543" t="s">
        <v>72</v>
      </c>
      <c r="B543" t="s">
        <v>10605</v>
      </c>
      <c r="C543" t="s">
        <v>74</v>
      </c>
      <c r="D543" t="s">
        <v>74</v>
      </c>
      <c r="E543" t="s">
        <v>74</v>
      </c>
      <c r="F543" t="s">
        <v>10606</v>
      </c>
      <c r="G543" t="s">
        <v>74</v>
      </c>
      <c r="H543" t="s">
        <v>74</v>
      </c>
      <c r="I543" t="s">
        <v>10607</v>
      </c>
      <c r="J543" t="s">
        <v>4610</v>
      </c>
      <c r="K543" t="s">
        <v>74</v>
      </c>
      <c r="L543" t="s">
        <v>74</v>
      </c>
      <c r="M543" t="s">
        <v>78</v>
      </c>
      <c r="N543" t="s">
        <v>79</v>
      </c>
      <c r="O543" t="s">
        <v>74</v>
      </c>
      <c r="P543" t="s">
        <v>74</v>
      </c>
      <c r="Q543" t="s">
        <v>74</v>
      </c>
      <c r="R543" t="s">
        <v>74</v>
      </c>
      <c r="S543" t="s">
        <v>74</v>
      </c>
      <c r="T543" t="s">
        <v>10608</v>
      </c>
      <c r="U543" t="s">
        <v>10609</v>
      </c>
      <c r="V543" t="s">
        <v>10610</v>
      </c>
      <c r="W543" t="s">
        <v>10611</v>
      </c>
      <c r="X543" t="s">
        <v>10612</v>
      </c>
      <c r="Y543" t="s">
        <v>10613</v>
      </c>
      <c r="Z543" t="s">
        <v>10614</v>
      </c>
      <c r="AA543" t="s">
        <v>10615</v>
      </c>
      <c r="AB543" t="s">
        <v>10616</v>
      </c>
      <c r="AC543" t="s">
        <v>10617</v>
      </c>
      <c r="AD543" t="s">
        <v>5874</v>
      </c>
      <c r="AE543" t="s">
        <v>10618</v>
      </c>
      <c r="AF543" t="s">
        <v>74</v>
      </c>
      <c r="AG543">
        <v>39</v>
      </c>
      <c r="AH543">
        <v>22</v>
      </c>
      <c r="AI543">
        <v>24</v>
      </c>
      <c r="AJ543">
        <v>1</v>
      </c>
      <c r="AK543">
        <v>33</v>
      </c>
      <c r="AL543" t="s">
        <v>2604</v>
      </c>
      <c r="AM543" t="s">
        <v>2578</v>
      </c>
      <c r="AN543" t="s">
        <v>10563</v>
      </c>
      <c r="AO543" t="s">
        <v>4623</v>
      </c>
      <c r="AP543" t="s">
        <v>74</v>
      </c>
      <c r="AQ543" t="s">
        <v>74</v>
      </c>
      <c r="AR543" t="s">
        <v>4624</v>
      </c>
      <c r="AS543" t="s">
        <v>4625</v>
      </c>
      <c r="AT543" t="s">
        <v>10046</v>
      </c>
      <c r="AU543">
        <v>2016</v>
      </c>
      <c r="AV543">
        <v>14</v>
      </c>
      <c r="AW543">
        <v>3</v>
      </c>
      <c r="AX543" t="s">
        <v>74</v>
      </c>
      <c r="AY543" t="s">
        <v>74</v>
      </c>
      <c r="AZ543" t="s">
        <v>74</v>
      </c>
      <c r="BA543" t="s">
        <v>74</v>
      </c>
      <c r="BB543" t="s">
        <v>74</v>
      </c>
      <c r="BC543" t="s">
        <v>74</v>
      </c>
      <c r="BD543" t="s">
        <v>74</v>
      </c>
      <c r="BE543" t="s">
        <v>10619</v>
      </c>
      <c r="BF543" t="str">
        <f>HYPERLINK("http://dx.doi.org/10.3390/md14030059","http://dx.doi.org/10.3390/md14030059")</f>
        <v>http://dx.doi.org/10.3390/md14030059</v>
      </c>
      <c r="BG543" t="s">
        <v>74</v>
      </c>
      <c r="BH543" t="s">
        <v>74</v>
      </c>
      <c r="BI543">
        <v>14</v>
      </c>
      <c r="BJ543" t="s">
        <v>4627</v>
      </c>
      <c r="BK543" t="s">
        <v>102</v>
      </c>
      <c r="BL543" t="s">
        <v>4628</v>
      </c>
      <c r="BM543" t="s">
        <v>10620</v>
      </c>
      <c r="BN543">
        <v>26999164</v>
      </c>
      <c r="BO543" t="s">
        <v>4630</v>
      </c>
      <c r="BP543" t="s">
        <v>74</v>
      </c>
      <c r="BQ543" t="s">
        <v>74</v>
      </c>
      <c r="BR543" t="s">
        <v>106</v>
      </c>
      <c r="BS543" t="s">
        <v>10621</v>
      </c>
      <c r="BT543" t="str">
        <f>HYPERLINK("https%3A%2F%2Fwww.webofscience.com%2Fwos%2Fwoscc%2Ffull-record%2FWOS:000373701200011","View Full Record in Web of Science")</f>
        <v>View Full Record in Web of Science</v>
      </c>
    </row>
    <row r="544" spans="1:72" x14ac:dyDescent="0.15">
      <c r="A544" t="s">
        <v>72</v>
      </c>
      <c r="B544" t="s">
        <v>10622</v>
      </c>
      <c r="C544" t="s">
        <v>74</v>
      </c>
      <c r="D544" t="s">
        <v>74</v>
      </c>
      <c r="E544" t="s">
        <v>74</v>
      </c>
      <c r="F544" t="s">
        <v>10623</v>
      </c>
      <c r="G544" t="s">
        <v>74</v>
      </c>
      <c r="H544" t="s">
        <v>74</v>
      </c>
      <c r="I544" t="s">
        <v>10624</v>
      </c>
      <c r="J544" t="s">
        <v>10625</v>
      </c>
      <c r="K544" t="s">
        <v>74</v>
      </c>
      <c r="L544" t="s">
        <v>74</v>
      </c>
      <c r="M544" t="s">
        <v>78</v>
      </c>
      <c r="N544" t="s">
        <v>52</v>
      </c>
      <c r="O544" t="s">
        <v>74</v>
      </c>
      <c r="P544" t="s">
        <v>74</v>
      </c>
      <c r="Q544" t="s">
        <v>74</v>
      </c>
      <c r="R544" t="s">
        <v>74</v>
      </c>
      <c r="S544" t="s">
        <v>74</v>
      </c>
      <c r="T544" t="s">
        <v>74</v>
      </c>
      <c r="U544" t="s">
        <v>74</v>
      </c>
      <c r="V544" t="s">
        <v>74</v>
      </c>
      <c r="W544" t="s">
        <v>10626</v>
      </c>
      <c r="X544" t="s">
        <v>7124</v>
      </c>
      <c r="Y544" t="s">
        <v>74</v>
      </c>
      <c r="Z544" t="s">
        <v>74</v>
      </c>
      <c r="AA544" t="s">
        <v>10627</v>
      </c>
      <c r="AB544" t="s">
        <v>74</v>
      </c>
      <c r="AC544" t="s">
        <v>74</v>
      </c>
      <c r="AD544" t="s">
        <v>74</v>
      </c>
      <c r="AE544" t="s">
        <v>74</v>
      </c>
      <c r="AF544" t="s">
        <v>74</v>
      </c>
      <c r="AG544">
        <v>0</v>
      </c>
      <c r="AH544">
        <v>0</v>
      </c>
      <c r="AI544">
        <v>0</v>
      </c>
      <c r="AJ544">
        <v>0</v>
      </c>
      <c r="AK544">
        <v>11</v>
      </c>
      <c r="AL544" t="s">
        <v>582</v>
      </c>
      <c r="AM544" t="s">
        <v>583</v>
      </c>
      <c r="AN544" t="s">
        <v>584</v>
      </c>
      <c r="AO544" t="s">
        <v>10628</v>
      </c>
      <c r="AP544" t="s">
        <v>10629</v>
      </c>
      <c r="AQ544" t="s">
        <v>74</v>
      </c>
      <c r="AR544" t="s">
        <v>10630</v>
      </c>
      <c r="AS544" t="s">
        <v>10631</v>
      </c>
      <c r="AT544" t="s">
        <v>10046</v>
      </c>
      <c r="AU544">
        <v>2016</v>
      </c>
      <c r="AV544">
        <v>103</v>
      </c>
      <c r="AW544" t="s">
        <v>74</v>
      </c>
      <c r="AX544" t="s">
        <v>74</v>
      </c>
      <c r="AY544" t="s">
        <v>74</v>
      </c>
      <c r="AZ544" t="s">
        <v>74</v>
      </c>
      <c r="BA544" t="s">
        <v>74</v>
      </c>
      <c r="BB544">
        <v>330</v>
      </c>
      <c r="BC544">
        <v>330</v>
      </c>
      <c r="BD544" t="s">
        <v>74</v>
      </c>
      <c r="BE544" t="s">
        <v>10632</v>
      </c>
      <c r="BF544" t="str">
        <f>HYPERLINK("http://dx.doi.org/10.1016/j.sajb.2016.02.100","http://dx.doi.org/10.1016/j.sajb.2016.02.100")</f>
        <v>http://dx.doi.org/10.1016/j.sajb.2016.02.100</v>
      </c>
      <c r="BG544" t="s">
        <v>74</v>
      </c>
      <c r="BH544" t="s">
        <v>74</v>
      </c>
      <c r="BI544">
        <v>1</v>
      </c>
      <c r="BJ544" t="s">
        <v>1638</v>
      </c>
      <c r="BK544" t="s">
        <v>102</v>
      </c>
      <c r="BL544" t="s">
        <v>1638</v>
      </c>
      <c r="BM544" t="s">
        <v>10633</v>
      </c>
      <c r="BN544" t="s">
        <v>74</v>
      </c>
      <c r="BO544" t="s">
        <v>222</v>
      </c>
      <c r="BP544" t="s">
        <v>74</v>
      </c>
      <c r="BQ544" t="s">
        <v>74</v>
      </c>
      <c r="BR544" t="s">
        <v>106</v>
      </c>
      <c r="BS544" t="s">
        <v>10634</v>
      </c>
      <c r="BT544" t="str">
        <f>HYPERLINK("https%3A%2F%2Fwww.webofscience.com%2Fwos%2Fwoscc%2Ffull-record%2FWOS:000373480700134","View Full Record in Web of Science")</f>
        <v>View Full Record in Web of Science</v>
      </c>
    </row>
    <row r="545" spans="1:72" x14ac:dyDescent="0.15">
      <c r="A545" t="s">
        <v>72</v>
      </c>
      <c r="B545" t="s">
        <v>10635</v>
      </c>
      <c r="C545" t="s">
        <v>74</v>
      </c>
      <c r="D545" t="s">
        <v>74</v>
      </c>
      <c r="E545" t="s">
        <v>74</v>
      </c>
      <c r="F545" t="s">
        <v>10636</v>
      </c>
      <c r="G545" t="s">
        <v>74</v>
      </c>
      <c r="H545" t="s">
        <v>74</v>
      </c>
      <c r="I545" t="s">
        <v>10637</v>
      </c>
      <c r="J545" t="s">
        <v>10625</v>
      </c>
      <c r="K545" t="s">
        <v>74</v>
      </c>
      <c r="L545" t="s">
        <v>74</v>
      </c>
      <c r="M545" t="s">
        <v>78</v>
      </c>
      <c r="N545" t="s">
        <v>52</v>
      </c>
      <c r="O545" t="s">
        <v>74</v>
      </c>
      <c r="P545" t="s">
        <v>74</v>
      </c>
      <c r="Q545" t="s">
        <v>74</v>
      </c>
      <c r="R545" t="s">
        <v>74</v>
      </c>
      <c r="S545" t="s">
        <v>74</v>
      </c>
      <c r="T545" t="s">
        <v>74</v>
      </c>
      <c r="U545" t="s">
        <v>74</v>
      </c>
      <c r="V545" t="s">
        <v>74</v>
      </c>
      <c r="W545" t="s">
        <v>10638</v>
      </c>
      <c r="X545" t="s">
        <v>10639</v>
      </c>
      <c r="Y545" t="s">
        <v>74</v>
      </c>
      <c r="Z545" t="s">
        <v>74</v>
      </c>
      <c r="AA545" t="s">
        <v>10640</v>
      </c>
      <c r="AB545" t="s">
        <v>74</v>
      </c>
      <c r="AC545" t="s">
        <v>74</v>
      </c>
      <c r="AD545" t="s">
        <v>74</v>
      </c>
      <c r="AE545" t="s">
        <v>74</v>
      </c>
      <c r="AF545" t="s">
        <v>74</v>
      </c>
      <c r="AG545">
        <v>0</v>
      </c>
      <c r="AH545">
        <v>0</v>
      </c>
      <c r="AI545">
        <v>0</v>
      </c>
      <c r="AJ545">
        <v>0</v>
      </c>
      <c r="AK545">
        <v>9</v>
      </c>
      <c r="AL545" t="s">
        <v>582</v>
      </c>
      <c r="AM545" t="s">
        <v>583</v>
      </c>
      <c r="AN545" t="s">
        <v>584</v>
      </c>
      <c r="AO545" t="s">
        <v>10628</v>
      </c>
      <c r="AP545" t="s">
        <v>10629</v>
      </c>
      <c r="AQ545" t="s">
        <v>74</v>
      </c>
      <c r="AR545" t="s">
        <v>10630</v>
      </c>
      <c r="AS545" t="s">
        <v>10631</v>
      </c>
      <c r="AT545" t="s">
        <v>10046</v>
      </c>
      <c r="AU545">
        <v>2016</v>
      </c>
      <c r="AV545">
        <v>103</v>
      </c>
      <c r="AW545" t="s">
        <v>74</v>
      </c>
      <c r="AX545" t="s">
        <v>74</v>
      </c>
      <c r="AY545" t="s">
        <v>74</v>
      </c>
      <c r="AZ545" t="s">
        <v>74</v>
      </c>
      <c r="BA545" t="s">
        <v>74</v>
      </c>
      <c r="BB545">
        <v>350</v>
      </c>
      <c r="BC545">
        <v>350</v>
      </c>
      <c r="BD545" t="s">
        <v>74</v>
      </c>
      <c r="BE545" t="s">
        <v>10641</v>
      </c>
      <c r="BF545" t="str">
        <f>HYPERLINK("http://dx.doi.org/10.1016/j.sajb.2016.02.176","http://dx.doi.org/10.1016/j.sajb.2016.02.176")</f>
        <v>http://dx.doi.org/10.1016/j.sajb.2016.02.176</v>
      </c>
      <c r="BG545" t="s">
        <v>74</v>
      </c>
      <c r="BH545" t="s">
        <v>74</v>
      </c>
      <c r="BI545">
        <v>1</v>
      </c>
      <c r="BJ545" t="s">
        <v>1638</v>
      </c>
      <c r="BK545" t="s">
        <v>102</v>
      </c>
      <c r="BL545" t="s">
        <v>1638</v>
      </c>
      <c r="BM545" t="s">
        <v>10633</v>
      </c>
      <c r="BN545" t="s">
        <v>74</v>
      </c>
      <c r="BO545" t="s">
        <v>222</v>
      </c>
      <c r="BP545" t="s">
        <v>74</v>
      </c>
      <c r="BQ545" t="s">
        <v>74</v>
      </c>
      <c r="BR545" t="s">
        <v>106</v>
      </c>
      <c r="BS545" t="s">
        <v>10642</v>
      </c>
      <c r="BT545" t="str">
        <f>HYPERLINK("https%3A%2F%2Fwww.webofscience.com%2Fwos%2Fwoscc%2Ffull-record%2FWOS:000373480700210","View Full Record in Web of Science")</f>
        <v>View Full Record in Web of Science</v>
      </c>
    </row>
    <row r="546" spans="1:72" x14ac:dyDescent="0.15">
      <c r="A546" t="s">
        <v>72</v>
      </c>
      <c r="B546" t="s">
        <v>10643</v>
      </c>
      <c r="C546" t="s">
        <v>74</v>
      </c>
      <c r="D546" t="s">
        <v>74</v>
      </c>
      <c r="E546" t="s">
        <v>74</v>
      </c>
      <c r="F546" t="s">
        <v>10644</v>
      </c>
      <c r="G546" t="s">
        <v>74</v>
      </c>
      <c r="H546" t="s">
        <v>74</v>
      </c>
      <c r="I546" t="s">
        <v>10645</v>
      </c>
      <c r="J546" t="s">
        <v>10646</v>
      </c>
      <c r="K546" t="s">
        <v>74</v>
      </c>
      <c r="L546" t="s">
        <v>74</v>
      </c>
      <c r="M546" t="s">
        <v>78</v>
      </c>
      <c r="N546" t="s">
        <v>79</v>
      </c>
      <c r="O546" t="s">
        <v>74</v>
      </c>
      <c r="P546" t="s">
        <v>74</v>
      </c>
      <c r="Q546" t="s">
        <v>74</v>
      </c>
      <c r="R546" t="s">
        <v>74</v>
      </c>
      <c r="S546" t="s">
        <v>74</v>
      </c>
      <c r="T546" t="s">
        <v>74</v>
      </c>
      <c r="U546" t="s">
        <v>10647</v>
      </c>
      <c r="V546" t="s">
        <v>10648</v>
      </c>
      <c r="W546" t="s">
        <v>10649</v>
      </c>
      <c r="X546" t="s">
        <v>10650</v>
      </c>
      <c r="Y546" t="s">
        <v>10651</v>
      </c>
      <c r="Z546" t="s">
        <v>10652</v>
      </c>
      <c r="AA546" t="s">
        <v>10653</v>
      </c>
      <c r="AB546" t="s">
        <v>10654</v>
      </c>
      <c r="AC546" t="s">
        <v>10655</v>
      </c>
      <c r="AD546" t="s">
        <v>10656</v>
      </c>
      <c r="AE546" t="s">
        <v>10657</v>
      </c>
      <c r="AF546" t="s">
        <v>74</v>
      </c>
      <c r="AG546">
        <v>50</v>
      </c>
      <c r="AH546">
        <v>31</v>
      </c>
      <c r="AI546">
        <v>39</v>
      </c>
      <c r="AJ546">
        <v>1</v>
      </c>
      <c r="AK546">
        <v>35</v>
      </c>
      <c r="AL546" t="s">
        <v>4122</v>
      </c>
      <c r="AM546" t="s">
        <v>93</v>
      </c>
      <c r="AN546" t="s">
        <v>4123</v>
      </c>
      <c r="AO546" t="s">
        <v>10658</v>
      </c>
      <c r="AP546" t="s">
        <v>10659</v>
      </c>
      <c r="AQ546" t="s">
        <v>74</v>
      </c>
      <c r="AR546" t="s">
        <v>10660</v>
      </c>
      <c r="AS546" t="s">
        <v>10661</v>
      </c>
      <c r="AT546" t="s">
        <v>10046</v>
      </c>
      <c r="AU546">
        <v>2016</v>
      </c>
      <c r="AV546">
        <v>82</v>
      </c>
      <c r="AW546">
        <v>5</v>
      </c>
      <c r="AX546" t="s">
        <v>74</v>
      </c>
      <c r="AY546" t="s">
        <v>74</v>
      </c>
      <c r="AZ546" t="s">
        <v>74</v>
      </c>
      <c r="BA546" t="s">
        <v>74</v>
      </c>
      <c r="BB546">
        <v>1486</v>
      </c>
      <c r="BC546">
        <v>1495</v>
      </c>
      <c r="BD546" t="s">
        <v>74</v>
      </c>
      <c r="BE546" t="s">
        <v>10662</v>
      </c>
      <c r="BF546" t="str">
        <f>HYPERLINK("http://dx.doi.org/10.1128/AEM.03398-15","http://dx.doi.org/10.1128/AEM.03398-15")</f>
        <v>http://dx.doi.org/10.1128/AEM.03398-15</v>
      </c>
      <c r="BG546" t="s">
        <v>74</v>
      </c>
      <c r="BH546" t="s">
        <v>74</v>
      </c>
      <c r="BI546">
        <v>10</v>
      </c>
      <c r="BJ546" t="s">
        <v>10663</v>
      </c>
      <c r="BK546" t="s">
        <v>102</v>
      </c>
      <c r="BL546" t="s">
        <v>10663</v>
      </c>
      <c r="BM546" t="s">
        <v>10664</v>
      </c>
      <c r="BN546">
        <v>26712544</v>
      </c>
      <c r="BO546" t="s">
        <v>1703</v>
      </c>
      <c r="BP546" t="s">
        <v>74</v>
      </c>
      <c r="BQ546" t="s">
        <v>74</v>
      </c>
      <c r="BR546" t="s">
        <v>106</v>
      </c>
      <c r="BS546" t="s">
        <v>10665</v>
      </c>
      <c r="BT546" t="str">
        <f>HYPERLINK("https%3A%2F%2Fwww.webofscience.com%2Fwos%2Fwoscc%2Ffull-record%2FWOS:000373338800013","View Full Record in Web of Science")</f>
        <v>View Full Record in Web of Science</v>
      </c>
    </row>
    <row r="547" spans="1:72" x14ac:dyDescent="0.15">
      <c r="A547" t="s">
        <v>72</v>
      </c>
      <c r="B547" t="s">
        <v>10666</v>
      </c>
      <c r="C547" t="s">
        <v>74</v>
      </c>
      <c r="D547" t="s">
        <v>74</v>
      </c>
      <c r="E547" t="s">
        <v>74</v>
      </c>
      <c r="F547" t="s">
        <v>10667</v>
      </c>
      <c r="G547" t="s">
        <v>74</v>
      </c>
      <c r="H547" t="s">
        <v>74</v>
      </c>
      <c r="I547" t="s">
        <v>10668</v>
      </c>
      <c r="J547" t="s">
        <v>10669</v>
      </c>
      <c r="K547" t="s">
        <v>74</v>
      </c>
      <c r="L547" t="s">
        <v>74</v>
      </c>
      <c r="M547" t="s">
        <v>78</v>
      </c>
      <c r="N547" t="s">
        <v>79</v>
      </c>
      <c r="O547" t="s">
        <v>74</v>
      </c>
      <c r="P547" t="s">
        <v>74</v>
      </c>
      <c r="Q547" t="s">
        <v>74</v>
      </c>
      <c r="R547" t="s">
        <v>74</v>
      </c>
      <c r="S547" t="s">
        <v>74</v>
      </c>
      <c r="T547" t="s">
        <v>10670</v>
      </c>
      <c r="U547" t="s">
        <v>10671</v>
      </c>
      <c r="V547" t="s">
        <v>10672</v>
      </c>
      <c r="W547" t="s">
        <v>10673</v>
      </c>
      <c r="X547" t="s">
        <v>10674</v>
      </c>
      <c r="Y547" t="s">
        <v>10675</v>
      </c>
      <c r="Z547" t="s">
        <v>10676</v>
      </c>
      <c r="AA547" t="s">
        <v>10677</v>
      </c>
      <c r="AB547" t="s">
        <v>10678</v>
      </c>
      <c r="AC547" t="s">
        <v>10679</v>
      </c>
      <c r="AD547" t="s">
        <v>10679</v>
      </c>
      <c r="AE547" t="s">
        <v>10680</v>
      </c>
      <c r="AF547" t="s">
        <v>74</v>
      </c>
      <c r="AG547">
        <v>83</v>
      </c>
      <c r="AH547">
        <v>12</v>
      </c>
      <c r="AI547">
        <v>12</v>
      </c>
      <c r="AJ547">
        <v>2</v>
      </c>
      <c r="AK547">
        <v>32</v>
      </c>
      <c r="AL547" t="s">
        <v>559</v>
      </c>
      <c r="AM547" t="s">
        <v>560</v>
      </c>
      <c r="AN547" t="s">
        <v>561</v>
      </c>
      <c r="AO547" t="s">
        <v>10681</v>
      </c>
      <c r="AP547" t="s">
        <v>10682</v>
      </c>
      <c r="AQ547" t="s">
        <v>74</v>
      </c>
      <c r="AR547" t="s">
        <v>10683</v>
      </c>
      <c r="AS547" t="s">
        <v>10684</v>
      </c>
      <c r="AT547" t="s">
        <v>10046</v>
      </c>
      <c r="AU547">
        <v>2016</v>
      </c>
      <c r="AV547">
        <v>9</v>
      </c>
      <c r="AW547">
        <v>3</v>
      </c>
      <c r="AX547" t="s">
        <v>74</v>
      </c>
      <c r="AY547" t="s">
        <v>74</v>
      </c>
      <c r="AZ547" t="s">
        <v>74</v>
      </c>
      <c r="BA547" t="s">
        <v>74</v>
      </c>
      <c r="BB547" t="s">
        <v>74</v>
      </c>
      <c r="BC547" t="s">
        <v>74</v>
      </c>
      <c r="BD547">
        <v>197</v>
      </c>
      <c r="BE547" t="s">
        <v>10685</v>
      </c>
      <c r="BF547" t="str">
        <f>HYPERLINK("http://dx.doi.org/10.1007/s12517-015-2246-0","http://dx.doi.org/10.1007/s12517-015-2246-0")</f>
        <v>http://dx.doi.org/10.1007/s12517-015-2246-0</v>
      </c>
      <c r="BG547" t="s">
        <v>74</v>
      </c>
      <c r="BH547" t="s">
        <v>74</v>
      </c>
      <c r="BI547">
        <v>11</v>
      </c>
      <c r="BJ547" t="s">
        <v>269</v>
      </c>
      <c r="BK547" t="s">
        <v>102</v>
      </c>
      <c r="BL547" t="s">
        <v>270</v>
      </c>
      <c r="BM547" t="s">
        <v>10686</v>
      </c>
      <c r="BN547" t="s">
        <v>74</v>
      </c>
      <c r="BO547" t="s">
        <v>74</v>
      </c>
      <c r="BP547" t="s">
        <v>74</v>
      </c>
      <c r="BQ547" t="s">
        <v>74</v>
      </c>
      <c r="BR547" t="s">
        <v>106</v>
      </c>
      <c r="BS547" t="s">
        <v>10687</v>
      </c>
      <c r="BT547" t="str">
        <f>HYPERLINK("https%3A%2F%2Fwww.webofscience.com%2Fwos%2Fwoscc%2Ffull-record%2FWOS:000372169700031","View Full Record in Web of Science")</f>
        <v>View Full Record in Web of Science</v>
      </c>
    </row>
    <row r="548" spans="1:72" x14ac:dyDescent="0.15">
      <c r="A548" t="s">
        <v>72</v>
      </c>
      <c r="B548" t="s">
        <v>10688</v>
      </c>
      <c r="C548" t="s">
        <v>74</v>
      </c>
      <c r="D548" t="s">
        <v>74</v>
      </c>
      <c r="E548" t="s">
        <v>74</v>
      </c>
      <c r="F548" t="s">
        <v>10689</v>
      </c>
      <c r="G548" t="s">
        <v>74</v>
      </c>
      <c r="H548" t="s">
        <v>74</v>
      </c>
      <c r="I548" t="s">
        <v>10690</v>
      </c>
      <c r="J548" t="s">
        <v>10691</v>
      </c>
      <c r="K548" t="s">
        <v>74</v>
      </c>
      <c r="L548" t="s">
        <v>74</v>
      </c>
      <c r="M548" t="s">
        <v>78</v>
      </c>
      <c r="N548" t="s">
        <v>3736</v>
      </c>
      <c r="O548" t="s">
        <v>10692</v>
      </c>
      <c r="P548" t="s">
        <v>10693</v>
      </c>
      <c r="Q548" t="s">
        <v>10694</v>
      </c>
      <c r="R548" t="s">
        <v>74</v>
      </c>
      <c r="S548" t="s">
        <v>74</v>
      </c>
      <c r="T548" t="s">
        <v>10695</v>
      </c>
      <c r="U548" t="s">
        <v>10696</v>
      </c>
      <c r="V548" t="s">
        <v>10697</v>
      </c>
      <c r="W548" t="s">
        <v>10698</v>
      </c>
      <c r="X548" t="s">
        <v>10699</v>
      </c>
      <c r="Y548" t="s">
        <v>10700</v>
      </c>
      <c r="Z548" t="s">
        <v>10701</v>
      </c>
      <c r="AA548" t="s">
        <v>74</v>
      </c>
      <c r="AB548" t="s">
        <v>3126</v>
      </c>
      <c r="AC548" t="s">
        <v>10702</v>
      </c>
      <c r="AD548" t="s">
        <v>10703</v>
      </c>
      <c r="AE548" t="s">
        <v>10704</v>
      </c>
      <c r="AF548" t="s">
        <v>74</v>
      </c>
      <c r="AG548">
        <v>33</v>
      </c>
      <c r="AH548">
        <v>15</v>
      </c>
      <c r="AI548">
        <v>17</v>
      </c>
      <c r="AJ548">
        <v>2</v>
      </c>
      <c r="AK548">
        <v>22</v>
      </c>
      <c r="AL548" t="s">
        <v>4320</v>
      </c>
      <c r="AM548" t="s">
        <v>4321</v>
      </c>
      <c r="AN548" t="s">
        <v>4322</v>
      </c>
      <c r="AO548" t="s">
        <v>10705</v>
      </c>
      <c r="AP548" t="s">
        <v>10706</v>
      </c>
      <c r="AQ548" t="s">
        <v>74</v>
      </c>
      <c r="AR548" t="s">
        <v>10707</v>
      </c>
      <c r="AS548" t="s">
        <v>10708</v>
      </c>
      <c r="AT548" t="s">
        <v>10046</v>
      </c>
      <c r="AU548">
        <v>2016</v>
      </c>
      <c r="AV548">
        <v>9</v>
      </c>
      <c r="AW548">
        <v>3</v>
      </c>
      <c r="AX548" t="s">
        <v>74</v>
      </c>
      <c r="AY548" t="s">
        <v>74</v>
      </c>
      <c r="AZ548" t="s">
        <v>589</v>
      </c>
      <c r="BA548" t="s">
        <v>74</v>
      </c>
      <c r="BB548">
        <v>980</v>
      </c>
      <c r="BC548">
        <v>993</v>
      </c>
      <c r="BD548" t="s">
        <v>74</v>
      </c>
      <c r="BE548" t="s">
        <v>10709</v>
      </c>
      <c r="BF548" t="str">
        <f>HYPERLINK("http://dx.doi.org/10.1109/JSTARS.2015.2403611","http://dx.doi.org/10.1109/JSTARS.2015.2403611")</f>
        <v>http://dx.doi.org/10.1109/JSTARS.2015.2403611</v>
      </c>
      <c r="BG548" t="s">
        <v>74</v>
      </c>
      <c r="BH548" t="s">
        <v>74</v>
      </c>
      <c r="BI548">
        <v>14</v>
      </c>
      <c r="BJ548" t="s">
        <v>10710</v>
      </c>
      <c r="BK548" t="s">
        <v>6412</v>
      </c>
      <c r="BL548" t="s">
        <v>10711</v>
      </c>
      <c r="BM548" t="s">
        <v>10712</v>
      </c>
      <c r="BN548" t="s">
        <v>74</v>
      </c>
      <c r="BO548" t="s">
        <v>74</v>
      </c>
      <c r="BP548" t="s">
        <v>74</v>
      </c>
      <c r="BQ548" t="s">
        <v>74</v>
      </c>
      <c r="BR548" t="s">
        <v>106</v>
      </c>
      <c r="BS548" t="s">
        <v>10713</v>
      </c>
      <c r="BT548" t="str">
        <f>HYPERLINK("https%3A%2F%2Fwww.webofscience.com%2Fwos%2Fwoscc%2Ffull-record%2FWOS:000373054100003","View Full Record in Web of Science")</f>
        <v>View Full Record in Web of Science</v>
      </c>
    </row>
    <row r="549" spans="1:72" x14ac:dyDescent="0.15">
      <c r="A549" t="s">
        <v>72</v>
      </c>
      <c r="B549" t="s">
        <v>10714</v>
      </c>
      <c r="C549" t="s">
        <v>74</v>
      </c>
      <c r="D549" t="s">
        <v>74</v>
      </c>
      <c r="E549" t="s">
        <v>74</v>
      </c>
      <c r="F549" t="s">
        <v>10715</v>
      </c>
      <c r="G549" t="s">
        <v>74</v>
      </c>
      <c r="H549" t="s">
        <v>74</v>
      </c>
      <c r="I549" t="s">
        <v>10716</v>
      </c>
      <c r="J549" t="s">
        <v>10717</v>
      </c>
      <c r="K549" t="s">
        <v>74</v>
      </c>
      <c r="L549" t="s">
        <v>74</v>
      </c>
      <c r="M549" t="s">
        <v>78</v>
      </c>
      <c r="N549" t="s">
        <v>52</v>
      </c>
      <c r="O549" t="s">
        <v>10718</v>
      </c>
      <c r="P549" t="s">
        <v>10719</v>
      </c>
      <c r="Q549" t="s">
        <v>10720</v>
      </c>
      <c r="R549" t="s">
        <v>74</v>
      </c>
      <c r="S549" t="s">
        <v>74</v>
      </c>
      <c r="T549" t="s">
        <v>74</v>
      </c>
      <c r="U549" t="s">
        <v>74</v>
      </c>
      <c r="V549" t="s">
        <v>74</v>
      </c>
      <c r="W549" t="s">
        <v>10721</v>
      </c>
      <c r="X549" t="s">
        <v>10722</v>
      </c>
      <c r="Y549" t="s">
        <v>74</v>
      </c>
      <c r="Z549" t="s">
        <v>10723</v>
      </c>
      <c r="AA549" t="s">
        <v>74</v>
      </c>
      <c r="AB549" t="s">
        <v>74</v>
      </c>
      <c r="AC549" t="s">
        <v>74</v>
      </c>
      <c r="AD549" t="s">
        <v>74</v>
      </c>
      <c r="AE549" t="s">
        <v>74</v>
      </c>
      <c r="AF549" t="s">
        <v>74</v>
      </c>
      <c r="AG549">
        <v>0</v>
      </c>
      <c r="AH549">
        <v>0</v>
      </c>
      <c r="AI549">
        <v>0</v>
      </c>
      <c r="AJ549">
        <v>0</v>
      </c>
      <c r="AK549">
        <v>2</v>
      </c>
      <c r="AL549" t="s">
        <v>7132</v>
      </c>
      <c r="AM549" t="s">
        <v>7133</v>
      </c>
      <c r="AN549" t="s">
        <v>7134</v>
      </c>
      <c r="AO549" t="s">
        <v>10724</v>
      </c>
      <c r="AP549" t="s">
        <v>10725</v>
      </c>
      <c r="AQ549" t="s">
        <v>74</v>
      </c>
      <c r="AR549" t="s">
        <v>10726</v>
      </c>
      <c r="AS549" t="s">
        <v>10727</v>
      </c>
      <c r="AT549" t="s">
        <v>10046</v>
      </c>
      <c r="AU549">
        <v>2016</v>
      </c>
      <c r="AV549">
        <v>56</v>
      </c>
      <c r="AW549" t="s">
        <v>74</v>
      </c>
      <c r="AX549" t="s">
        <v>74</v>
      </c>
      <c r="AY549">
        <v>1</v>
      </c>
      <c r="AZ549" t="s">
        <v>74</v>
      </c>
      <c r="BA549" t="s">
        <v>10728</v>
      </c>
      <c r="BB549" t="s">
        <v>10729</v>
      </c>
      <c r="BC549" t="s">
        <v>10729</v>
      </c>
      <c r="BD549" t="s">
        <v>74</v>
      </c>
      <c r="BE549" t="s">
        <v>74</v>
      </c>
      <c r="BF549" t="s">
        <v>74</v>
      </c>
      <c r="BG549" t="s">
        <v>74</v>
      </c>
      <c r="BH549" t="s">
        <v>74</v>
      </c>
      <c r="BI549">
        <v>1</v>
      </c>
      <c r="BJ549" t="s">
        <v>541</v>
      </c>
      <c r="BK549" t="s">
        <v>6412</v>
      </c>
      <c r="BL549" t="s">
        <v>541</v>
      </c>
      <c r="BM549" t="s">
        <v>10730</v>
      </c>
      <c r="BN549" t="s">
        <v>74</v>
      </c>
      <c r="BO549" t="s">
        <v>74</v>
      </c>
      <c r="BP549" t="s">
        <v>74</v>
      </c>
      <c r="BQ549" t="s">
        <v>74</v>
      </c>
      <c r="BR549" t="s">
        <v>106</v>
      </c>
      <c r="BS549" t="s">
        <v>10731</v>
      </c>
      <c r="BT549" t="str">
        <f>HYPERLINK("https%3A%2F%2Fwww.webofscience.com%2Fwos%2Fwoscc%2Ffull-record%2FWOS:000372457600105","View Full Record in Web of Science")</f>
        <v>View Full Record in Web of Science</v>
      </c>
    </row>
    <row r="550" spans="1:72" x14ac:dyDescent="0.15">
      <c r="A550" t="s">
        <v>72</v>
      </c>
      <c r="B550" t="s">
        <v>10732</v>
      </c>
      <c r="C550" t="s">
        <v>74</v>
      </c>
      <c r="D550" t="s">
        <v>74</v>
      </c>
      <c r="E550" t="s">
        <v>74</v>
      </c>
      <c r="F550" t="s">
        <v>10733</v>
      </c>
      <c r="G550" t="s">
        <v>74</v>
      </c>
      <c r="H550" t="s">
        <v>74</v>
      </c>
      <c r="I550" t="s">
        <v>10734</v>
      </c>
      <c r="J550" t="s">
        <v>10717</v>
      </c>
      <c r="K550" t="s">
        <v>74</v>
      </c>
      <c r="L550" t="s">
        <v>74</v>
      </c>
      <c r="M550" t="s">
        <v>78</v>
      </c>
      <c r="N550" t="s">
        <v>52</v>
      </c>
      <c r="O550" t="s">
        <v>10718</v>
      </c>
      <c r="P550" t="s">
        <v>10719</v>
      </c>
      <c r="Q550" t="s">
        <v>10720</v>
      </c>
      <c r="R550" t="s">
        <v>74</v>
      </c>
      <c r="S550" t="s">
        <v>74</v>
      </c>
      <c r="T550" t="s">
        <v>74</v>
      </c>
      <c r="U550" t="s">
        <v>74</v>
      </c>
      <c r="V550" t="s">
        <v>74</v>
      </c>
      <c r="W550" t="s">
        <v>10735</v>
      </c>
      <c r="X550" t="s">
        <v>10736</v>
      </c>
      <c r="Y550" t="s">
        <v>74</v>
      </c>
      <c r="Z550" t="s">
        <v>10737</v>
      </c>
      <c r="AA550" t="s">
        <v>10738</v>
      </c>
      <c r="AB550" t="s">
        <v>10739</v>
      </c>
      <c r="AC550" t="s">
        <v>74</v>
      </c>
      <c r="AD550" t="s">
        <v>74</v>
      </c>
      <c r="AE550" t="s">
        <v>74</v>
      </c>
      <c r="AF550" t="s">
        <v>74</v>
      </c>
      <c r="AG550">
        <v>0</v>
      </c>
      <c r="AH550">
        <v>0</v>
      </c>
      <c r="AI550">
        <v>0</v>
      </c>
      <c r="AJ550">
        <v>0</v>
      </c>
      <c r="AK550">
        <v>28</v>
      </c>
      <c r="AL550" t="s">
        <v>7132</v>
      </c>
      <c r="AM550" t="s">
        <v>7133</v>
      </c>
      <c r="AN550" t="s">
        <v>7134</v>
      </c>
      <c r="AO550" t="s">
        <v>10724</v>
      </c>
      <c r="AP550" t="s">
        <v>10725</v>
      </c>
      <c r="AQ550" t="s">
        <v>74</v>
      </c>
      <c r="AR550" t="s">
        <v>10726</v>
      </c>
      <c r="AS550" t="s">
        <v>10727</v>
      </c>
      <c r="AT550" t="s">
        <v>10046</v>
      </c>
      <c r="AU550">
        <v>2016</v>
      </c>
      <c r="AV550">
        <v>56</v>
      </c>
      <c r="AW550" t="s">
        <v>74</v>
      </c>
      <c r="AX550" t="s">
        <v>74</v>
      </c>
      <c r="AY550">
        <v>1</v>
      </c>
      <c r="AZ550" t="s">
        <v>74</v>
      </c>
      <c r="BA550" t="s">
        <v>10740</v>
      </c>
      <c r="BB550" t="s">
        <v>10741</v>
      </c>
      <c r="BC550" t="s">
        <v>10741</v>
      </c>
      <c r="BD550" t="s">
        <v>74</v>
      </c>
      <c r="BE550" t="s">
        <v>74</v>
      </c>
      <c r="BF550" t="s">
        <v>74</v>
      </c>
      <c r="BG550" t="s">
        <v>74</v>
      </c>
      <c r="BH550" t="s">
        <v>74</v>
      </c>
      <c r="BI550">
        <v>1</v>
      </c>
      <c r="BJ550" t="s">
        <v>541</v>
      </c>
      <c r="BK550" t="s">
        <v>6412</v>
      </c>
      <c r="BL550" t="s">
        <v>541</v>
      </c>
      <c r="BM550" t="s">
        <v>10730</v>
      </c>
      <c r="BN550" t="s">
        <v>74</v>
      </c>
      <c r="BO550" t="s">
        <v>74</v>
      </c>
      <c r="BP550" t="s">
        <v>74</v>
      </c>
      <c r="BQ550" t="s">
        <v>74</v>
      </c>
      <c r="BR550" t="s">
        <v>106</v>
      </c>
      <c r="BS550" t="s">
        <v>10742</v>
      </c>
      <c r="BT550" t="str">
        <f>HYPERLINK("https%3A%2F%2Fwww.webofscience.com%2Fwos%2Fwoscc%2Ffull-record%2FWOS:000372457600141","View Full Record in Web of Science")</f>
        <v>View Full Record in Web of Science</v>
      </c>
    </row>
    <row r="551" spans="1:72" x14ac:dyDescent="0.15">
      <c r="A551" t="s">
        <v>72</v>
      </c>
      <c r="B551" t="s">
        <v>10743</v>
      </c>
      <c r="C551" t="s">
        <v>74</v>
      </c>
      <c r="D551" t="s">
        <v>74</v>
      </c>
      <c r="E551" t="s">
        <v>74</v>
      </c>
      <c r="F551" t="s">
        <v>10744</v>
      </c>
      <c r="G551" t="s">
        <v>74</v>
      </c>
      <c r="H551" t="s">
        <v>74</v>
      </c>
      <c r="I551" t="s">
        <v>10745</v>
      </c>
      <c r="J551" t="s">
        <v>10717</v>
      </c>
      <c r="K551" t="s">
        <v>74</v>
      </c>
      <c r="L551" t="s">
        <v>74</v>
      </c>
      <c r="M551" t="s">
        <v>78</v>
      </c>
      <c r="N551" t="s">
        <v>52</v>
      </c>
      <c r="O551" t="s">
        <v>10718</v>
      </c>
      <c r="P551" t="s">
        <v>10719</v>
      </c>
      <c r="Q551" t="s">
        <v>10720</v>
      </c>
      <c r="R551" t="s">
        <v>74</v>
      </c>
      <c r="S551" t="s">
        <v>74</v>
      </c>
      <c r="T551" t="s">
        <v>74</v>
      </c>
      <c r="U551" t="s">
        <v>74</v>
      </c>
      <c r="V551" t="s">
        <v>74</v>
      </c>
      <c r="W551" t="s">
        <v>10746</v>
      </c>
      <c r="X551" t="s">
        <v>10747</v>
      </c>
      <c r="Y551" t="s">
        <v>74</v>
      </c>
      <c r="Z551" t="s">
        <v>10748</v>
      </c>
      <c r="AA551" t="s">
        <v>10749</v>
      </c>
      <c r="AB551" t="s">
        <v>74</v>
      </c>
      <c r="AC551" t="s">
        <v>74</v>
      </c>
      <c r="AD551" t="s">
        <v>74</v>
      </c>
      <c r="AE551" t="s">
        <v>74</v>
      </c>
      <c r="AF551" t="s">
        <v>74</v>
      </c>
      <c r="AG551">
        <v>0</v>
      </c>
      <c r="AH551">
        <v>0</v>
      </c>
      <c r="AI551">
        <v>0</v>
      </c>
      <c r="AJ551">
        <v>0</v>
      </c>
      <c r="AK551">
        <v>0</v>
      </c>
      <c r="AL551" t="s">
        <v>7132</v>
      </c>
      <c r="AM551" t="s">
        <v>7133</v>
      </c>
      <c r="AN551" t="s">
        <v>7134</v>
      </c>
      <c r="AO551" t="s">
        <v>10724</v>
      </c>
      <c r="AP551" t="s">
        <v>10725</v>
      </c>
      <c r="AQ551" t="s">
        <v>74</v>
      </c>
      <c r="AR551" t="s">
        <v>10726</v>
      </c>
      <c r="AS551" t="s">
        <v>10727</v>
      </c>
      <c r="AT551" t="s">
        <v>10046</v>
      </c>
      <c r="AU551">
        <v>2016</v>
      </c>
      <c r="AV551">
        <v>56</v>
      </c>
      <c r="AW551" t="s">
        <v>74</v>
      </c>
      <c r="AX551" t="s">
        <v>74</v>
      </c>
      <c r="AY551">
        <v>1</v>
      </c>
      <c r="AZ551" t="s">
        <v>74</v>
      </c>
      <c r="BA551" t="s">
        <v>10750</v>
      </c>
      <c r="BB551" t="s">
        <v>10751</v>
      </c>
      <c r="BC551" t="s">
        <v>10751</v>
      </c>
      <c r="BD551" t="s">
        <v>74</v>
      </c>
      <c r="BE551" t="s">
        <v>74</v>
      </c>
      <c r="BF551" t="s">
        <v>74</v>
      </c>
      <c r="BG551" t="s">
        <v>74</v>
      </c>
      <c r="BH551" t="s">
        <v>74</v>
      </c>
      <c r="BI551">
        <v>1</v>
      </c>
      <c r="BJ551" t="s">
        <v>541</v>
      </c>
      <c r="BK551" t="s">
        <v>6412</v>
      </c>
      <c r="BL551" t="s">
        <v>541</v>
      </c>
      <c r="BM551" t="s">
        <v>10730</v>
      </c>
      <c r="BN551" t="s">
        <v>74</v>
      </c>
      <c r="BO551" t="s">
        <v>74</v>
      </c>
      <c r="BP551" t="s">
        <v>74</v>
      </c>
      <c r="BQ551" t="s">
        <v>74</v>
      </c>
      <c r="BR551" t="s">
        <v>106</v>
      </c>
      <c r="BS551" t="s">
        <v>10752</v>
      </c>
      <c r="BT551" t="str">
        <f>HYPERLINK("https%3A%2F%2Fwww.webofscience.com%2Fwos%2Fwoscc%2Ffull-record%2FWOS:000372457600231","View Full Record in Web of Science")</f>
        <v>View Full Record in Web of Science</v>
      </c>
    </row>
    <row r="552" spans="1:72" x14ac:dyDescent="0.15">
      <c r="A552" t="s">
        <v>72</v>
      </c>
      <c r="B552" t="s">
        <v>10753</v>
      </c>
      <c r="C552" t="s">
        <v>74</v>
      </c>
      <c r="D552" t="s">
        <v>74</v>
      </c>
      <c r="E552" t="s">
        <v>74</v>
      </c>
      <c r="F552" t="s">
        <v>10754</v>
      </c>
      <c r="G552" t="s">
        <v>74</v>
      </c>
      <c r="H552" t="s">
        <v>74</v>
      </c>
      <c r="I552" t="s">
        <v>10755</v>
      </c>
      <c r="J552" t="s">
        <v>10717</v>
      </c>
      <c r="K552" t="s">
        <v>74</v>
      </c>
      <c r="L552" t="s">
        <v>74</v>
      </c>
      <c r="M552" t="s">
        <v>78</v>
      </c>
      <c r="N552" t="s">
        <v>52</v>
      </c>
      <c r="O552" t="s">
        <v>10718</v>
      </c>
      <c r="P552" t="s">
        <v>10719</v>
      </c>
      <c r="Q552" t="s">
        <v>10720</v>
      </c>
      <c r="R552" t="s">
        <v>74</v>
      </c>
      <c r="S552" t="s">
        <v>74</v>
      </c>
      <c r="T552" t="s">
        <v>74</v>
      </c>
      <c r="U552" t="s">
        <v>74</v>
      </c>
      <c r="V552" t="s">
        <v>74</v>
      </c>
      <c r="W552" t="s">
        <v>10756</v>
      </c>
      <c r="X552" t="s">
        <v>10757</v>
      </c>
      <c r="Y552" t="s">
        <v>74</v>
      </c>
      <c r="Z552" t="s">
        <v>10758</v>
      </c>
      <c r="AA552" t="s">
        <v>10749</v>
      </c>
      <c r="AB552" t="s">
        <v>74</v>
      </c>
      <c r="AC552" t="s">
        <v>74</v>
      </c>
      <c r="AD552" t="s">
        <v>74</v>
      </c>
      <c r="AE552" t="s">
        <v>74</v>
      </c>
      <c r="AF552" t="s">
        <v>74</v>
      </c>
      <c r="AG552">
        <v>0</v>
      </c>
      <c r="AH552">
        <v>0</v>
      </c>
      <c r="AI552">
        <v>0</v>
      </c>
      <c r="AJ552">
        <v>0</v>
      </c>
      <c r="AK552">
        <v>2</v>
      </c>
      <c r="AL552" t="s">
        <v>7132</v>
      </c>
      <c r="AM552" t="s">
        <v>7133</v>
      </c>
      <c r="AN552" t="s">
        <v>7134</v>
      </c>
      <c r="AO552" t="s">
        <v>10724</v>
      </c>
      <c r="AP552" t="s">
        <v>10725</v>
      </c>
      <c r="AQ552" t="s">
        <v>74</v>
      </c>
      <c r="AR552" t="s">
        <v>10726</v>
      </c>
      <c r="AS552" t="s">
        <v>10727</v>
      </c>
      <c r="AT552" t="s">
        <v>10046</v>
      </c>
      <c r="AU552">
        <v>2016</v>
      </c>
      <c r="AV552">
        <v>56</v>
      </c>
      <c r="AW552" t="s">
        <v>74</v>
      </c>
      <c r="AX552" t="s">
        <v>74</v>
      </c>
      <c r="AY552">
        <v>1</v>
      </c>
      <c r="AZ552" t="s">
        <v>74</v>
      </c>
      <c r="BA552" t="s">
        <v>10759</v>
      </c>
      <c r="BB552" t="s">
        <v>10760</v>
      </c>
      <c r="BC552" t="s">
        <v>10760</v>
      </c>
      <c r="BD552" t="s">
        <v>74</v>
      </c>
      <c r="BE552" t="s">
        <v>74</v>
      </c>
      <c r="BF552" t="s">
        <v>74</v>
      </c>
      <c r="BG552" t="s">
        <v>74</v>
      </c>
      <c r="BH552" t="s">
        <v>74</v>
      </c>
      <c r="BI552">
        <v>1</v>
      </c>
      <c r="BJ552" t="s">
        <v>541</v>
      </c>
      <c r="BK552" t="s">
        <v>6412</v>
      </c>
      <c r="BL552" t="s">
        <v>541</v>
      </c>
      <c r="BM552" t="s">
        <v>10730</v>
      </c>
      <c r="BN552" t="s">
        <v>74</v>
      </c>
      <c r="BO552" t="s">
        <v>74</v>
      </c>
      <c r="BP552" t="s">
        <v>74</v>
      </c>
      <c r="BQ552" t="s">
        <v>74</v>
      </c>
      <c r="BR552" t="s">
        <v>106</v>
      </c>
      <c r="BS552" t="s">
        <v>10761</v>
      </c>
      <c r="BT552" t="str">
        <f>HYPERLINK("https%3A%2F%2Fwww.webofscience.com%2Fwos%2Fwoscc%2Ffull-record%2FWOS:000372457600283","View Full Record in Web of Science")</f>
        <v>View Full Record in Web of Science</v>
      </c>
    </row>
    <row r="553" spans="1:72" x14ac:dyDescent="0.15">
      <c r="A553" t="s">
        <v>72</v>
      </c>
      <c r="B553" t="s">
        <v>10762</v>
      </c>
      <c r="C553" t="s">
        <v>74</v>
      </c>
      <c r="D553" t="s">
        <v>74</v>
      </c>
      <c r="E553" t="s">
        <v>74</v>
      </c>
      <c r="F553" t="s">
        <v>10763</v>
      </c>
      <c r="G553" t="s">
        <v>74</v>
      </c>
      <c r="H553" t="s">
        <v>74</v>
      </c>
      <c r="I553" t="s">
        <v>10764</v>
      </c>
      <c r="J553" t="s">
        <v>10717</v>
      </c>
      <c r="K553" t="s">
        <v>74</v>
      </c>
      <c r="L553" t="s">
        <v>74</v>
      </c>
      <c r="M553" t="s">
        <v>78</v>
      </c>
      <c r="N553" t="s">
        <v>52</v>
      </c>
      <c r="O553" t="s">
        <v>10718</v>
      </c>
      <c r="P553" t="s">
        <v>10719</v>
      </c>
      <c r="Q553" t="s">
        <v>10720</v>
      </c>
      <c r="R553" t="s">
        <v>74</v>
      </c>
      <c r="S553" t="s">
        <v>74</v>
      </c>
      <c r="T553" t="s">
        <v>74</v>
      </c>
      <c r="U553" t="s">
        <v>74</v>
      </c>
      <c r="V553" t="s">
        <v>74</v>
      </c>
      <c r="W553" t="s">
        <v>10765</v>
      </c>
      <c r="X553" t="s">
        <v>10766</v>
      </c>
      <c r="Y553" t="s">
        <v>74</v>
      </c>
      <c r="Z553" t="s">
        <v>10767</v>
      </c>
      <c r="AA553" t="s">
        <v>74</v>
      </c>
      <c r="AB553" t="s">
        <v>74</v>
      </c>
      <c r="AC553" t="s">
        <v>74</v>
      </c>
      <c r="AD553" t="s">
        <v>74</v>
      </c>
      <c r="AE553" t="s">
        <v>74</v>
      </c>
      <c r="AF553" t="s">
        <v>74</v>
      </c>
      <c r="AG553">
        <v>0</v>
      </c>
      <c r="AH553">
        <v>0</v>
      </c>
      <c r="AI553">
        <v>0</v>
      </c>
      <c r="AJ553">
        <v>0</v>
      </c>
      <c r="AK553">
        <v>3</v>
      </c>
      <c r="AL553" t="s">
        <v>7132</v>
      </c>
      <c r="AM553" t="s">
        <v>7133</v>
      </c>
      <c r="AN553" t="s">
        <v>7134</v>
      </c>
      <c r="AO553" t="s">
        <v>10724</v>
      </c>
      <c r="AP553" t="s">
        <v>10725</v>
      </c>
      <c r="AQ553" t="s">
        <v>74</v>
      </c>
      <c r="AR553" t="s">
        <v>10726</v>
      </c>
      <c r="AS553" t="s">
        <v>10727</v>
      </c>
      <c r="AT553" t="s">
        <v>10046</v>
      </c>
      <c r="AU553">
        <v>2016</v>
      </c>
      <c r="AV553">
        <v>56</v>
      </c>
      <c r="AW553" t="s">
        <v>74</v>
      </c>
      <c r="AX553" t="s">
        <v>74</v>
      </c>
      <c r="AY553">
        <v>1</v>
      </c>
      <c r="AZ553" t="s">
        <v>74</v>
      </c>
      <c r="BA553" t="s">
        <v>10768</v>
      </c>
      <c r="BB553" t="s">
        <v>10769</v>
      </c>
      <c r="BC553" t="s">
        <v>10769</v>
      </c>
      <c r="BD553" t="s">
        <v>74</v>
      </c>
      <c r="BE553" t="s">
        <v>74</v>
      </c>
      <c r="BF553" t="s">
        <v>74</v>
      </c>
      <c r="BG553" t="s">
        <v>74</v>
      </c>
      <c r="BH553" t="s">
        <v>74</v>
      </c>
      <c r="BI553">
        <v>1</v>
      </c>
      <c r="BJ553" t="s">
        <v>541</v>
      </c>
      <c r="BK553" t="s">
        <v>6412</v>
      </c>
      <c r="BL553" t="s">
        <v>541</v>
      </c>
      <c r="BM553" t="s">
        <v>10730</v>
      </c>
      <c r="BN553" t="s">
        <v>74</v>
      </c>
      <c r="BO553" t="s">
        <v>74</v>
      </c>
      <c r="BP553" t="s">
        <v>74</v>
      </c>
      <c r="BQ553" t="s">
        <v>74</v>
      </c>
      <c r="BR553" t="s">
        <v>106</v>
      </c>
      <c r="BS553" t="s">
        <v>10770</v>
      </c>
      <c r="BT553" t="str">
        <f>HYPERLINK("https%3A%2F%2Fwww.webofscience.com%2Fwos%2Fwoscc%2Ffull-record%2FWOS:000372457601525","View Full Record in Web of Science")</f>
        <v>View Full Record in Web of Science</v>
      </c>
    </row>
    <row r="554" spans="1:72" x14ac:dyDescent="0.15">
      <c r="A554" t="s">
        <v>72</v>
      </c>
      <c r="B554" t="s">
        <v>10771</v>
      </c>
      <c r="C554" t="s">
        <v>74</v>
      </c>
      <c r="D554" t="s">
        <v>74</v>
      </c>
      <c r="E554" t="s">
        <v>74</v>
      </c>
      <c r="F554" t="s">
        <v>10772</v>
      </c>
      <c r="G554" t="s">
        <v>74</v>
      </c>
      <c r="H554" t="s">
        <v>74</v>
      </c>
      <c r="I554" t="s">
        <v>10773</v>
      </c>
      <c r="J554" t="s">
        <v>10717</v>
      </c>
      <c r="K554" t="s">
        <v>74</v>
      </c>
      <c r="L554" t="s">
        <v>74</v>
      </c>
      <c r="M554" t="s">
        <v>78</v>
      </c>
      <c r="N554" t="s">
        <v>52</v>
      </c>
      <c r="O554" t="s">
        <v>10718</v>
      </c>
      <c r="P554" t="s">
        <v>10719</v>
      </c>
      <c r="Q554" t="s">
        <v>10720</v>
      </c>
      <c r="R554" t="s">
        <v>74</v>
      </c>
      <c r="S554" t="s">
        <v>74</v>
      </c>
      <c r="T554" t="s">
        <v>74</v>
      </c>
      <c r="U554" t="s">
        <v>74</v>
      </c>
      <c r="V554" t="s">
        <v>74</v>
      </c>
      <c r="W554" t="s">
        <v>10774</v>
      </c>
      <c r="X554" t="s">
        <v>10775</v>
      </c>
      <c r="Y554" t="s">
        <v>74</v>
      </c>
      <c r="Z554" t="s">
        <v>10776</v>
      </c>
      <c r="AA554" t="s">
        <v>10777</v>
      </c>
      <c r="AB554" t="s">
        <v>10778</v>
      </c>
      <c r="AC554" t="s">
        <v>74</v>
      </c>
      <c r="AD554" t="s">
        <v>74</v>
      </c>
      <c r="AE554" t="s">
        <v>74</v>
      </c>
      <c r="AF554" t="s">
        <v>74</v>
      </c>
      <c r="AG554">
        <v>0</v>
      </c>
      <c r="AH554">
        <v>0</v>
      </c>
      <c r="AI554">
        <v>0</v>
      </c>
      <c r="AJ554">
        <v>0</v>
      </c>
      <c r="AK554">
        <v>1</v>
      </c>
      <c r="AL554" t="s">
        <v>7132</v>
      </c>
      <c r="AM554" t="s">
        <v>7133</v>
      </c>
      <c r="AN554" t="s">
        <v>7134</v>
      </c>
      <c r="AO554" t="s">
        <v>10724</v>
      </c>
      <c r="AP554" t="s">
        <v>10725</v>
      </c>
      <c r="AQ554" t="s">
        <v>74</v>
      </c>
      <c r="AR554" t="s">
        <v>10726</v>
      </c>
      <c r="AS554" t="s">
        <v>10727</v>
      </c>
      <c r="AT554" t="s">
        <v>10046</v>
      </c>
      <c r="AU554">
        <v>2016</v>
      </c>
      <c r="AV554">
        <v>56</v>
      </c>
      <c r="AW554" t="s">
        <v>74</v>
      </c>
      <c r="AX554" t="s">
        <v>74</v>
      </c>
      <c r="AY554">
        <v>1</v>
      </c>
      <c r="AZ554" t="s">
        <v>74</v>
      </c>
      <c r="BA554" t="s">
        <v>10779</v>
      </c>
      <c r="BB554" t="s">
        <v>10780</v>
      </c>
      <c r="BC554" t="s">
        <v>10780</v>
      </c>
      <c r="BD554" t="s">
        <v>74</v>
      </c>
      <c r="BE554" t="s">
        <v>74</v>
      </c>
      <c r="BF554" t="s">
        <v>74</v>
      </c>
      <c r="BG554" t="s">
        <v>74</v>
      </c>
      <c r="BH554" t="s">
        <v>74</v>
      </c>
      <c r="BI554">
        <v>1</v>
      </c>
      <c r="BJ554" t="s">
        <v>541</v>
      </c>
      <c r="BK554" t="s">
        <v>6412</v>
      </c>
      <c r="BL554" t="s">
        <v>541</v>
      </c>
      <c r="BM554" t="s">
        <v>10730</v>
      </c>
      <c r="BN554" t="s">
        <v>74</v>
      </c>
      <c r="BO554" t="s">
        <v>74</v>
      </c>
      <c r="BP554" t="s">
        <v>74</v>
      </c>
      <c r="BQ554" t="s">
        <v>74</v>
      </c>
      <c r="BR554" t="s">
        <v>106</v>
      </c>
      <c r="BS554" t="s">
        <v>10781</v>
      </c>
      <c r="BT554" t="str">
        <f>HYPERLINK("https%3A%2F%2Fwww.webofscience.com%2Fwos%2Fwoscc%2Ffull-record%2FWOS:000372457600383","View Full Record in Web of Science")</f>
        <v>View Full Record in Web of Science</v>
      </c>
    </row>
    <row r="555" spans="1:72" x14ac:dyDescent="0.15">
      <c r="A555" t="s">
        <v>72</v>
      </c>
      <c r="B555" t="s">
        <v>10782</v>
      </c>
      <c r="C555" t="s">
        <v>74</v>
      </c>
      <c r="D555" t="s">
        <v>74</v>
      </c>
      <c r="E555" t="s">
        <v>74</v>
      </c>
      <c r="F555" t="s">
        <v>10783</v>
      </c>
      <c r="G555" t="s">
        <v>74</v>
      </c>
      <c r="H555" t="s">
        <v>74</v>
      </c>
      <c r="I555" t="s">
        <v>10784</v>
      </c>
      <c r="J555" t="s">
        <v>10717</v>
      </c>
      <c r="K555" t="s">
        <v>74</v>
      </c>
      <c r="L555" t="s">
        <v>74</v>
      </c>
      <c r="M555" t="s">
        <v>78</v>
      </c>
      <c r="N555" t="s">
        <v>52</v>
      </c>
      <c r="O555" t="s">
        <v>10718</v>
      </c>
      <c r="P555" t="s">
        <v>10719</v>
      </c>
      <c r="Q555" t="s">
        <v>10720</v>
      </c>
      <c r="R555" t="s">
        <v>74</v>
      </c>
      <c r="S555" t="s">
        <v>74</v>
      </c>
      <c r="T555" t="s">
        <v>74</v>
      </c>
      <c r="U555" t="s">
        <v>74</v>
      </c>
      <c r="V555" t="s">
        <v>74</v>
      </c>
      <c r="W555" t="s">
        <v>10785</v>
      </c>
      <c r="X555" t="s">
        <v>10786</v>
      </c>
      <c r="Y555" t="s">
        <v>74</v>
      </c>
      <c r="Z555" t="s">
        <v>10787</v>
      </c>
      <c r="AA555" t="s">
        <v>74</v>
      </c>
      <c r="AB555" t="s">
        <v>74</v>
      </c>
      <c r="AC555" t="s">
        <v>74</v>
      </c>
      <c r="AD555" t="s">
        <v>74</v>
      </c>
      <c r="AE555" t="s">
        <v>74</v>
      </c>
      <c r="AF555" t="s">
        <v>74</v>
      </c>
      <c r="AG555">
        <v>0</v>
      </c>
      <c r="AH555">
        <v>0</v>
      </c>
      <c r="AI555">
        <v>0</v>
      </c>
      <c r="AJ555">
        <v>0</v>
      </c>
      <c r="AK555">
        <v>2</v>
      </c>
      <c r="AL555" t="s">
        <v>7132</v>
      </c>
      <c r="AM555" t="s">
        <v>7133</v>
      </c>
      <c r="AN555" t="s">
        <v>7134</v>
      </c>
      <c r="AO555" t="s">
        <v>10724</v>
      </c>
      <c r="AP555" t="s">
        <v>10725</v>
      </c>
      <c r="AQ555" t="s">
        <v>74</v>
      </c>
      <c r="AR555" t="s">
        <v>10726</v>
      </c>
      <c r="AS555" t="s">
        <v>10727</v>
      </c>
      <c r="AT555" t="s">
        <v>10046</v>
      </c>
      <c r="AU555">
        <v>2016</v>
      </c>
      <c r="AV555">
        <v>56</v>
      </c>
      <c r="AW555" t="s">
        <v>74</v>
      </c>
      <c r="AX555" t="s">
        <v>74</v>
      </c>
      <c r="AY555">
        <v>1</v>
      </c>
      <c r="AZ555" t="s">
        <v>74</v>
      </c>
      <c r="BA555" t="s">
        <v>10788</v>
      </c>
      <c r="BB555" t="s">
        <v>10789</v>
      </c>
      <c r="BC555" t="s">
        <v>10789</v>
      </c>
      <c r="BD555" t="s">
        <v>74</v>
      </c>
      <c r="BE555" t="s">
        <v>74</v>
      </c>
      <c r="BF555" t="s">
        <v>74</v>
      </c>
      <c r="BG555" t="s">
        <v>74</v>
      </c>
      <c r="BH555" t="s">
        <v>74</v>
      </c>
      <c r="BI555">
        <v>1</v>
      </c>
      <c r="BJ555" t="s">
        <v>541</v>
      </c>
      <c r="BK555" t="s">
        <v>6412</v>
      </c>
      <c r="BL555" t="s">
        <v>541</v>
      </c>
      <c r="BM555" t="s">
        <v>10730</v>
      </c>
      <c r="BN555" t="s">
        <v>74</v>
      </c>
      <c r="BO555" t="s">
        <v>74</v>
      </c>
      <c r="BP555" t="s">
        <v>74</v>
      </c>
      <c r="BQ555" t="s">
        <v>74</v>
      </c>
      <c r="BR555" t="s">
        <v>106</v>
      </c>
      <c r="BS555" t="s">
        <v>10790</v>
      </c>
      <c r="BT555" t="str">
        <f>HYPERLINK("https%3A%2F%2Fwww.webofscience.com%2Fwos%2Fwoscc%2Ffull-record%2FWOS:000372457601025","View Full Record in Web of Science")</f>
        <v>View Full Record in Web of Science</v>
      </c>
    </row>
    <row r="556" spans="1:72" x14ac:dyDescent="0.15">
      <c r="A556" t="s">
        <v>72</v>
      </c>
      <c r="B556" t="s">
        <v>10791</v>
      </c>
      <c r="C556" t="s">
        <v>74</v>
      </c>
      <c r="D556" t="s">
        <v>74</v>
      </c>
      <c r="E556" t="s">
        <v>74</v>
      </c>
      <c r="F556" t="s">
        <v>10792</v>
      </c>
      <c r="G556" t="s">
        <v>74</v>
      </c>
      <c r="H556" t="s">
        <v>74</v>
      </c>
      <c r="I556" t="s">
        <v>10793</v>
      </c>
      <c r="J556" t="s">
        <v>10717</v>
      </c>
      <c r="K556" t="s">
        <v>74</v>
      </c>
      <c r="L556" t="s">
        <v>74</v>
      </c>
      <c r="M556" t="s">
        <v>78</v>
      </c>
      <c r="N556" t="s">
        <v>52</v>
      </c>
      <c r="O556" t="s">
        <v>10718</v>
      </c>
      <c r="P556" t="s">
        <v>10719</v>
      </c>
      <c r="Q556" t="s">
        <v>10720</v>
      </c>
      <c r="R556" t="s">
        <v>74</v>
      </c>
      <c r="S556" t="s">
        <v>74</v>
      </c>
      <c r="T556" t="s">
        <v>74</v>
      </c>
      <c r="U556" t="s">
        <v>74</v>
      </c>
      <c r="V556" t="s">
        <v>74</v>
      </c>
      <c r="W556" t="s">
        <v>10794</v>
      </c>
      <c r="X556" t="s">
        <v>8005</v>
      </c>
      <c r="Y556" t="s">
        <v>74</v>
      </c>
      <c r="Z556" t="s">
        <v>10795</v>
      </c>
      <c r="AA556" t="s">
        <v>10749</v>
      </c>
      <c r="AB556" t="s">
        <v>74</v>
      </c>
      <c r="AC556" t="s">
        <v>74</v>
      </c>
      <c r="AD556" t="s">
        <v>74</v>
      </c>
      <c r="AE556" t="s">
        <v>74</v>
      </c>
      <c r="AF556" t="s">
        <v>74</v>
      </c>
      <c r="AG556">
        <v>0</v>
      </c>
      <c r="AH556">
        <v>1</v>
      </c>
      <c r="AI556">
        <v>1</v>
      </c>
      <c r="AJ556">
        <v>0</v>
      </c>
      <c r="AK556">
        <v>8</v>
      </c>
      <c r="AL556" t="s">
        <v>7132</v>
      </c>
      <c r="AM556" t="s">
        <v>7133</v>
      </c>
      <c r="AN556" t="s">
        <v>7134</v>
      </c>
      <c r="AO556" t="s">
        <v>10724</v>
      </c>
      <c r="AP556" t="s">
        <v>10725</v>
      </c>
      <c r="AQ556" t="s">
        <v>74</v>
      </c>
      <c r="AR556" t="s">
        <v>10726</v>
      </c>
      <c r="AS556" t="s">
        <v>10727</v>
      </c>
      <c r="AT556" t="s">
        <v>10046</v>
      </c>
      <c r="AU556">
        <v>2016</v>
      </c>
      <c r="AV556">
        <v>56</v>
      </c>
      <c r="AW556" t="s">
        <v>74</v>
      </c>
      <c r="AX556" t="s">
        <v>74</v>
      </c>
      <c r="AY556">
        <v>1</v>
      </c>
      <c r="AZ556" t="s">
        <v>74</v>
      </c>
      <c r="BA556" t="s">
        <v>10796</v>
      </c>
      <c r="BB556" t="s">
        <v>10797</v>
      </c>
      <c r="BC556" t="s">
        <v>10797</v>
      </c>
      <c r="BD556" t="s">
        <v>74</v>
      </c>
      <c r="BE556" t="s">
        <v>74</v>
      </c>
      <c r="BF556" t="s">
        <v>74</v>
      </c>
      <c r="BG556" t="s">
        <v>74</v>
      </c>
      <c r="BH556" t="s">
        <v>74</v>
      </c>
      <c r="BI556">
        <v>1</v>
      </c>
      <c r="BJ556" t="s">
        <v>541</v>
      </c>
      <c r="BK556" t="s">
        <v>6412</v>
      </c>
      <c r="BL556" t="s">
        <v>541</v>
      </c>
      <c r="BM556" t="s">
        <v>10730</v>
      </c>
      <c r="BN556" t="s">
        <v>74</v>
      </c>
      <c r="BO556" t="s">
        <v>74</v>
      </c>
      <c r="BP556" t="s">
        <v>74</v>
      </c>
      <c r="BQ556" t="s">
        <v>74</v>
      </c>
      <c r="BR556" t="s">
        <v>106</v>
      </c>
      <c r="BS556" t="s">
        <v>10798</v>
      </c>
      <c r="BT556" t="str">
        <f>HYPERLINK("https%3A%2F%2Fwww.webofscience.com%2Fwos%2Fwoscc%2Ffull-record%2FWOS:000372457601098","View Full Record in Web of Science")</f>
        <v>View Full Record in Web of Science</v>
      </c>
    </row>
    <row r="557" spans="1:72" x14ac:dyDescent="0.15">
      <c r="A557" t="s">
        <v>72</v>
      </c>
      <c r="B557" t="s">
        <v>10799</v>
      </c>
      <c r="C557" t="s">
        <v>74</v>
      </c>
      <c r="D557" t="s">
        <v>74</v>
      </c>
      <c r="E557" t="s">
        <v>74</v>
      </c>
      <c r="F557" t="s">
        <v>10800</v>
      </c>
      <c r="G557" t="s">
        <v>74</v>
      </c>
      <c r="H557" t="s">
        <v>74</v>
      </c>
      <c r="I557" t="s">
        <v>10801</v>
      </c>
      <c r="J557" t="s">
        <v>10717</v>
      </c>
      <c r="K557" t="s">
        <v>74</v>
      </c>
      <c r="L557" t="s">
        <v>74</v>
      </c>
      <c r="M557" t="s">
        <v>78</v>
      </c>
      <c r="N557" t="s">
        <v>52</v>
      </c>
      <c r="O557" t="s">
        <v>10718</v>
      </c>
      <c r="P557" t="s">
        <v>10719</v>
      </c>
      <c r="Q557" t="s">
        <v>10720</v>
      </c>
      <c r="R557" t="s">
        <v>74</v>
      </c>
      <c r="S557" t="s">
        <v>74</v>
      </c>
      <c r="T557" t="s">
        <v>74</v>
      </c>
      <c r="U557" t="s">
        <v>74</v>
      </c>
      <c r="V557" t="s">
        <v>74</v>
      </c>
      <c r="W557" t="s">
        <v>10802</v>
      </c>
      <c r="X557" t="s">
        <v>10803</v>
      </c>
      <c r="Y557" t="s">
        <v>74</v>
      </c>
      <c r="Z557" t="s">
        <v>10804</v>
      </c>
      <c r="AA557" t="s">
        <v>3077</v>
      </c>
      <c r="AB557" t="s">
        <v>74</v>
      </c>
      <c r="AC557" t="s">
        <v>74</v>
      </c>
      <c r="AD557" t="s">
        <v>74</v>
      </c>
      <c r="AE557" t="s">
        <v>74</v>
      </c>
      <c r="AF557" t="s">
        <v>74</v>
      </c>
      <c r="AG557">
        <v>0</v>
      </c>
      <c r="AH557">
        <v>0</v>
      </c>
      <c r="AI557">
        <v>0</v>
      </c>
      <c r="AJ557">
        <v>0</v>
      </c>
      <c r="AK557">
        <v>0</v>
      </c>
      <c r="AL557" t="s">
        <v>7132</v>
      </c>
      <c r="AM557" t="s">
        <v>7133</v>
      </c>
      <c r="AN557" t="s">
        <v>7134</v>
      </c>
      <c r="AO557" t="s">
        <v>10724</v>
      </c>
      <c r="AP557" t="s">
        <v>10725</v>
      </c>
      <c r="AQ557" t="s">
        <v>74</v>
      </c>
      <c r="AR557" t="s">
        <v>10726</v>
      </c>
      <c r="AS557" t="s">
        <v>10727</v>
      </c>
      <c r="AT557" t="s">
        <v>10046</v>
      </c>
      <c r="AU557">
        <v>2016</v>
      </c>
      <c r="AV557">
        <v>56</v>
      </c>
      <c r="AW557" t="s">
        <v>74</v>
      </c>
      <c r="AX557" t="s">
        <v>74</v>
      </c>
      <c r="AY557">
        <v>1</v>
      </c>
      <c r="AZ557" t="s">
        <v>74</v>
      </c>
      <c r="BA557" t="s">
        <v>10805</v>
      </c>
      <c r="BB557" t="s">
        <v>10806</v>
      </c>
      <c r="BC557" t="s">
        <v>10806</v>
      </c>
      <c r="BD557" t="s">
        <v>74</v>
      </c>
      <c r="BE557" t="s">
        <v>74</v>
      </c>
      <c r="BF557" t="s">
        <v>74</v>
      </c>
      <c r="BG557" t="s">
        <v>74</v>
      </c>
      <c r="BH557" t="s">
        <v>74</v>
      </c>
      <c r="BI557">
        <v>1</v>
      </c>
      <c r="BJ557" t="s">
        <v>541</v>
      </c>
      <c r="BK557" t="s">
        <v>6412</v>
      </c>
      <c r="BL557" t="s">
        <v>541</v>
      </c>
      <c r="BM557" t="s">
        <v>10730</v>
      </c>
      <c r="BN557" t="s">
        <v>74</v>
      </c>
      <c r="BO557" t="s">
        <v>74</v>
      </c>
      <c r="BP557" t="s">
        <v>74</v>
      </c>
      <c r="BQ557" t="s">
        <v>74</v>
      </c>
      <c r="BR557" t="s">
        <v>106</v>
      </c>
      <c r="BS557" t="s">
        <v>10807</v>
      </c>
      <c r="BT557" t="str">
        <f>HYPERLINK("https%3A%2F%2Fwww.webofscience.com%2Fwos%2Fwoscc%2Ffull-record%2FWOS:000372457601142","View Full Record in Web of Science")</f>
        <v>View Full Record in Web of Science</v>
      </c>
    </row>
    <row r="558" spans="1:72" x14ac:dyDescent="0.15">
      <c r="A558" t="s">
        <v>72</v>
      </c>
      <c r="B558" t="s">
        <v>10808</v>
      </c>
      <c r="C558" t="s">
        <v>74</v>
      </c>
      <c r="D558" t="s">
        <v>74</v>
      </c>
      <c r="E558" t="s">
        <v>74</v>
      </c>
      <c r="F558" t="s">
        <v>10809</v>
      </c>
      <c r="G558" t="s">
        <v>74</v>
      </c>
      <c r="H558" t="s">
        <v>74</v>
      </c>
      <c r="I558" t="s">
        <v>10810</v>
      </c>
      <c r="J558" t="s">
        <v>10717</v>
      </c>
      <c r="K558" t="s">
        <v>74</v>
      </c>
      <c r="L558" t="s">
        <v>74</v>
      </c>
      <c r="M558" t="s">
        <v>78</v>
      </c>
      <c r="N558" t="s">
        <v>52</v>
      </c>
      <c r="O558" t="s">
        <v>10718</v>
      </c>
      <c r="P558" t="s">
        <v>10719</v>
      </c>
      <c r="Q558" t="s">
        <v>10720</v>
      </c>
      <c r="R558" t="s">
        <v>74</v>
      </c>
      <c r="S558" t="s">
        <v>74</v>
      </c>
      <c r="T558" t="s">
        <v>74</v>
      </c>
      <c r="U558" t="s">
        <v>74</v>
      </c>
      <c r="V558" t="s">
        <v>74</v>
      </c>
      <c r="W558" t="s">
        <v>10811</v>
      </c>
      <c r="X558" t="s">
        <v>10722</v>
      </c>
      <c r="Y558" t="s">
        <v>74</v>
      </c>
      <c r="Z558" t="s">
        <v>10812</v>
      </c>
      <c r="AA558" t="s">
        <v>74</v>
      </c>
      <c r="AB558" t="s">
        <v>74</v>
      </c>
      <c r="AC558" t="s">
        <v>74</v>
      </c>
      <c r="AD558" t="s">
        <v>74</v>
      </c>
      <c r="AE558" t="s">
        <v>74</v>
      </c>
      <c r="AF558" t="s">
        <v>74</v>
      </c>
      <c r="AG558">
        <v>0</v>
      </c>
      <c r="AH558">
        <v>0</v>
      </c>
      <c r="AI558">
        <v>0</v>
      </c>
      <c r="AJ558">
        <v>0</v>
      </c>
      <c r="AK558">
        <v>4</v>
      </c>
      <c r="AL558" t="s">
        <v>7132</v>
      </c>
      <c r="AM558" t="s">
        <v>7133</v>
      </c>
      <c r="AN558" t="s">
        <v>7134</v>
      </c>
      <c r="AO558" t="s">
        <v>10724</v>
      </c>
      <c r="AP558" t="s">
        <v>10725</v>
      </c>
      <c r="AQ558" t="s">
        <v>74</v>
      </c>
      <c r="AR558" t="s">
        <v>10726</v>
      </c>
      <c r="AS558" t="s">
        <v>10727</v>
      </c>
      <c r="AT558" t="s">
        <v>10046</v>
      </c>
      <c r="AU558">
        <v>2016</v>
      </c>
      <c r="AV558">
        <v>56</v>
      </c>
      <c r="AW558" t="s">
        <v>74</v>
      </c>
      <c r="AX558" t="s">
        <v>74</v>
      </c>
      <c r="AY558">
        <v>1</v>
      </c>
      <c r="AZ558" t="s">
        <v>74</v>
      </c>
      <c r="BA558" t="s">
        <v>10813</v>
      </c>
      <c r="BB558" t="s">
        <v>10814</v>
      </c>
      <c r="BC558" t="s">
        <v>10814</v>
      </c>
      <c r="BD558" t="s">
        <v>74</v>
      </c>
      <c r="BE558" t="s">
        <v>74</v>
      </c>
      <c r="BF558" t="s">
        <v>74</v>
      </c>
      <c r="BG558" t="s">
        <v>74</v>
      </c>
      <c r="BH558" t="s">
        <v>74</v>
      </c>
      <c r="BI558">
        <v>1</v>
      </c>
      <c r="BJ558" t="s">
        <v>541</v>
      </c>
      <c r="BK558" t="s">
        <v>6412</v>
      </c>
      <c r="BL558" t="s">
        <v>541</v>
      </c>
      <c r="BM558" t="s">
        <v>10730</v>
      </c>
      <c r="BN558" t="s">
        <v>74</v>
      </c>
      <c r="BO558" t="s">
        <v>74</v>
      </c>
      <c r="BP558" t="s">
        <v>74</v>
      </c>
      <c r="BQ558" t="s">
        <v>74</v>
      </c>
      <c r="BR558" t="s">
        <v>106</v>
      </c>
      <c r="BS558" t="s">
        <v>10815</v>
      </c>
      <c r="BT558" t="str">
        <f>HYPERLINK("https%3A%2F%2Fwww.webofscience.com%2Fwos%2Fwoscc%2Ffull-record%2FWOS:000372457601175","View Full Record in Web of Science")</f>
        <v>View Full Record in Web of Science</v>
      </c>
    </row>
    <row r="559" spans="1:72" x14ac:dyDescent="0.15">
      <c r="A559" t="s">
        <v>72</v>
      </c>
      <c r="B559" t="s">
        <v>10816</v>
      </c>
      <c r="C559" t="s">
        <v>74</v>
      </c>
      <c r="D559" t="s">
        <v>74</v>
      </c>
      <c r="E559" t="s">
        <v>74</v>
      </c>
      <c r="F559" t="s">
        <v>10817</v>
      </c>
      <c r="G559" t="s">
        <v>74</v>
      </c>
      <c r="H559" t="s">
        <v>74</v>
      </c>
      <c r="I559" t="s">
        <v>10818</v>
      </c>
      <c r="J559" t="s">
        <v>10717</v>
      </c>
      <c r="K559" t="s">
        <v>74</v>
      </c>
      <c r="L559" t="s">
        <v>74</v>
      </c>
      <c r="M559" t="s">
        <v>78</v>
      </c>
      <c r="N559" t="s">
        <v>52</v>
      </c>
      <c r="O559" t="s">
        <v>10718</v>
      </c>
      <c r="P559" t="s">
        <v>10719</v>
      </c>
      <c r="Q559" t="s">
        <v>10720</v>
      </c>
      <c r="R559" t="s">
        <v>74</v>
      </c>
      <c r="S559" t="s">
        <v>74</v>
      </c>
      <c r="T559" t="s">
        <v>74</v>
      </c>
      <c r="U559" t="s">
        <v>74</v>
      </c>
      <c r="V559" t="s">
        <v>74</v>
      </c>
      <c r="W559" t="s">
        <v>10819</v>
      </c>
      <c r="X559" t="s">
        <v>10803</v>
      </c>
      <c r="Y559" t="s">
        <v>74</v>
      </c>
      <c r="Z559" t="s">
        <v>10820</v>
      </c>
      <c r="AA559" t="s">
        <v>74</v>
      </c>
      <c r="AB559" t="s">
        <v>74</v>
      </c>
      <c r="AC559" t="s">
        <v>74</v>
      </c>
      <c r="AD559" t="s">
        <v>74</v>
      </c>
      <c r="AE559" t="s">
        <v>74</v>
      </c>
      <c r="AF559" t="s">
        <v>74</v>
      </c>
      <c r="AG559">
        <v>0</v>
      </c>
      <c r="AH559">
        <v>0</v>
      </c>
      <c r="AI559">
        <v>0</v>
      </c>
      <c r="AJ559">
        <v>0</v>
      </c>
      <c r="AK559">
        <v>0</v>
      </c>
      <c r="AL559" t="s">
        <v>7132</v>
      </c>
      <c r="AM559" t="s">
        <v>7133</v>
      </c>
      <c r="AN559" t="s">
        <v>7134</v>
      </c>
      <c r="AO559" t="s">
        <v>10724</v>
      </c>
      <c r="AP559" t="s">
        <v>10725</v>
      </c>
      <c r="AQ559" t="s">
        <v>74</v>
      </c>
      <c r="AR559" t="s">
        <v>10726</v>
      </c>
      <c r="AS559" t="s">
        <v>10727</v>
      </c>
      <c r="AT559" t="s">
        <v>10046</v>
      </c>
      <c r="AU559">
        <v>2016</v>
      </c>
      <c r="AV559">
        <v>56</v>
      </c>
      <c r="AW559" t="s">
        <v>74</v>
      </c>
      <c r="AX559" t="s">
        <v>74</v>
      </c>
      <c r="AY559">
        <v>1</v>
      </c>
      <c r="AZ559" t="s">
        <v>74</v>
      </c>
      <c r="BA559" t="s">
        <v>10821</v>
      </c>
      <c r="BB559" t="s">
        <v>10822</v>
      </c>
      <c r="BC559" t="s">
        <v>10822</v>
      </c>
      <c r="BD559" t="s">
        <v>74</v>
      </c>
      <c r="BE559" t="s">
        <v>74</v>
      </c>
      <c r="BF559" t="s">
        <v>74</v>
      </c>
      <c r="BG559" t="s">
        <v>74</v>
      </c>
      <c r="BH559" t="s">
        <v>74</v>
      </c>
      <c r="BI559">
        <v>1</v>
      </c>
      <c r="BJ559" t="s">
        <v>541</v>
      </c>
      <c r="BK559" t="s">
        <v>6412</v>
      </c>
      <c r="BL559" t="s">
        <v>541</v>
      </c>
      <c r="BM559" t="s">
        <v>10730</v>
      </c>
      <c r="BN559" t="s">
        <v>74</v>
      </c>
      <c r="BO559" t="s">
        <v>74</v>
      </c>
      <c r="BP559" t="s">
        <v>74</v>
      </c>
      <c r="BQ559" t="s">
        <v>74</v>
      </c>
      <c r="BR559" t="s">
        <v>106</v>
      </c>
      <c r="BS559" t="s">
        <v>10823</v>
      </c>
      <c r="BT559" t="str">
        <f>HYPERLINK("https%3A%2F%2Fwww.webofscience.com%2Fwos%2Fwoscc%2Ffull-record%2FWOS:000372457601859","View Full Record in Web of Science")</f>
        <v>View Full Record in Web of Science</v>
      </c>
    </row>
    <row r="560" spans="1:72" x14ac:dyDescent="0.15">
      <c r="A560" t="s">
        <v>72</v>
      </c>
      <c r="B560" t="s">
        <v>10824</v>
      </c>
      <c r="C560" t="s">
        <v>74</v>
      </c>
      <c r="D560" t="s">
        <v>74</v>
      </c>
      <c r="E560" t="s">
        <v>74</v>
      </c>
      <c r="F560" t="s">
        <v>10825</v>
      </c>
      <c r="G560" t="s">
        <v>74</v>
      </c>
      <c r="H560" t="s">
        <v>74</v>
      </c>
      <c r="I560" t="s">
        <v>10826</v>
      </c>
      <c r="J560" t="s">
        <v>3609</v>
      </c>
      <c r="K560" t="s">
        <v>74</v>
      </c>
      <c r="L560" t="s">
        <v>74</v>
      </c>
      <c r="M560" t="s">
        <v>78</v>
      </c>
      <c r="N560" t="s">
        <v>79</v>
      </c>
      <c r="O560" t="s">
        <v>74</v>
      </c>
      <c r="P560" t="s">
        <v>74</v>
      </c>
      <c r="Q560" t="s">
        <v>74</v>
      </c>
      <c r="R560" t="s">
        <v>74</v>
      </c>
      <c r="S560" t="s">
        <v>74</v>
      </c>
      <c r="T560" t="s">
        <v>10827</v>
      </c>
      <c r="U560" t="s">
        <v>10828</v>
      </c>
      <c r="V560" t="s">
        <v>10829</v>
      </c>
      <c r="W560" t="s">
        <v>10830</v>
      </c>
      <c r="X560" t="s">
        <v>10831</v>
      </c>
      <c r="Y560" t="s">
        <v>10832</v>
      </c>
      <c r="Z560" t="s">
        <v>10833</v>
      </c>
      <c r="AA560" t="s">
        <v>10834</v>
      </c>
      <c r="AB560" t="s">
        <v>10835</v>
      </c>
      <c r="AC560" t="s">
        <v>10836</v>
      </c>
      <c r="AD560" t="s">
        <v>10837</v>
      </c>
      <c r="AE560" t="s">
        <v>10838</v>
      </c>
      <c r="AF560" t="s">
        <v>74</v>
      </c>
      <c r="AG560">
        <v>60</v>
      </c>
      <c r="AH560">
        <v>5</v>
      </c>
      <c r="AI560">
        <v>6</v>
      </c>
      <c r="AJ560">
        <v>1</v>
      </c>
      <c r="AK560">
        <v>25</v>
      </c>
      <c r="AL560" t="s">
        <v>1829</v>
      </c>
      <c r="AM560" t="s">
        <v>679</v>
      </c>
      <c r="AN560" t="s">
        <v>1830</v>
      </c>
      <c r="AO560" t="s">
        <v>3622</v>
      </c>
      <c r="AP560" t="s">
        <v>3623</v>
      </c>
      <c r="AQ560" t="s">
        <v>74</v>
      </c>
      <c r="AR560" t="s">
        <v>3624</v>
      </c>
      <c r="AS560" t="s">
        <v>3625</v>
      </c>
      <c r="AT560" t="s">
        <v>10046</v>
      </c>
      <c r="AU560">
        <v>2016</v>
      </c>
      <c r="AV560">
        <v>140</v>
      </c>
      <c r="AW560" t="s">
        <v>74</v>
      </c>
      <c r="AX560" t="s">
        <v>74</v>
      </c>
      <c r="AY560" t="s">
        <v>74</v>
      </c>
      <c r="AZ560" t="s">
        <v>74</v>
      </c>
      <c r="BA560" t="s">
        <v>74</v>
      </c>
      <c r="BB560">
        <v>65</v>
      </c>
      <c r="BC560">
        <v>78</v>
      </c>
      <c r="BD560" t="s">
        <v>74</v>
      </c>
      <c r="BE560" t="s">
        <v>10839</v>
      </c>
      <c r="BF560" t="str">
        <f>HYPERLINK("http://dx.doi.org/10.1016/j.jastp.2016.02.009","http://dx.doi.org/10.1016/j.jastp.2016.02.009")</f>
        <v>http://dx.doi.org/10.1016/j.jastp.2016.02.009</v>
      </c>
      <c r="BG560" t="s">
        <v>74</v>
      </c>
      <c r="BH560" t="s">
        <v>74</v>
      </c>
      <c r="BI560">
        <v>14</v>
      </c>
      <c r="BJ560" t="s">
        <v>3627</v>
      </c>
      <c r="BK560" t="s">
        <v>102</v>
      </c>
      <c r="BL560" t="s">
        <v>3627</v>
      </c>
      <c r="BM560" t="s">
        <v>10840</v>
      </c>
      <c r="BN560" t="s">
        <v>74</v>
      </c>
      <c r="BO560" t="s">
        <v>222</v>
      </c>
      <c r="BP560" t="s">
        <v>74</v>
      </c>
      <c r="BQ560" t="s">
        <v>74</v>
      </c>
      <c r="BR560" t="s">
        <v>106</v>
      </c>
      <c r="BS560" t="s">
        <v>10841</v>
      </c>
      <c r="BT560" t="str">
        <f>HYPERLINK("https%3A%2F%2Fwww.webofscience.com%2Fwos%2Fwoscc%2Ffull-record%2FWOS:000372762200008","View Full Record in Web of Science")</f>
        <v>View Full Record in Web of Science</v>
      </c>
    </row>
    <row r="561" spans="1:72" x14ac:dyDescent="0.15">
      <c r="A561" t="s">
        <v>72</v>
      </c>
      <c r="B561" t="s">
        <v>10842</v>
      </c>
      <c r="C561" t="s">
        <v>74</v>
      </c>
      <c r="D561" t="s">
        <v>74</v>
      </c>
      <c r="E561" t="s">
        <v>74</v>
      </c>
      <c r="F561" t="s">
        <v>10843</v>
      </c>
      <c r="G561" t="s">
        <v>74</v>
      </c>
      <c r="H561" t="s">
        <v>74</v>
      </c>
      <c r="I561" t="s">
        <v>10844</v>
      </c>
      <c r="J561" t="s">
        <v>10845</v>
      </c>
      <c r="K561" t="s">
        <v>74</v>
      </c>
      <c r="L561" t="s">
        <v>74</v>
      </c>
      <c r="M561" t="s">
        <v>78</v>
      </c>
      <c r="N561" t="s">
        <v>79</v>
      </c>
      <c r="O561" t="s">
        <v>74</v>
      </c>
      <c r="P561" t="s">
        <v>74</v>
      </c>
      <c r="Q561" t="s">
        <v>74</v>
      </c>
      <c r="R561" t="s">
        <v>74</v>
      </c>
      <c r="S561" t="s">
        <v>74</v>
      </c>
      <c r="T561" t="s">
        <v>10846</v>
      </c>
      <c r="U561" t="s">
        <v>10847</v>
      </c>
      <c r="V561" t="s">
        <v>10848</v>
      </c>
      <c r="W561" t="s">
        <v>10849</v>
      </c>
      <c r="X561" t="s">
        <v>10850</v>
      </c>
      <c r="Y561" t="s">
        <v>10851</v>
      </c>
      <c r="Z561" t="s">
        <v>10852</v>
      </c>
      <c r="AA561" t="s">
        <v>10853</v>
      </c>
      <c r="AB561" t="s">
        <v>10854</v>
      </c>
      <c r="AC561" t="s">
        <v>10855</v>
      </c>
      <c r="AD561" t="s">
        <v>10856</v>
      </c>
      <c r="AE561" t="s">
        <v>10857</v>
      </c>
      <c r="AF561" t="s">
        <v>74</v>
      </c>
      <c r="AG561">
        <v>46</v>
      </c>
      <c r="AH561">
        <v>13</v>
      </c>
      <c r="AI561">
        <v>14</v>
      </c>
      <c r="AJ561">
        <v>1</v>
      </c>
      <c r="AK561">
        <v>28</v>
      </c>
      <c r="AL561" t="s">
        <v>10858</v>
      </c>
      <c r="AM561" t="s">
        <v>10859</v>
      </c>
      <c r="AN561" t="s">
        <v>10860</v>
      </c>
      <c r="AO561" t="s">
        <v>10861</v>
      </c>
      <c r="AP561" t="s">
        <v>10862</v>
      </c>
      <c r="AQ561" t="s">
        <v>74</v>
      </c>
      <c r="AR561" t="s">
        <v>10863</v>
      </c>
      <c r="AS561" t="s">
        <v>10864</v>
      </c>
      <c r="AT561" t="s">
        <v>10046</v>
      </c>
      <c r="AU561">
        <v>2016</v>
      </c>
      <c r="AV561">
        <v>47</v>
      </c>
      <c r="AW561">
        <v>1</v>
      </c>
      <c r="AX561" t="s">
        <v>74</v>
      </c>
      <c r="AY561" t="s">
        <v>74</v>
      </c>
      <c r="AZ561" t="s">
        <v>74</v>
      </c>
      <c r="BA561" t="s">
        <v>74</v>
      </c>
      <c r="BB561">
        <v>132</v>
      </c>
      <c r="BC561">
        <v>140</v>
      </c>
      <c r="BD561" t="s">
        <v>74</v>
      </c>
      <c r="BE561" t="s">
        <v>10865</v>
      </c>
      <c r="BF561" t="str">
        <f>HYPERLINK("http://dx.doi.org/10.1638/2015-0090.1","http://dx.doi.org/10.1638/2015-0090.1")</f>
        <v>http://dx.doi.org/10.1638/2015-0090.1</v>
      </c>
      <c r="BG561" t="s">
        <v>74</v>
      </c>
      <c r="BH561" t="s">
        <v>74</v>
      </c>
      <c r="BI561">
        <v>9</v>
      </c>
      <c r="BJ561" t="s">
        <v>10866</v>
      </c>
      <c r="BK561" t="s">
        <v>102</v>
      </c>
      <c r="BL561" t="s">
        <v>10866</v>
      </c>
      <c r="BM561" t="s">
        <v>10867</v>
      </c>
      <c r="BN561">
        <v>27010274</v>
      </c>
      <c r="BO561" t="s">
        <v>74</v>
      </c>
      <c r="BP561" t="s">
        <v>74</v>
      </c>
      <c r="BQ561" t="s">
        <v>74</v>
      </c>
      <c r="BR561" t="s">
        <v>106</v>
      </c>
      <c r="BS561" t="s">
        <v>10868</v>
      </c>
      <c r="BT561" t="str">
        <f>HYPERLINK("https%3A%2F%2Fwww.webofscience.com%2Fwos%2Fwoscc%2Ffull-record%2FWOS:000373211000018","View Full Record in Web of Science")</f>
        <v>View Full Record in Web of Science</v>
      </c>
    </row>
    <row r="562" spans="1:72" x14ac:dyDescent="0.15">
      <c r="A562" t="s">
        <v>72</v>
      </c>
      <c r="B562" t="s">
        <v>10869</v>
      </c>
      <c r="C562" t="s">
        <v>74</v>
      </c>
      <c r="D562" t="s">
        <v>74</v>
      </c>
      <c r="E562" t="s">
        <v>74</v>
      </c>
      <c r="F562" t="s">
        <v>10870</v>
      </c>
      <c r="G562" t="s">
        <v>74</v>
      </c>
      <c r="H562" t="s">
        <v>74</v>
      </c>
      <c r="I562" t="s">
        <v>10871</v>
      </c>
      <c r="J562" t="s">
        <v>10872</v>
      </c>
      <c r="K562" t="s">
        <v>74</v>
      </c>
      <c r="L562" t="s">
        <v>74</v>
      </c>
      <c r="M562" t="s">
        <v>78</v>
      </c>
      <c r="N562" t="s">
        <v>79</v>
      </c>
      <c r="O562" t="s">
        <v>74</v>
      </c>
      <c r="P562" t="s">
        <v>74</v>
      </c>
      <c r="Q562" t="s">
        <v>74</v>
      </c>
      <c r="R562" t="s">
        <v>74</v>
      </c>
      <c r="S562" t="s">
        <v>74</v>
      </c>
      <c r="T562" t="s">
        <v>74</v>
      </c>
      <c r="U562" t="s">
        <v>10873</v>
      </c>
      <c r="V562" t="s">
        <v>10874</v>
      </c>
      <c r="W562" t="s">
        <v>10875</v>
      </c>
      <c r="X562" t="s">
        <v>10876</v>
      </c>
      <c r="Y562" t="s">
        <v>10877</v>
      </c>
      <c r="Z562" t="s">
        <v>10878</v>
      </c>
      <c r="AA562" t="s">
        <v>10879</v>
      </c>
      <c r="AB562" t="s">
        <v>10880</v>
      </c>
      <c r="AC562" t="s">
        <v>74</v>
      </c>
      <c r="AD562" t="s">
        <v>74</v>
      </c>
      <c r="AE562" t="s">
        <v>74</v>
      </c>
      <c r="AF562" t="s">
        <v>74</v>
      </c>
      <c r="AG562">
        <v>31</v>
      </c>
      <c r="AH562">
        <v>24</v>
      </c>
      <c r="AI562">
        <v>26</v>
      </c>
      <c r="AJ562">
        <v>3</v>
      </c>
      <c r="AK562">
        <v>39</v>
      </c>
      <c r="AL562" t="s">
        <v>1207</v>
      </c>
      <c r="AM562" t="s">
        <v>1208</v>
      </c>
      <c r="AN562" t="s">
        <v>1209</v>
      </c>
      <c r="AO562" t="s">
        <v>10881</v>
      </c>
      <c r="AP562" t="s">
        <v>10882</v>
      </c>
      <c r="AQ562" t="s">
        <v>74</v>
      </c>
      <c r="AR562" t="s">
        <v>10883</v>
      </c>
      <c r="AS562" t="s">
        <v>10884</v>
      </c>
      <c r="AT562" t="s">
        <v>10046</v>
      </c>
      <c r="AU562">
        <v>2016</v>
      </c>
      <c r="AV562">
        <v>14</v>
      </c>
      <c r="AW562">
        <v>3</v>
      </c>
      <c r="AX562" t="s">
        <v>74</v>
      </c>
      <c r="AY562" t="s">
        <v>74</v>
      </c>
      <c r="AZ562" t="s">
        <v>74</v>
      </c>
      <c r="BA562" t="s">
        <v>74</v>
      </c>
      <c r="BB562" t="s">
        <v>74</v>
      </c>
      <c r="BC562" t="s">
        <v>74</v>
      </c>
      <c r="BD562" t="s">
        <v>10885</v>
      </c>
      <c r="BE562" t="s">
        <v>10886</v>
      </c>
      <c r="BF562" t="str">
        <f>HYPERLINK("http://dx.doi.org/10.1371/journal.pbio.1002422","http://dx.doi.org/10.1371/journal.pbio.1002422")</f>
        <v>http://dx.doi.org/10.1371/journal.pbio.1002422</v>
      </c>
      <c r="BG562" t="s">
        <v>74</v>
      </c>
      <c r="BH562" t="s">
        <v>74</v>
      </c>
      <c r="BI562">
        <v>7</v>
      </c>
      <c r="BJ562" t="s">
        <v>10887</v>
      </c>
      <c r="BK562" t="s">
        <v>102</v>
      </c>
      <c r="BL562" t="s">
        <v>10888</v>
      </c>
      <c r="BM562" t="s">
        <v>10889</v>
      </c>
      <c r="BN562">
        <v>27031949</v>
      </c>
      <c r="BO562" t="s">
        <v>10890</v>
      </c>
      <c r="BP562" t="s">
        <v>74</v>
      </c>
      <c r="BQ562" t="s">
        <v>74</v>
      </c>
      <c r="BR562" t="s">
        <v>106</v>
      </c>
      <c r="BS562" t="s">
        <v>10891</v>
      </c>
      <c r="BT562" t="str">
        <f>HYPERLINK("https%3A%2F%2Fwww.webofscience.com%2Fwos%2Fwoscc%2Ffull-record%2FWOS:000373038200036","View Full Record in Web of Science")</f>
        <v>View Full Record in Web of Science</v>
      </c>
    </row>
    <row r="563" spans="1:72" x14ac:dyDescent="0.15">
      <c r="A563" t="s">
        <v>72</v>
      </c>
      <c r="B563" t="s">
        <v>10892</v>
      </c>
      <c r="C563" t="s">
        <v>74</v>
      </c>
      <c r="D563" t="s">
        <v>74</v>
      </c>
      <c r="E563" t="s">
        <v>74</v>
      </c>
      <c r="F563" t="s">
        <v>10893</v>
      </c>
      <c r="G563" t="s">
        <v>74</v>
      </c>
      <c r="H563" t="s">
        <v>74</v>
      </c>
      <c r="I563" t="s">
        <v>10894</v>
      </c>
      <c r="J563" t="s">
        <v>10895</v>
      </c>
      <c r="K563" t="s">
        <v>74</v>
      </c>
      <c r="L563" t="s">
        <v>74</v>
      </c>
      <c r="M563" t="s">
        <v>78</v>
      </c>
      <c r="N563" t="s">
        <v>79</v>
      </c>
      <c r="O563" t="s">
        <v>74</v>
      </c>
      <c r="P563" t="s">
        <v>74</v>
      </c>
      <c r="Q563" t="s">
        <v>74</v>
      </c>
      <c r="R563" t="s">
        <v>74</v>
      </c>
      <c r="S563" t="s">
        <v>74</v>
      </c>
      <c r="T563" t="s">
        <v>74</v>
      </c>
      <c r="U563" t="s">
        <v>74</v>
      </c>
      <c r="V563" t="s">
        <v>74</v>
      </c>
      <c r="W563" t="s">
        <v>74</v>
      </c>
      <c r="X563" t="s">
        <v>74</v>
      </c>
      <c r="Y563" t="s">
        <v>74</v>
      </c>
      <c r="Z563" t="s">
        <v>74</v>
      </c>
      <c r="AA563" t="s">
        <v>74</v>
      </c>
      <c r="AB563" t="s">
        <v>74</v>
      </c>
      <c r="AC563" t="s">
        <v>74</v>
      </c>
      <c r="AD563" t="s">
        <v>74</v>
      </c>
      <c r="AE563" t="s">
        <v>74</v>
      </c>
      <c r="AF563" t="s">
        <v>74</v>
      </c>
      <c r="AG563">
        <v>0</v>
      </c>
      <c r="AH563">
        <v>1</v>
      </c>
      <c r="AI563">
        <v>1</v>
      </c>
      <c r="AJ563">
        <v>0</v>
      </c>
      <c r="AK563">
        <v>1</v>
      </c>
      <c r="AL563" t="s">
        <v>10896</v>
      </c>
      <c r="AM563" t="s">
        <v>10897</v>
      </c>
      <c r="AN563" t="s">
        <v>10898</v>
      </c>
      <c r="AO563" t="s">
        <v>10899</v>
      </c>
      <c r="AP563" t="s">
        <v>74</v>
      </c>
      <c r="AQ563" t="s">
        <v>74</v>
      </c>
      <c r="AR563" t="s">
        <v>10900</v>
      </c>
      <c r="AS563" t="s">
        <v>10901</v>
      </c>
      <c r="AT563" t="s">
        <v>10046</v>
      </c>
      <c r="AU563">
        <v>2016</v>
      </c>
      <c r="AV563">
        <v>57</v>
      </c>
      <c r="AW563">
        <v>3</v>
      </c>
      <c r="AX563" t="s">
        <v>74</v>
      </c>
      <c r="AY563" t="s">
        <v>74</v>
      </c>
      <c r="AZ563" t="s">
        <v>74</v>
      </c>
      <c r="BA563" t="s">
        <v>74</v>
      </c>
      <c r="BB563">
        <v>38</v>
      </c>
      <c r="BC563">
        <v>42</v>
      </c>
      <c r="BD563" t="s">
        <v>74</v>
      </c>
      <c r="BE563" t="s">
        <v>74</v>
      </c>
      <c r="BF563" t="s">
        <v>74</v>
      </c>
      <c r="BG563" t="s">
        <v>74</v>
      </c>
      <c r="BH563" t="s">
        <v>74</v>
      </c>
      <c r="BI563">
        <v>5</v>
      </c>
      <c r="BJ563" t="s">
        <v>10902</v>
      </c>
      <c r="BK563" t="s">
        <v>102</v>
      </c>
      <c r="BL563" t="s">
        <v>10136</v>
      </c>
      <c r="BM563" t="s">
        <v>10903</v>
      </c>
      <c r="BN563" t="s">
        <v>74</v>
      </c>
      <c r="BO563" t="s">
        <v>74</v>
      </c>
      <c r="BP563" t="s">
        <v>74</v>
      </c>
      <c r="BQ563" t="s">
        <v>74</v>
      </c>
      <c r="BR563" t="s">
        <v>106</v>
      </c>
      <c r="BS563" t="s">
        <v>10904</v>
      </c>
      <c r="BT563" t="str">
        <f>HYPERLINK("https%3A%2F%2Fwww.webofscience.com%2Fwos%2Fwoscc%2Ffull-record%2FWOS:000373097400010","View Full Record in Web of Science")</f>
        <v>View Full Record in Web of Science</v>
      </c>
    </row>
    <row r="564" spans="1:72" x14ac:dyDescent="0.15">
      <c r="A564" t="s">
        <v>72</v>
      </c>
      <c r="B564" t="s">
        <v>10905</v>
      </c>
      <c r="C564" t="s">
        <v>74</v>
      </c>
      <c r="D564" t="s">
        <v>74</v>
      </c>
      <c r="E564" t="s">
        <v>74</v>
      </c>
      <c r="F564" t="s">
        <v>10906</v>
      </c>
      <c r="G564" t="s">
        <v>74</v>
      </c>
      <c r="H564" t="s">
        <v>74</v>
      </c>
      <c r="I564" t="s">
        <v>10907</v>
      </c>
      <c r="J564" t="s">
        <v>10908</v>
      </c>
      <c r="K564" t="s">
        <v>74</v>
      </c>
      <c r="L564" t="s">
        <v>74</v>
      </c>
      <c r="M564" t="s">
        <v>78</v>
      </c>
      <c r="N564" t="s">
        <v>79</v>
      </c>
      <c r="O564" t="s">
        <v>74</v>
      </c>
      <c r="P564" t="s">
        <v>74</v>
      </c>
      <c r="Q564" t="s">
        <v>74</v>
      </c>
      <c r="R564" t="s">
        <v>74</v>
      </c>
      <c r="S564" t="s">
        <v>74</v>
      </c>
      <c r="T564" t="s">
        <v>10909</v>
      </c>
      <c r="U564" t="s">
        <v>10910</v>
      </c>
      <c r="V564" t="s">
        <v>10911</v>
      </c>
      <c r="W564" t="s">
        <v>10912</v>
      </c>
      <c r="X564" t="s">
        <v>10913</v>
      </c>
      <c r="Y564" t="s">
        <v>10914</v>
      </c>
      <c r="Z564" t="s">
        <v>10915</v>
      </c>
      <c r="AA564" t="s">
        <v>10916</v>
      </c>
      <c r="AB564" t="s">
        <v>10917</v>
      </c>
      <c r="AC564" t="s">
        <v>10918</v>
      </c>
      <c r="AD564" t="s">
        <v>10918</v>
      </c>
      <c r="AE564" t="s">
        <v>10919</v>
      </c>
      <c r="AF564" t="s">
        <v>74</v>
      </c>
      <c r="AG564">
        <v>61</v>
      </c>
      <c r="AH564">
        <v>14</v>
      </c>
      <c r="AI564">
        <v>14</v>
      </c>
      <c r="AJ564">
        <v>0</v>
      </c>
      <c r="AK564">
        <v>12</v>
      </c>
      <c r="AL564" t="s">
        <v>194</v>
      </c>
      <c r="AM564" t="s">
        <v>195</v>
      </c>
      <c r="AN564" t="s">
        <v>196</v>
      </c>
      <c r="AO564" t="s">
        <v>10920</v>
      </c>
      <c r="AP564" t="s">
        <v>10921</v>
      </c>
      <c r="AQ564" t="s">
        <v>74</v>
      </c>
      <c r="AR564" t="s">
        <v>10922</v>
      </c>
      <c r="AS564" t="s">
        <v>10923</v>
      </c>
      <c r="AT564" t="s">
        <v>10046</v>
      </c>
      <c r="AU564">
        <v>2016</v>
      </c>
      <c r="AV564">
        <v>25</v>
      </c>
      <c r="AW564">
        <v>3</v>
      </c>
      <c r="AX564" t="s">
        <v>74</v>
      </c>
      <c r="AY564" t="s">
        <v>74</v>
      </c>
      <c r="AZ564" t="s">
        <v>74</v>
      </c>
      <c r="BA564" t="s">
        <v>74</v>
      </c>
      <c r="BB564">
        <v>485</v>
      </c>
      <c r="BC564">
        <v>502</v>
      </c>
      <c r="BD564" t="s">
        <v>74</v>
      </c>
      <c r="BE564" t="s">
        <v>10924</v>
      </c>
      <c r="BF564" t="str">
        <f>HYPERLINK("http://dx.doi.org/10.1007/s10531-016-1058-1","http://dx.doi.org/10.1007/s10531-016-1058-1")</f>
        <v>http://dx.doi.org/10.1007/s10531-016-1058-1</v>
      </c>
      <c r="BG564" t="s">
        <v>74</v>
      </c>
      <c r="BH564" t="s">
        <v>74</v>
      </c>
      <c r="BI564">
        <v>18</v>
      </c>
      <c r="BJ564" t="s">
        <v>132</v>
      </c>
      <c r="BK564" t="s">
        <v>102</v>
      </c>
      <c r="BL564" t="s">
        <v>133</v>
      </c>
      <c r="BM564" t="s">
        <v>10925</v>
      </c>
      <c r="BN564" t="s">
        <v>74</v>
      </c>
      <c r="BO564" t="s">
        <v>74</v>
      </c>
      <c r="BP564" t="s">
        <v>74</v>
      </c>
      <c r="BQ564" t="s">
        <v>74</v>
      </c>
      <c r="BR564" t="s">
        <v>106</v>
      </c>
      <c r="BS564" t="s">
        <v>10926</v>
      </c>
      <c r="BT564" t="str">
        <f>HYPERLINK("https%3A%2F%2Fwww.webofscience.com%2Fwos%2Fwoscc%2Ffull-record%2FWOS:000372298800005","View Full Record in Web of Science")</f>
        <v>View Full Record in Web of Science</v>
      </c>
    </row>
    <row r="565" spans="1:72" x14ac:dyDescent="0.15">
      <c r="A565" t="s">
        <v>72</v>
      </c>
      <c r="B565" t="s">
        <v>10927</v>
      </c>
      <c r="C565" t="s">
        <v>74</v>
      </c>
      <c r="D565" t="s">
        <v>74</v>
      </c>
      <c r="E565" t="s">
        <v>74</v>
      </c>
      <c r="F565" t="s">
        <v>10928</v>
      </c>
      <c r="G565" t="s">
        <v>74</v>
      </c>
      <c r="H565" t="s">
        <v>74</v>
      </c>
      <c r="I565" t="s">
        <v>10929</v>
      </c>
      <c r="J565" t="s">
        <v>547</v>
      </c>
      <c r="K565" t="s">
        <v>74</v>
      </c>
      <c r="L565" t="s">
        <v>74</v>
      </c>
      <c r="M565" t="s">
        <v>78</v>
      </c>
      <c r="N565" t="s">
        <v>79</v>
      </c>
      <c r="O565" t="s">
        <v>74</v>
      </c>
      <c r="P565" t="s">
        <v>74</v>
      </c>
      <c r="Q565" t="s">
        <v>74</v>
      </c>
      <c r="R565" t="s">
        <v>74</v>
      </c>
      <c r="S565" t="s">
        <v>74</v>
      </c>
      <c r="T565" t="s">
        <v>74</v>
      </c>
      <c r="U565" t="s">
        <v>10930</v>
      </c>
      <c r="V565" t="s">
        <v>10931</v>
      </c>
      <c r="W565" t="s">
        <v>10932</v>
      </c>
      <c r="X565" t="s">
        <v>10933</v>
      </c>
      <c r="Y565" t="s">
        <v>10934</v>
      </c>
      <c r="Z565" t="s">
        <v>10935</v>
      </c>
      <c r="AA565" t="s">
        <v>10936</v>
      </c>
      <c r="AB565" t="s">
        <v>10937</v>
      </c>
      <c r="AC565" t="s">
        <v>10938</v>
      </c>
      <c r="AD565" t="s">
        <v>10939</v>
      </c>
      <c r="AE565" t="s">
        <v>10940</v>
      </c>
      <c r="AF565" t="s">
        <v>74</v>
      </c>
      <c r="AG565">
        <v>75</v>
      </c>
      <c r="AH565">
        <v>5</v>
      </c>
      <c r="AI565">
        <v>5</v>
      </c>
      <c r="AJ565">
        <v>1</v>
      </c>
      <c r="AK565">
        <v>26</v>
      </c>
      <c r="AL565" t="s">
        <v>559</v>
      </c>
      <c r="AM565" t="s">
        <v>560</v>
      </c>
      <c r="AN565" t="s">
        <v>561</v>
      </c>
      <c r="AO565" t="s">
        <v>562</v>
      </c>
      <c r="AP565" t="s">
        <v>563</v>
      </c>
      <c r="AQ565" t="s">
        <v>74</v>
      </c>
      <c r="AR565" t="s">
        <v>564</v>
      </c>
      <c r="AS565" t="s">
        <v>565</v>
      </c>
      <c r="AT565" t="s">
        <v>10046</v>
      </c>
      <c r="AU565">
        <v>2016</v>
      </c>
      <c r="AV565">
        <v>163</v>
      </c>
      <c r="AW565">
        <v>3</v>
      </c>
      <c r="AX565" t="s">
        <v>74</v>
      </c>
      <c r="AY565" t="s">
        <v>74</v>
      </c>
      <c r="AZ565" t="s">
        <v>74</v>
      </c>
      <c r="BA565" t="s">
        <v>74</v>
      </c>
      <c r="BB565" t="s">
        <v>74</v>
      </c>
      <c r="BC565" t="s">
        <v>74</v>
      </c>
      <c r="BD565" t="s">
        <v>74</v>
      </c>
      <c r="BE565" t="s">
        <v>10941</v>
      </c>
      <c r="BF565" t="str">
        <f>HYPERLINK("http://dx.doi.org/10.1007/s00227-016-2822-1","http://dx.doi.org/10.1007/s00227-016-2822-1")</f>
        <v>http://dx.doi.org/10.1007/s00227-016-2822-1</v>
      </c>
      <c r="BG565" t="s">
        <v>74</v>
      </c>
      <c r="BH565" t="s">
        <v>74</v>
      </c>
      <c r="BI565">
        <v>12</v>
      </c>
      <c r="BJ565" t="s">
        <v>201</v>
      </c>
      <c r="BK565" t="s">
        <v>102</v>
      </c>
      <c r="BL565" t="s">
        <v>201</v>
      </c>
      <c r="BM565" t="s">
        <v>10942</v>
      </c>
      <c r="BN565">
        <v>27065496</v>
      </c>
      <c r="BO565" t="s">
        <v>10943</v>
      </c>
      <c r="BP565" t="s">
        <v>74</v>
      </c>
      <c r="BQ565" t="s">
        <v>74</v>
      </c>
      <c r="BR565" t="s">
        <v>106</v>
      </c>
      <c r="BS565" t="s">
        <v>10944</v>
      </c>
      <c r="BT565" t="str">
        <f>HYPERLINK("https%3A%2F%2Fwww.webofscience.com%2Fwos%2Fwoscc%2Ffull-record%2FWOS:000372302600020","View Full Record in Web of Science")</f>
        <v>View Full Record in Web of Science</v>
      </c>
    </row>
    <row r="566" spans="1:72" x14ac:dyDescent="0.15">
      <c r="A566" t="s">
        <v>72</v>
      </c>
      <c r="B566" t="s">
        <v>10945</v>
      </c>
      <c r="C566" t="s">
        <v>74</v>
      </c>
      <c r="D566" t="s">
        <v>74</v>
      </c>
      <c r="E566" t="s">
        <v>74</v>
      </c>
      <c r="F566" t="s">
        <v>10946</v>
      </c>
      <c r="G566" t="s">
        <v>74</v>
      </c>
      <c r="H566" t="s">
        <v>74</v>
      </c>
      <c r="I566" t="s">
        <v>10947</v>
      </c>
      <c r="J566" t="s">
        <v>10948</v>
      </c>
      <c r="K566" t="s">
        <v>74</v>
      </c>
      <c r="L566" t="s">
        <v>74</v>
      </c>
      <c r="M566" t="s">
        <v>78</v>
      </c>
      <c r="N566" t="s">
        <v>79</v>
      </c>
      <c r="O566" t="s">
        <v>74</v>
      </c>
      <c r="P566" t="s">
        <v>74</v>
      </c>
      <c r="Q566" t="s">
        <v>74</v>
      </c>
      <c r="R566" t="s">
        <v>74</v>
      </c>
      <c r="S566" t="s">
        <v>74</v>
      </c>
      <c r="T566" t="s">
        <v>10949</v>
      </c>
      <c r="U566" t="s">
        <v>10950</v>
      </c>
      <c r="V566" t="s">
        <v>10951</v>
      </c>
      <c r="W566" t="s">
        <v>10952</v>
      </c>
      <c r="X566" t="s">
        <v>10953</v>
      </c>
      <c r="Y566" t="s">
        <v>10954</v>
      </c>
      <c r="Z566" t="s">
        <v>10955</v>
      </c>
      <c r="AA566" t="s">
        <v>74</v>
      </c>
      <c r="AB566" t="s">
        <v>74</v>
      </c>
      <c r="AC566" t="s">
        <v>74</v>
      </c>
      <c r="AD566" t="s">
        <v>74</v>
      </c>
      <c r="AE566" t="s">
        <v>74</v>
      </c>
      <c r="AF566" t="s">
        <v>74</v>
      </c>
      <c r="AG566">
        <v>64</v>
      </c>
      <c r="AH566">
        <v>5</v>
      </c>
      <c r="AI566">
        <v>8</v>
      </c>
      <c r="AJ566">
        <v>0</v>
      </c>
      <c r="AK566">
        <v>5</v>
      </c>
      <c r="AL566" t="s">
        <v>10956</v>
      </c>
      <c r="AM566" t="s">
        <v>10957</v>
      </c>
      <c r="AN566" t="s">
        <v>10958</v>
      </c>
      <c r="AO566" t="s">
        <v>10959</v>
      </c>
      <c r="AP566" t="s">
        <v>10960</v>
      </c>
      <c r="AQ566" t="s">
        <v>74</v>
      </c>
      <c r="AR566" t="s">
        <v>10961</v>
      </c>
      <c r="AS566" t="s">
        <v>10962</v>
      </c>
      <c r="AT566" t="s">
        <v>10046</v>
      </c>
      <c r="AU566">
        <v>2016</v>
      </c>
      <c r="AV566">
        <v>37</v>
      </c>
      <c r="AW566">
        <v>1</v>
      </c>
      <c r="AX566" t="s">
        <v>74</v>
      </c>
      <c r="AY566" t="s">
        <v>74</v>
      </c>
      <c r="AZ566" t="s">
        <v>74</v>
      </c>
      <c r="BA566" t="s">
        <v>74</v>
      </c>
      <c r="BB566">
        <v>131</v>
      </c>
      <c r="BC566">
        <v>154</v>
      </c>
      <c r="BD566" t="s">
        <v>74</v>
      </c>
      <c r="BE566" t="s">
        <v>10963</v>
      </c>
      <c r="BF566" t="str">
        <f>HYPERLINK("http://dx.doi.org/10.1515/popore-2016-0007","http://dx.doi.org/10.1515/popore-2016-0007")</f>
        <v>http://dx.doi.org/10.1515/popore-2016-0007</v>
      </c>
      <c r="BG566" t="s">
        <v>74</v>
      </c>
      <c r="BH566" t="s">
        <v>74</v>
      </c>
      <c r="BI566">
        <v>24</v>
      </c>
      <c r="BJ566" t="s">
        <v>1094</v>
      </c>
      <c r="BK566" t="s">
        <v>102</v>
      </c>
      <c r="BL566" t="s">
        <v>1095</v>
      </c>
      <c r="BM566" t="s">
        <v>10964</v>
      </c>
      <c r="BN566" t="s">
        <v>74</v>
      </c>
      <c r="BO566" t="s">
        <v>74</v>
      </c>
      <c r="BP566" t="s">
        <v>74</v>
      </c>
      <c r="BQ566" t="s">
        <v>74</v>
      </c>
      <c r="BR566" t="s">
        <v>106</v>
      </c>
      <c r="BS566" t="s">
        <v>10965</v>
      </c>
      <c r="BT566" t="str">
        <f>HYPERLINK("https%3A%2F%2Fwww.webofscience.com%2Fwos%2Fwoscc%2Ffull-record%2FWOS:000372467800008","View Full Record in Web of Science")</f>
        <v>View Full Record in Web of Science</v>
      </c>
    </row>
    <row r="567" spans="1:72" x14ac:dyDescent="0.15">
      <c r="A567" t="s">
        <v>72</v>
      </c>
      <c r="B567" t="s">
        <v>10966</v>
      </c>
      <c r="C567" t="s">
        <v>74</v>
      </c>
      <c r="D567" t="s">
        <v>74</v>
      </c>
      <c r="E567" t="s">
        <v>74</v>
      </c>
      <c r="F567" t="s">
        <v>10967</v>
      </c>
      <c r="G567" t="s">
        <v>74</v>
      </c>
      <c r="H567" t="s">
        <v>74</v>
      </c>
      <c r="I567" t="s">
        <v>10968</v>
      </c>
      <c r="J567" t="s">
        <v>10969</v>
      </c>
      <c r="K567" t="s">
        <v>74</v>
      </c>
      <c r="L567" t="s">
        <v>74</v>
      </c>
      <c r="M567" t="s">
        <v>78</v>
      </c>
      <c r="N567" t="s">
        <v>79</v>
      </c>
      <c r="O567" t="s">
        <v>74</v>
      </c>
      <c r="P567" t="s">
        <v>74</v>
      </c>
      <c r="Q567" t="s">
        <v>74</v>
      </c>
      <c r="R567" t="s">
        <v>74</v>
      </c>
      <c r="S567" t="s">
        <v>74</v>
      </c>
      <c r="T567" t="s">
        <v>10970</v>
      </c>
      <c r="U567" t="s">
        <v>10971</v>
      </c>
      <c r="V567" t="s">
        <v>10972</v>
      </c>
      <c r="W567" t="s">
        <v>10973</v>
      </c>
      <c r="X567" t="s">
        <v>10974</v>
      </c>
      <c r="Y567" t="s">
        <v>10975</v>
      </c>
      <c r="Z567" t="s">
        <v>10976</v>
      </c>
      <c r="AA567" t="s">
        <v>74</v>
      </c>
      <c r="AB567" t="s">
        <v>74</v>
      </c>
      <c r="AC567" t="s">
        <v>10977</v>
      </c>
      <c r="AD567" t="s">
        <v>10977</v>
      </c>
      <c r="AE567" t="s">
        <v>10978</v>
      </c>
      <c r="AF567" t="s">
        <v>74</v>
      </c>
      <c r="AG567">
        <v>18</v>
      </c>
      <c r="AH567">
        <v>11</v>
      </c>
      <c r="AI567">
        <v>12</v>
      </c>
      <c r="AJ567">
        <v>0</v>
      </c>
      <c r="AK567">
        <v>8</v>
      </c>
      <c r="AL567" t="s">
        <v>2034</v>
      </c>
      <c r="AM567" t="s">
        <v>262</v>
      </c>
      <c r="AN567" t="s">
        <v>2637</v>
      </c>
      <c r="AO567" t="s">
        <v>10979</v>
      </c>
      <c r="AP567" t="s">
        <v>10980</v>
      </c>
      <c r="AQ567" t="s">
        <v>74</v>
      </c>
      <c r="AR567" t="s">
        <v>10981</v>
      </c>
      <c r="AS567" t="s">
        <v>10982</v>
      </c>
      <c r="AT567" t="s">
        <v>10046</v>
      </c>
      <c r="AU567">
        <v>2016</v>
      </c>
      <c r="AV567">
        <v>27</v>
      </c>
      <c r="AW567">
        <v>1</v>
      </c>
      <c r="AX567" t="s">
        <v>74</v>
      </c>
      <c r="AY567" t="s">
        <v>74</v>
      </c>
      <c r="AZ567" t="s">
        <v>74</v>
      </c>
      <c r="BA567" t="s">
        <v>74</v>
      </c>
      <c r="BB567">
        <v>69</v>
      </c>
      <c r="BC567">
        <v>77</v>
      </c>
      <c r="BD567" t="s">
        <v>74</v>
      </c>
      <c r="BE567" t="s">
        <v>10983</v>
      </c>
      <c r="BF567" t="str">
        <f>HYPERLINK("http://dx.doi.org/10.1016/j.wem.2015.11.010","http://dx.doi.org/10.1016/j.wem.2015.11.010")</f>
        <v>http://dx.doi.org/10.1016/j.wem.2015.11.010</v>
      </c>
      <c r="BG567" t="s">
        <v>74</v>
      </c>
      <c r="BH567" t="s">
        <v>74</v>
      </c>
      <c r="BI567">
        <v>9</v>
      </c>
      <c r="BJ567" t="s">
        <v>10984</v>
      </c>
      <c r="BK567" t="s">
        <v>102</v>
      </c>
      <c r="BL567" t="s">
        <v>10984</v>
      </c>
      <c r="BM567" t="s">
        <v>10985</v>
      </c>
      <c r="BN567">
        <v>26948556</v>
      </c>
      <c r="BO567" t="s">
        <v>222</v>
      </c>
      <c r="BP567" t="s">
        <v>74</v>
      </c>
      <c r="BQ567" t="s">
        <v>74</v>
      </c>
      <c r="BR567" t="s">
        <v>106</v>
      </c>
      <c r="BS567" t="s">
        <v>10986</v>
      </c>
      <c r="BT567" t="str">
        <f>HYPERLINK("https%3A%2F%2Fwww.webofscience.com%2Fwos%2Fwoscc%2Ffull-record%2FWOS:000372379000011","View Full Record in Web of Science")</f>
        <v>View Full Record in Web of Science</v>
      </c>
    </row>
    <row r="568" spans="1:72" x14ac:dyDescent="0.15">
      <c r="A568" t="s">
        <v>72</v>
      </c>
      <c r="B568" t="s">
        <v>10987</v>
      </c>
      <c r="C568" t="s">
        <v>74</v>
      </c>
      <c r="D568" t="s">
        <v>74</v>
      </c>
      <c r="E568" t="s">
        <v>74</v>
      </c>
      <c r="F568" t="s">
        <v>10988</v>
      </c>
      <c r="G568" t="s">
        <v>74</v>
      </c>
      <c r="H568" t="s">
        <v>74</v>
      </c>
      <c r="I568" t="s">
        <v>10989</v>
      </c>
      <c r="J568" t="s">
        <v>10990</v>
      </c>
      <c r="K568" t="s">
        <v>74</v>
      </c>
      <c r="L568" t="s">
        <v>74</v>
      </c>
      <c r="M568" t="s">
        <v>78</v>
      </c>
      <c r="N568" t="s">
        <v>79</v>
      </c>
      <c r="O568" t="s">
        <v>74</v>
      </c>
      <c r="P568" t="s">
        <v>74</v>
      </c>
      <c r="Q568" t="s">
        <v>74</v>
      </c>
      <c r="R568" t="s">
        <v>74</v>
      </c>
      <c r="S568" t="s">
        <v>74</v>
      </c>
      <c r="T568" t="s">
        <v>10991</v>
      </c>
      <c r="U568" t="s">
        <v>10992</v>
      </c>
      <c r="V568" t="s">
        <v>10993</v>
      </c>
      <c r="W568" t="s">
        <v>10994</v>
      </c>
      <c r="X568" t="s">
        <v>10995</v>
      </c>
      <c r="Y568" t="s">
        <v>10996</v>
      </c>
      <c r="Z568" t="s">
        <v>10997</v>
      </c>
      <c r="AA568" t="s">
        <v>74</v>
      </c>
      <c r="AB568" t="s">
        <v>74</v>
      </c>
      <c r="AC568" t="s">
        <v>10998</v>
      </c>
      <c r="AD568" t="s">
        <v>10999</v>
      </c>
      <c r="AE568" t="s">
        <v>11000</v>
      </c>
      <c r="AF568" t="s">
        <v>74</v>
      </c>
      <c r="AG568">
        <v>24</v>
      </c>
      <c r="AH568">
        <v>2</v>
      </c>
      <c r="AI568">
        <v>3</v>
      </c>
      <c r="AJ568">
        <v>0</v>
      </c>
      <c r="AK568">
        <v>30</v>
      </c>
      <c r="AL568" t="s">
        <v>124</v>
      </c>
      <c r="AM568" t="s">
        <v>125</v>
      </c>
      <c r="AN568" t="s">
        <v>126</v>
      </c>
      <c r="AO568" t="s">
        <v>11001</v>
      </c>
      <c r="AP568" t="s">
        <v>74</v>
      </c>
      <c r="AQ568" t="s">
        <v>74</v>
      </c>
      <c r="AR568" t="s">
        <v>11002</v>
      </c>
      <c r="AS568" t="s">
        <v>11003</v>
      </c>
      <c r="AT568" t="s">
        <v>10046</v>
      </c>
      <c r="AU568">
        <v>2016</v>
      </c>
      <c r="AV568">
        <v>4</v>
      </c>
      <c r="AW568">
        <v>2</v>
      </c>
      <c r="AX568" t="s">
        <v>74</v>
      </c>
      <c r="AY568" t="s">
        <v>74</v>
      </c>
      <c r="AZ568" t="s">
        <v>74</v>
      </c>
      <c r="BA568" t="s">
        <v>74</v>
      </c>
      <c r="BB568">
        <v>198</v>
      </c>
      <c r="BC568">
        <v>206</v>
      </c>
      <c r="BD568" t="s">
        <v>74</v>
      </c>
      <c r="BE568" t="s">
        <v>11004</v>
      </c>
      <c r="BF568" t="str">
        <f>HYPERLINK("http://dx.doi.org/10.1002/fsn3.273","http://dx.doi.org/10.1002/fsn3.273")</f>
        <v>http://dx.doi.org/10.1002/fsn3.273</v>
      </c>
      <c r="BG568" t="s">
        <v>74</v>
      </c>
      <c r="BH568" t="s">
        <v>74</v>
      </c>
      <c r="BI568">
        <v>9</v>
      </c>
      <c r="BJ568" t="s">
        <v>8147</v>
      </c>
      <c r="BK568" t="s">
        <v>102</v>
      </c>
      <c r="BL568" t="s">
        <v>8147</v>
      </c>
      <c r="BM568" t="s">
        <v>11005</v>
      </c>
      <c r="BN568">
        <v>27004109</v>
      </c>
      <c r="BO568" t="s">
        <v>1684</v>
      </c>
      <c r="BP568" t="s">
        <v>74</v>
      </c>
      <c r="BQ568" t="s">
        <v>74</v>
      </c>
      <c r="BR568" t="s">
        <v>106</v>
      </c>
      <c r="BS568" t="s">
        <v>11006</v>
      </c>
      <c r="BT568" t="str">
        <f>HYPERLINK("https%3A%2F%2Fwww.webofscience.com%2Fwos%2Fwoscc%2Ffull-record%2FWOS:000372354100006","View Full Record in Web of Science")</f>
        <v>View Full Record in Web of Science</v>
      </c>
    </row>
    <row r="569" spans="1:72" x14ac:dyDescent="0.15">
      <c r="A569" t="s">
        <v>72</v>
      </c>
      <c r="B569" t="s">
        <v>11007</v>
      </c>
      <c r="C569" t="s">
        <v>74</v>
      </c>
      <c r="D569" t="s">
        <v>74</v>
      </c>
      <c r="E569" t="s">
        <v>74</v>
      </c>
      <c r="F569" t="s">
        <v>11008</v>
      </c>
      <c r="G569" t="s">
        <v>74</v>
      </c>
      <c r="H569" t="s">
        <v>74</v>
      </c>
      <c r="I569" t="s">
        <v>11009</v>
      </c>
      <c r="J569" t="s">
        <v>11010</v>
      </c>
      <c r="K569" t="s">
        <v>74</v>
      </c>
      <c r="L569" t="s">
        <v>74</v>
      </c>
      <c r="M569" t="s">
        <v>78</v>
      </c>
      <c r="N569" t="s">
        <v>3736</v>
      </c>
      <c r="O569" t="s">
        <v>11011</v>
      </c>
      <c r="P569" t="s">
        <v>11012</v>
      </c>
      <c r="Q569" t="s">
        <v>11013</v>
      </c>
      <c r="R569" t="s">
        <v>74</v>
      </c>
      <c r="S569" t="s">
        <v>74</v>
      </c>
      <c r="T569" t="s">
        <v>11014</v>
      </c>
      <c r="U569" t="s">
        <v>11015</v>
      </c>
      <c r="V569" t="s">
        <v>11016</v>
      </c>
      <c r="W569" t="s">
        <v>11017</v>
      </c>
      <c r="X569" t="s">
        <v>11018</v>
      </c>
      <c r="Y569" t="s">
        <v>11019</v>
      </c>
      <c r="Z569" t="s">
        <v>11020</v>
      </c>
      <c r="AA569" t="s">
        <v>11021</v>
      </c>
      <c r="AB569" t="s">
        <v>11022</v>
      </c>
      <c r="AC569" t="s">
        <v>11023</v>
      </c>
      <c r="AD569" t="s">
        <v>11024</v>
      </c>
      <c r="AE569" t="s">
        <v>74</v>
      </c>
      <c r="AF569" t="s">
        <v>74</v>
      </c>
      <c r="AG569">
        <v>53</v>
      </c>
      <c r="AH569">
        <v>26</v>
      </c>
      <c r="AI569">
        <v>26</v>
      </c>
      <c r="AJ569">
        <v>0</v>
      </c>
      <c r="AK569">
        <v>13</v>
      </c>
      <c r="AL569" t="s">
        <v>194</v>
      </c>
      <c r="AM569" t="s">
        <v>195</v>
      </c>
      <c r="AN569" t="s">
        <v>196</v>
      </c>
      <c r="AO569" t="s">
        <v>11025</v>
      </c>
      <c r="AP569" t="s">
        <v>11026</v>
      </c>
      <c r="AQ569" t="s">
        <v>74</v>
      </c>
      <c r="AR569" t="s">
        <v>11027</v>
      </c>
      <c r="AS569" t="s">
        <v>11028</v>
      </c>
      <c r="AT569" t="s">
        <v>10046</v>
      </c>
      <c r="AU569">
        <v>2016</v>
      </c>
      <c r="AV569">
        <v>307</v>
      </c>
      <c r="AW569">
        <v>3</v>
      </c>
      <c r="AX569" t="s">
        <v>74</v>
      </c>
      <c r="AY569" t="s">
        <v>74</v>
      </c>
      <c r="AZ569" t="s">
        <v>74</v>
      </c>
      <c r="BA569" t="s">
        <v>74</v>
      </c>
      <c r="BB569">
        <v>1703</v>
      </c>
      <c r="BC569">
        <v>1710</v>
      </c>
      <c r="BD569" t="s">
        <v>74</v>
      </c>
      <c r="BE569" t="s">
        <v>11029</v>
      </c>
      <c r="BF569" t="str">
        <f>HYPERLINK("http://dx.doi.org/10.1007/s10967-015-4439-0","http://dx.doi.org/10.1007/s10967-015-4439-0")</f>
        <v>http://dx.doi.org/10.1007/s10967-015-4439-0</v>
      </c>
      <c r="BG569" t="s">
        <v>74</v>
      </c>
      <c r="BH569" t="s">
        <v>74</v>
      </c>
      <c r="BI569">
        <v>8</v>
      </c>
      <c r="BJ569" t="s">
        <v>11030</v>
      </c>
      <c r="BK569" t="s">
        <v>6412</v>
      </c>
      <c r="BL569" t="s">
        <v>11031</v>
      </c>
      <c r="BM569" t="s">
        <v>11032</v>
      </c>
      <c r="BN569" t="s">
        <v>74</v>
      </c>
      <c r="BO569" t="s">
        <v>74</v>
      </c>
      <c r="BP569" t="s">
        <v>74</v>
      </c>
      <c r="BQ569" t="s">
        <v>74</v>
      </c>
      <c r="BR569" t="s">
        <v>106</v>
      </c>
      <c r="BS569" t="s">
        <v>11033</v>
      </c>
      <c r="BT569" t="str">
        <f>HYPERLINK("https%3A%2F%2Fwww.webofscience.com%2Fwos%2Fwoscc%2Ffull-record%2FWOS:000371808900025","View Full Record in Web of Science")</f>
        <v>View Full Record in Web of Science</v>
      </c>
    </row>
    <row r="570" spans="1:72" x14ac:dyDescent="0.15">
      <c r="A570" t="s">
        <v>72</v>
      </c>
      <c r="B570" t="s">
        <v>11034</v>
      </c>
      <c r="C570" t="s">
        <v>74</v>
      </c>
      <c r="D570" t="s">
        <v>74</v>
      </c>
      <c r="E570" t="s">
        <v>74</v>
      </c>
      <c r="F570" t="s">
        <v>11035</v>
      </c>
      <c r="G570" t="s">
        <v>74</v>
      </c>
      <c r="H570" t="s">
        <v>74</v>
      </c>
      <c r="I570" t="s">
        <v>11036</v>
      </c>
      <c r="J570" t="s">
        <v>11037</v>
      </c>
      <c r="K570" t="s">
        <v>74</v>
      </c>
      <c r="L570" t="s">
        <v>74</v>
      </c>
      <c r="M570" t="s">
        <v>78</v>
      </c>
      <c r="N570" t="s">
        <v>79</v>
      </c>
      <c r="O570" t="s">
        <v>74</v>
      </c>
      <c r="P570" t="s">
        <v>74</v>
      </c>
      <c r="Q570" t="s">
        <v>74</v>
      </c>
      <c r="R570" t="s">
        <v>74</v>
      </c>
      <c r="S570" t="s">
        <v>74</v>
      </c>
      <c r="T570" t="s">
        <v>11038</v>
      </c>
      <c r="U570" t="s">
        <v>11039</v>
      </c>
      <c r="V570" t="s">
        <v>11040</v>
      </c>
      <c r="W570" t="s">
        <v>11041</v>
      </c>
      <c r="X570" t="s">
        <v>74</v>
      </c>
      <c r="Y570" t="s">
        <v>11042</v>
      </c>
      <c r="Z570" t="s">
        <v>11043</v>
      </c>
      <c r="AA570" t="s">
        <v>74</v>
      </c>
      <c r="AB570" t="s">
        <v>74</v>
      </c>
      <c r="AC570" t="s">
        <v>74</v>
      </c>
      <c r="AD570" t="s">
        <v>74</v>
      </c>
      <c r="AE570" t="s">
        <v>74</v>
      </c>
      <c r="AF570" t="s">
        <v>74</v>
      </c>
      <c r="AG570">
        <v>29</v>
      </c>
      <c r="AH570">
        <v>0</v>
      </c>
      <c r="AI570">
        <v>0</v>
      </c>
      <c r="AJ570">
        <v>0</v>
      </c>
      <c r="AK570">
        <v>8</v>
      </c>
      <c r="AL570" t="s">
        <v>11044</v>
      </c>
      <c r="AM570" t="s">
        <v>747</v>
      </c>
      <c r="AN570" t="s">
        <v>11045</v>
      </c>
      <c r="AO570" t="s">
        <v>11046</v>
      </c>
      <c r="AP570" t="s">
        <v>11047</v>
      </c>
      <c r="AQ570" t="s">
        <v>74</v>
      </c>
      <c r="AR570" t="s">
        <v>11037</v>
      </c>
      <c r="AS570" t="s">
        <v>11048</v>
      </c>
      <c r="AT570" t="s">
        <v>10046</v>
      </c>
      <c r="AU570">
        <v>2016</v>
      </c>
      <c r="AV570">
        <v>80</v>
      </c>
      <c r="AW570">
        <v>2</v>
      </c>
      <c r="AX570" t="s">
        <v>74</v>
      </c>
      <c r="AY570" t="s">
        <v>74</v>
      </c>
      <c r="AZ570" t="s">
        <v>74</v>
      </c>
      <c r="BA570" t="s">
        <v>74</v>
      </c>
      <c r="BB570">
        <v>227</v>
      </c>
      <c r="BC570">
        <v>230</v>
      </c>
      <c r="BD570" t="s">
        <v>74</v>
      </c>
      <c r="BE570" t="s">
        <v>11049</v>
      </c>
      <c r="BF570" t="str">
        <f>HYPERLINK("http://dx.doi.org/10.1515/mammalia-2014-0144","http://dx.doi.org/10.1515/mammalia-2014-0144")</f>
        <v>http://dx.doi.org/10.1515/mammalia-2014-0144</v>
      </c>
      <c r="BG570" t="s">
        <v>74</v>
      </c>
      <c r="BH570" t="s">
        <v>74</v>
      </c>
      <c r="BI570">
        <v>4</v>
      </c>
      <c r="BJ570" t="s">
        <v>541</v>
      </c>
      <c r="BK570" t="s">
        <v>102</v>
      </c>
      <c r="BL570" t="s">
        <v>541</v>
      </c>
      <c r="BM570" t="s">
        <v>11050</v>
      </c>
      <c r="BN570" t="s">
        <v>74</v>
      </c>
      <c r="BO570" t="s">
        <v>74</v>
      </c>
      <c r="BP570" t="s">
        <v>74</v>
      </c>
      <c r="BQ570" t="s">
        <v>74</v>
      </c>
      <c r="BR570" t="s">
        <v>106</v>
      </c>
      <c r="BS570" t="s">
        <v>11051</v>
      </c>
      <c r="BT570" t="str">
        <f>HYPERLINK("https%3A%2F%2Fwww.webofscience.com%2Fwos%2Fwoscc%2Ffull-record%2FWOS:000372020000012","View Full Record in Web of Science")</f>
        <v>View Full Record in Web of Science</v>
      </c>
    </row>
    <row r="571" spans="1:72" x14ac:dyDescent="0.15">
      <c r="A571" t="s">
        <v>72</v>
      </c>
      <c r="B571" t="s">
        <v>11052</v>
      </c>
      <c r="C571" t="s">
        <v>74</v>
      </c>
      <c r="D571" t="s">
        <v>74</v>
      </c>
      <c r="E571" t="s">
        <v>74</v>
      </c>
      <c r="F571" t="s">
        <v>11053</v>
      </c>
      <c r="G571" t="s">
        <v>74</v>
      </c>
      <c r="H571" t="s">
        <v>74</v>
      </c>
      <c r="I571" t="s">
        <v>11054</v>
      </c>
      <c r="J571" t="s">
        <v>11055</v>
      </c>
      <c r="K571" t="s">
        <v>74</v>
      </c>
      <c r="L571" t="s">
        <v>74</v>
      </c>
      <c r="M571" t="s">
        <v>78</v>
      </c>
      <c r="N571" t="s">
        <v>79</v>
      </c>
      <c r="O571" t="s">
        <v>74</v>
      </c>
      <c r="P571" t="s">
        <v>74</v>
      </c>
      <c r="Q571" t="s">
        <v>74</v>
      </c>
      <c r="R571" t="s">
        <v>74</v>
      </c>
      <c r="S571" t="s">
        <v>74</v>
      </c>
      <c r="T571" t="s">
        <v>11056</v>
      </c>
      <c r="U571" t="s">
        <v>11057</v>
      </c>
      <c r="V571" t="s">
        <v>11058</v>
      </c>
      <c r="W571" t="s">
        <v>11059</v>
      </c>
      <c r="X571" t="s">
        <v>11060</v>
      </c>
      <c r="Y571" t="s">
        <v>11061</v>
      </c>
      <c r="Z571" t="s">
        <v>11062</v>
      </c>
      <c r="AA571" t="s">
        <v>11063</v>
      </c>
      <c r="AB571" t="s">
        <v>3173</v>
      </c>
      <c r="AC571" t="s">
        <v>11064</v>
      </c>
      <c r="AD571" t="s">
        <v>11065</v>
      </c>
      <c r="AE571" t="s">
        <v>11066</v>
      </c>
      <c r="AF571" t="s">
        <v>74</v>
      </c>
      <c r="AG571">
        <v>83</v>
      </c>
      <c r="AH571">
        <v>4</v>
      </c>
      <c r="AI571">
        <v>5</v>
      </c>
      <c r="AJ571">
        <v>1</v>
      </c>
      <c r="AK571">
        <v>16</v>
      </c>
      <c r="AL571" t="s">
        <v>5169</v>
      </c>
      <c r="AM571" t="s">
        <v>5170</v>
      </c>
      <c r="AN571" t="s">
        <v>5171</v>
      </c>
      <c r="AO571" t="s">
        <v>11067</v>
      </c>
      <c r="AP571" t="s">
        <v>11068</v>
      </c>
      <c r="AQ571" t="s">
        <v>74</v>
      </c>
      <c r="AR571" t="s">
        <v>11069</v>
      </c>
      <c r="AS571" t="s">
        <v>11070</v>
      </c>
      <c r="AT571" t="s">
        <v>10278</v>
      </c>
      <c r="AU571">
        <v>2016</v>
      </c>
      <c r="AV571">
        <v>89</v>
      </c>
      <c r="AW571">
        <v>2</v>
      </c>
      <c r="AX571" t="s">
        <v>74</v>
      </c>
      <c r="AY571" t="s">
        <v>74</v>
      </c>
      <c r="AZ571" t="s">
        <v>74</v>
      </c>
      <c r="BA571" t="s">
        <v>74</v>
      </c>
      <c r="BB571">
        <v>141</v>
      </c>
      <c r="BC571">
        <v>150</v>
      </c>
      <c r="BD571" t="s">
        <v>74</v>
      </c>
      <c r="BE571" t="s">
        <v>11071</v>
      </c>
      <c r="BF571" t="str">
        <f>HYPERLINK("http://dx.doi.org/10.1086/685411","http://dx.doi.org/10.1086/685411")</f>
        <v>http://dx.doi.org/10.1086/685411</v>
      </c>
      <c r="BG571" t="s">
        <v>74</v>
      </c>
      <c r="BH571" t="s">
        <v>74</v>
      </c>
      <c r="BI571">
        <v>10</v>
      </c>
      <c r="BJ571" t="s">
        <v>11072</v>
      </c>
      <c r="BK571" t="s">
        <v>102</v>
      </c>
      <c r="BL571" t="s">
        <v>11072</v>
      </c>
      <c r="BM571" t="s">
        <v>11073</v>
      </c>
      <c r="BN571">
        <v>27082724</v>
      </c>
      <c r="BO571" t="s">
        <v>1143</v>
      </c>
      <c r="BP571" t="s">
        <v>74</v>
      </c>
      <c r="BQ571" t="s">
        <v>74</v>
      </c>
      <c r="BR571" t="s">
        <v>106</v>
      </c>
      <c r="BS571" t="s">
        <v>11074</v>
      </c>
      <c r="BT571" t="str">
        <f>HYPERLINK("https%3A%2F%2Fwww.webofscience.com%2Fwos%2Fwoscc%2Ffull-record%2FWOS:000371918100006","View Full Record in Web of Science")</f>
        <v>View Full Record in Web of Science</v>
      </c>
    </row>
    <row r="572" spans="1:72" x14ac:dyDescent="0.15">
      <c r="A572" t="s">
        <v>72</v>
      </c>
      <c r="B572" t="s">
        <v>11075</v>
      </c>
      <c r="C572" t="s">
        <v>74</v>
      </c>
      <c r="D572" t="s">
        <v>74</v>
      </c>
      <c r="E572" t="s">
        <v>74</v>
      </c>
      <c r="F572" t="s">
        <v>11076</v>
      </c>
      <c r="G572" t="s">
        <v>74</v>
      </c>
      <c r="H572" t="s">
        <v>74</v>
      </c>
      <c r="I572" t="s">
        <v>11077</v>
      </c>
      <c r="J572" t="s">
        <v>2804</v>
      </c>
      <c r="K572" t="s">
        <v>74</v>
      </c>
      <c r="L572" t="s">
        <v>74</v>
      </c>
      <c r="M572" t="s">
        <v>78</v>
      </c>
      <c r="N572" t="s">
        <v>79</v>
      </c>
      <c r="O572" t="s">
        <v>74</v>
      </c>
      <c r="P572" t="s">
        <v>74</v>
      </c>
      <c r="Q572" t="s">
        <v>74</v>
      </c>
      <c r="R572" t="s">
        <v>74</v>
      </c>
      <c r="S572" t="s">
        <v>74</v>
      </c>
      <c r="T572" t="s">
        <v>11078</v>
      </c>
      <c r="U572" t="s">
        <v>11079</v>
      </c>
      <c r="V572" t="s">
        <v>11080</v>
      </c>
      <c r="W572" t="s">
        <v>11081</v>
      </c>
      <c r="X572" t="s">
        <v>2809</v>
      </c>
      <c r="Y572" t="s">
        <v>11082</v>
      </c>
      <c r="Z572" t="s">
        <v>11083</v>
      </c>
      <c r="AA572" t="s">
        <v>11084</v>
      </c>
      <c r="AB572" t="s">
        <v>11085</v>
      </c>
      <c r="AC572" t="s">
        <v>11086</v>
      </c>
      <c r="AD572" t="s">
        <v>11087</v>
      </c>
      <c r="AE572" t="s">
        <v>11088</v>
      </c>
      <c r="AF572" t="s">
        <v>74</v>
      </c>
      <c r="AG572">
        <v>31</v>
      </c>
      <c r="AH572">
        <v>1</v>
      </c>
      <c r="AI572">
        <v>2</v>
      </c>
      <c r="AJ572">
        <v>1</v>
      </c>
      <c r="AK572">
        <v>24</v>
      </c>
      <c r="AL572" t="s">
        <v>194</v>
      </c>
      <c r="AM572" t="s">
        <v>262</v>
      </c>
      <c r="AN572" t="s">
        <v>263</v>
      </c>
      <c r="AO572" t="s">
        <v>2815</v>
      </c>
      <c r="AP572" t="s">
        <v>2816</v>
      </c>
      <c r="AQ572" t="s">
        <v>74</v>
      </c>
      <c r="AR572" t="s">
        <v>2817</v>
      </c>
      <c r="AS572" t="s">
        <v>2818</v>
      </c>
      <c r="AT572" t="s">
        <v>10046</v>
      </c>
      <c r="AU572">
        <v>2016</v>
      </c>
      <c r="AV572">
        <v>35</v>
      </c>
      <c r="AW572">
        <v>3</v>
      </c>
      <c r="AX572" t="s">
        <v>74</v>
      </c>
      <c r="AY572" t="s">
        <v>74</v>
      </c>
      <c r="AZ572" t="s">
        <v>74</v>
      </c>
      <c r="BA572" t="s">
        <v>74</v>
      </c>
      <c r="BB572">
        <v>1</v>
      </c>
      <c r="BC572">
        <v>9</v>
      </c>
      <c r="BD572" t="s">
        <v>74</v>
      </c>
      <c r="BE572" t="s">
        <v>11089</v>
      </c>
      <c r="BF572" t="str">
        <f>HYPERLINK("http://dx.doi.org/10.1007/s13131-016-0816-y","http://dx.doi.org/10.1007/s13131-016-0816-y")</f>
        <v>http://dx.doi.org/10.1007/s13131-016-0816-y</v>
      </c>
      <c r="BG572" t="s">
        <v>74</v>
      </c>
      <c r="BH572" t="s">
        <v>74</v>
      </c>
      <c r="BI572">
        <v>9</v>
      </c>
      <c r="BJ572" t="s">
        <v>361</v>
      </c>
      <c r="BK572" t="s">
        <v>102</v>
      </c>
      <c r="BL572" t="s">
        <v>361</v>
      </c>
      <c r="BM572" t="s">
        <v>11090</v>
      </c>
      <c r="BN572" t="s">
        <v>74</v>
      </c>
      <c r="BO572" t="s">
        <v>74</v>
      </c>
      <c r="BP572" t="s">
        <v>74</v>
      </c>
      <c r="BQ572" t="s">
        <v>74</v>
      </c>
      <c r="BR572" t="s">
        <v>106</v>
      </c>
      <c r="BS572" t="s">
        <v>11091</v>
      </c>
      <c r="BT572" t="str">
        <f>HYPERLINK("https%3A%2F%2Fwww.webofscience.com%2Fwos%2Fwoscc%2Ffull-record%2FWOS:000371883000001","View Full Record in Web of Science")</f>
        <v>View Full Record in Web of Science</v>
      </c>
    </row>
    <row r="573" spans="1:72" x14ac:dyDescent="0.15">
      <c r="A573" t="s">
        <v>72</v>
      </c>
      <c r="B573" t="s">
        <v>11092</v>
      </c>
      <c r="C573" t="s">
        <v>74</v>
      </c>
      <c r="D573" t="s">
        <v>74</v>
      </c>
      <c r="E573" t="s">
        <v>74</v>
      </c>
      <c r="F573" t="s">
        <v>11093</v>
      </c>
      <c r="G573" t="s">
        <v>74</v>
      </c>
      <c r="H573" t="s">
        <v>74</v>
      </c>
      <c r="I573" t="s">
        <v>11094</v>
      </c>
      <c r="J573" t="s">
        <v>7204</v>
      </c>
      <c r="K573" t="s">
        <v>74</v>
      </c>
      <c r="L573" t="s">
        <v>74</v>
      </c>
      <c r="M573" t="s">
        <v>78</v>
      </c>
      <c r="N573" t="s">
        <v>79</v>
      </c>
      <c r="O573" t="s">
        <v>74</v>
      </c>
      <c r="P573" t="s">
        <v>74</v>
      </c>
      <c r="Q573" t="s">
        <v>74</v>
      </c>
      <c r="R573" t="s">
        <v>74</v>
      </c>
      <c r="S573" t="s">
        <v>74</v>
      </c>
      <c r="T573" t="s">
        <v>74</v>
      </c>
      <c r="U573" t="s">
        <v>11095</v>
      </c>
      <c r="V573" t="s">
        <v>11096</v>
      </c>
      <c r="W573" t="s">
        <v>11097</v>
      </c>
      <c r="X573" t="s">
        <v>9718</v>
      </c>
      <c r="Y573" t="s">
        <v>11098</v>
      </c>
      <c r="Z573" t="s">
        <v>11099</v>
      </c>
      <c r="AA573" t="s">
        <v>11100</v>
      </c>
      <c r="AB573" t="s">
        <v>74</v>
      </c>
      <c r="AC573" t="s">
        <v>11101</v>
      </c>
      <c r="AD573" t="s">
        <v>11102</v>
      </c>
      <c r="AE573" t="s">
        <v>11103</v>
      </c>
      <c r="AF573" t="s">
        <v>74</v>
      </c>
      <c r="AG573">
        <v>25</v>
      </c>
      <c r="AH573">
        <v>114</v>
      </c>
      <c r="AI573">
        <v>121</v>
      </c>
      <c r="AJ573">
        <v>1</v>
      </c>
      <c r="AK573">
        <v>101</v>
      </c>
      <c r="AL573" t="s">
        <v>772</v>
      </c>
      <c r="AM573" t="s">
        <v>262</v>
      </c>
      <c r="AN573" t="s">
        <v>7216</v>
      </c>
      <c r="AO573" t="s">
        <v>7217</v>
      </c>
      <c r="AP573" t="s">
        <v>7218</v>
      </c>
      <c r="AQ573" t="s">
        <v>74</v>
      </c>
      <c r="AR573" t="s">
        <v>7219</v>
      </c>
      <c r="AS573" t="s">
        <v>7220</v>
      </c>
      <c r="AT573" t="s">
        <v>10046</v>
      </c>
      <c r="AU573">
        <v>2016</v>
      </c>
      <c r="AV573">
        <v>9</v>
      </c>
      <c r="AW573">
        <v>3</v>
      </c>
      <c r="AX573" t="s">
        <v>74</v>
      </c>
      <c r="AY573" t="s">
        <v>74</v>
      </c>
      <c r="AZ573" t="s">
        <v>74</v>
      </c>
      <c r="BA573" t="s">
        <v>74</v>
      </c>
      <c r="BB573">
        <v>219</v>
      </c>
      <c r="BC573">
        <v>221</v>
      </c>
      <c r="BD573" t="s">
        <v>74</v>
      </c>
      <c r="BE573" t="s">
        <v>11104</v>
      </c>
      <c r="BF573" t="str">
        <f>HYPERLINK("http://dx.doi.org/10.1038/NGEO2633","http://dx.doi.org/10.1038/NGEO2633")</f>
        <v>http://dx.doi.org/10.1038/NGEO2633</v>
      </c>
      <c r="BG573" t="s">
        <v>74</v>
      </c>
      <c r="BH573" t="s">
        <v>74</v>
      </c>
      <c r="BI573">
        <v>3</v>
      </c>
      <c r="BJ573" t="s">
        <v>269</v>
      </c>
      <c r="BK573" t="s">
        <v>102</v>
      </c>
      <c r="BL573" t="s">
        <v>270</v>
      </c>
      <c r="BM573" t="s">
        <v>11105</v>
      </c>
      <c r="BN573" t="s">
        <v>74</v>
      </c>
      <c r="BO573" t="s">
        <v>380</v>
      </c>
      <c r="BP573" t="s">
        <v>74</v>
      </c>
      <c r="BQ573" t="s">
        <v>74</v>
      </c>
      <c r="BR573" t="s">
        <v>106</v>
      </c>
      <c r="BS573" t="s">
        <v>11106</v>
      </c>
      <c r="BT573" t="str">
        <f>HYPERLINK("https%3A%2F%2Fwww.webofscience.com%2Fwos%2Fwoscc%2Ffull-record%2FWOS:000371427400014","View Full Record in Web of Science")</f>
        <v>View Full Record in Web of Science</v>
      </c>
    </row>
    <row r="574" spans="1:72" x14ac:dyDescent="0.15">
      <c r="A574" t="s">
        <v>72</v>
      </c>
      <c r="B574" t="s">
        <v>11107</v>
      </c>
      <c r="C574" t="s">
        <v>74</v>
      </c>
      <c r="D574" t="s">
        <v>74</v>
      </c>
      <c r="E574" t="s">
        <v>74</v>
      </c>
      <c r="F574" t="s">
        <v>11108</v>
      </c>
      <c r="G574" t="s">
        <v>74</v>
      </c>
      <c r="H574" t="s">
        <v>74</v>
      </c>
      <c r="I574" t="s">
        <v>11109</v>
      </c>
      <c r="J574" t="s">
        <v>11110</v>
      </c>
      <c r="K574" t="s">
        <v>74</v>
      </c>
      <c r="L574" t="s">
        <v>74</v>
      </c>
      <c r="M574" t="s">
        <v>78</v>
      </c>
      <c r="N574" t="s">
        <v>79</v>
      </c>
      <c r="O574" t="s">
        <v>74</v>
      </c>
      <c r="P574" t="s">
        <v>74</v>
      </c>
      <c r="Q574" t="s">
        <v>74</v>
      </c>
      <c r="R574" t="s">
        <v>74</v>
      </c>
      <c r="S574" t="s">
        <v>74</v>
      </c>
      <c r="T574" t="s">
        <v>11111</v>
      </c>
      <c r="U574" t="s">
        <v>11112</v>
      </c>
      <c r="V574" t="s">
        <v>11113</v>
      </c>
      <c r="W574" t="s">
        <v>11114</v>
      </c>
      <c r="X574" t="s">
        <v>11115</v>
      </c>
      <c r="Y574" t="s">
        <v>11116</v>
      </c>
      <c r="Z574" t="s">
        <v>11117</v>
      </c>
      <c r="AA574" t="s">
        <v>74</v>
      </c>
      <c r="AB574" t="s">
        <v>74</v>
      </c>
      <c r="AC574" t="s">
        <v>11118</v>
      </c>
      <c r="AD574" t="s">
        <v>11119</v>
      </c>
      <c r="AE574" t="s">
        <v>11120</v>
      </c>
      <c r="AF574" t="s">
        <v>74</v>
      </c>
      <c r="AG574">
        <v>45</v>
      </c>
      <c r="AH574">
        <v>10</v>
      </c>
      <c r="AI574">
        <v>12</v>
      </c>
      <c r="AJ574">
        <v>0</v>
      </c>
      <c r="AK574">
        <v>5</v>
      </c>
      <c r="AL574" t="s">
        <v>124</v>
      </c>
      <c r="AM574" t="s">
        <v>125</v>
      </c>
      <c r="AN574" t="s">
        <v>126</v>
      </c>
      <c r="AO574" t="s">
        <v>11121</v>
      </c>
      <c r="AP574" t="s">
        <v>11122</v>
      </c>
      <c r="AQ574" t="s">
        <v>74</v>
      </c>
      <c r="AR574" t="s">
        <v>11123</v>
      </c>
      <c r="AS574" t="s">
        <v>11124</v>
      </c>
      <c r="AT574" t="s">
        <v>10046</v>
      </c>
      <c r="AU574">
        <v>2016</v>
      </c>
      <c r="AV574">
        <v>30</v>
      </c>
      <c r="AW574">
        <v>3</v>
      </c>
      <c r="AX574" t="s">
        <v>74</v>
      </c>
      <c r="AY574" t="s">
        <v>74</v>
      </c>
      <c r="AZ574" t="s">
        <v>74</v>
      </c>
      <c r="BA574" t="s">
        <v>74</v>
      </c>
      <c r="BB574">
        <v>426</v>
      </c>
      <c r="BC574">
        <v>438</v>
      </c>
      <c r="BD574" t="s">
        <v>74</v>
      </c>
      <c r="BE574" t="s">
        <v>11125</v>
      </c>
      <c r="BF574" t="str">
        <f>HYPERLINK("http://dx.doi.org/10.1002/ptr.5544","http://dx.doi.org/10.1002/ptr.5544")</f>
        <v>http://dx.doi.org/10.1002/ptr.5544</v>
      </c>
      <c r="BG574" t="s">
        <v>74</v>
      </c>
      <c r="BH574" t="s">
        <v>74</v>
      </c>
      <c r="BI574">
        <v>13</v>
      </c>
      <c r="BJ574" t="s">
        <v>4627</v>
      </c>
      <c r="BK574" t="s">
        <v>102</v>
      </c>
      <c r="BL574" t="s">
        <v>4628</v>
      </c>
      <c r="BM574" t="s">
        <v>11126</v>
      </c>
      <c r="BN574">
        <v>26676298</v>
      </c>
      <c r="BO574" t="s">
        <v>74</v>
      </c>
      <c r="BP574" t="s">
        <v>74</v>
      </c>
      <c r="BQ574" t="s">
        <v>74</v>
      </c>
      <c r="BR574" t="s">
        <v>106</v>
      </c>
      <c r="BS574" t="s">
        <v>11127</v>
      </c>
      <c r="BT574" t="str">
        <f>HYPERLINK("https%3A%2F%2Fwww.webofscience.com%2Fwos%2Fwoscc%2Ffull-record%2FWOS:000371746400011","View Full Record in Web of Science")</f>
        <v>View Full Record in Web of Science</v>
      </c>
    </row>
    <row r="575" spans="1:72" x14ac:dyDescent="0.15">
      <c r="A575" t="s">
        <v>72</v>
      </c>
      <c r="B575" t="s">
        <v>11128</v>
      </c>
      <c r="C575" t="s">
        <v>74</v>
      </c>
      <c r="D575" t="s">
        <v>74</v>
      </c>
      <c r="E575" t="s">
        <v>74</v>
      </c>
      <c r="F575" t="s">
        <v>11129</v>
      </c>
      <c r="G575" t="s">
        <v>74</v>
      </c>
      <c r="H575" t="s">
        <v>74</v>
      </c>
      <c r="I575" t="s">
        <v>11130</v>
      </c>
      <c r="J575" t="s">
        <v>3453</v>
      </c>
      <c r="K575" t="s">
        <v>74</v>
      </c>
      <c r="L575" t="s">
        <v>74</v>
      </c>
      <c r="M575" t="s">
        <v>78</v>
      </c>
      <c r="N575" t="s">
        <v>79</v>
      </c>
      <c r="O575" t="s">
        <v>74</v>
      </c>
      <c r="P575" t="s">
        <v>74</v>
      </c>
      <c r="Q575" t="s">
        <v>74</v>
      </c>
      <c r="R575" t="s">
        <v>74</v>
      </c>
      <c r="S575" t="s">
        <v>74</v>
      </c>
      <c r="T575" t="s">
        <v>11131</v>
      </c>
      <c r="U575" t="s">
        <v>11132</v>
      </c>
      <c r="V575" t="s">
        <v>11133</v>
      </c>
      <c r="W575" t="s">
        <v>11134</v>
      </c>
      <c r="X575" t="s">
        <v>11135</v>
      </c>
      <c r="Y575" t="s">
        <v>11136</v>
      </c>
      <c r="Z575" t="s">
        <v>11137</v>
      </c>
      <c r="AA575" t="s">
        <v>74</v>
      </c>
      <c r="AB575" t="s">
        <v>74</v>
      </c>
      <c r="AC575" t="s">
        <v>11138</v>
      </c>
      <c r="AD575" t="s">
        <v>11139</v>
      </c>
      <c r="AE575" t="s">
        <v>11140</v>
      </c>
      <c r="AF575" t="s">
        <v>74</v>
      </c>
      <c r="AG575">
        <v>65</v>
      </c>
      <c r="AH575">
        <v>4</v>
      </c>
      <c r="AI575">
        <v>5</v>
      </c>
      <c r="AJ575">
        <v>3</v>
      </c>
      <c r="AK575">
        <v>39</v>
      </c>
      <c r="AL575" t="s">
        <v>194</v>
      </c>
      <c r="AM575" t="s">
        <v>262</v>
      </c>
      <c r="AN575" t="s">
        <v>2836</v>
      </c>
      <c r="AO575" t="s">
        <v>3466</v>
      </c>
      <c r="AP575" t="s">
        <v>3467</v>
      </c>
      <c r="AQ575" t="s">
        <v>74</v>
      </c>
      <c r="AR575" t="s">
        <v>3468</v>
      </c>
      <c r="AS575" t="s">
        <v>3469</v>
      </c>
      <c r="AT575" t="s">
        <v>10046</v>
      </c>
      <c r="AU575">
        <v>2016</v>
      </c>
      <c r="AV575">
        <v>39</v>
      </c>
      <c r="AW575">
        <v>3</v>
      </c>
      <c r="AX575" t="s">
        <v>74</v>
      </c>
      <c r="AY575" t="s">
        <v>74</v>
      </c>
      <c r="AZ575" t="s">
        <v>74</v>
      </c>
      <c r="BA575" t="s">
        <v>74</v>
      </c>
      <c r="BB575">
        <v>443</v>
      </c>
      <c r="BC575">
        <v>459</v>
      </c>
      <c r="BD575" t="s">
        <v>74</v>
      </c>
      <c r="BE575" t="s">
        <v>11141</v>
      </c>
      <c r="BF575" t="str">
        <f>HYPERLINK("http://dx.doi.org/10.1007/s00300-015-1791-z","http://dx.doi.org/10.1007/s00300-015-1791-z")</f>
        <v>http://dx.doi.org/10.1007/s00300-015-1791-z</v>
      </c>
      <c r="BG575" t="s">
        <v>74</v>
      </c>
      <c r="BH575" t="s">
        <v>74</v>
      </c>
      <c r="BI575">
        <v>17</v>
      </c>
      <c r="BJ575" t="s">
        <v>291</v>
      </c>
      <c r="BK575" t="s">
        <v>102</v>
      </c>
      <c r="BL575" t="s">
        <v>133</v>
      </c>
      <c r="BM575" t="s">
        <v>11142</v>
      </c>
      <c r="BN575" t="s">
        <v>74</v>
      </c>
      <c r="BO575" t="s">
        <v>1143</v>
      </c>
      <c r="BP575" t="s">
        <v>74</v>
      </c>
      <c r="BQ575" t="s">
        <v>74</v>
      </c>
      <c r="BR575" t="s">
        <v>106</v>
      </c>
      <c r="BS575" t="s">
        <v>11143</v>
      </c>
      <c r="BT575" t="str">
        <f>HYPERLINK("https%3A%2F%2Fwww.webofscience.com%2Fwos%2Fwoscc%2Ffull-record%2FWOS:000371640300003","View Full Record in Web of Science")</f>
        <v>View Full Record in Web of Science</v>
      </c>
    </row>
    <row r="576" spans="1:72" x14ac:dyDescent="0.15">
      <c r="A576" t="s">
        <v>72</v>
      </c>
      <c r="B576" t="s">
        <v>11144</v>
      </c>
      <c r="C576" t="s">
        <v>74</v>
      </c>
      <c r="D576" t="s">
        <v>74</v>
      </c>
      <c r="E576" t="s">
        <v>74</v>
      </c>
      <c r="F576" t="s">
        <v>11145</v>
      </c>
      <c r="G576" t="s">
        <v>74</v>
      </c>
      <c r="H576" t="s">
        <v>74</v>
      </c>
      <c r="I576" t="s">
        <v>11146</v>
      </c>
      <c r="J576" t="s">
        <v>3453</v>
      </c>
      <c r="K576" t="s">
        <v>74</v>
      </c>
      <c r="L576" t="s">
        <v>74</v>
      </c>
      <c r="M576" t="s">
        <v>78</v>
      </c>
      <c r="N576" t="s">
        <v>79</v>
      </c>
      <c r="O576" t="s">
        <v>74</v>
      </c>
      <c r="P576" t="s">
        <v>74</v>
      </c>
      <c r="Q576" t="s">
        <v>74</v>
      </c>
      <c r="R576" t="s">
        <v>74</v>
      </c>
      <c r="S576" t="s">
        <v>74</v>
      </c>
      <c r="T576" t="s">
        <v>11147</v>
      </c>
      <c r="U576" t="s">
        <v>11148</v>
      </c>
      <c r="V576" t="s">
        <v>11149</v>
      </c>
      <c r="W576" t="s">
        <v>11150</v>
      </c>
      <c r="X576" t="s">
        <v>11151</v>
      </c>
      <c r="Y576" t="s">
        <v>11152</v>
      </c>
      <c r="Z576" t="s">
        <v>11153</v>
      </c>
      <c r="AA576" t="s">
        <v>11154</v>
      </c>
      <c r="AB576" t="s">
        <v>11155</v>
      </c>
      <c r="AC576" t="s">
        <v>11156</v>
      </c>
      <c r="AD576" t="s">
        <v>11157</v>
      </c>
      <c r="AE576" t="s">
        <v>11158</v>
      </c>
      <c r="AF576" t="s">
        <v>74</v>
      </c>
      <c r="AG576">
        <v>42</v>
      </c>
      <c r="AH576">
        <v>9</v>
      </c>
      <c r="AI576">
        <v>10</v>
      </c>
      <c r="AJ576">
        <v>0</v>
      </c>
      <c r="AK576">
        <v>7</v>
      </c>
      <c r="AL576" t="s">
        <v>194</v>
      </c>
      <c r="AM576" t="s">
        <v>262</v>
      </c>
      <c r="AN576" t="s">
        <v>2836</v>
      </c>
      <c r="AO576" t="s">
        <v>3466</v>
      </c>
      <c r="AP576" t="s">
        <v>3467</v>
      </c>
      <c r="AQ576" t="s">
        <v>74</v>
      </c>
      <c r="AR576" t="s">
        <v>3468</v>
      </c>
      <c r="AS576" t="s">
        <v>3469</v>
      </c>
      <c r="AT576" t="s">
        <v>10046</v>
      </c>
      <c r="AU576">
        <v>2016</v>
      </c>
      <c r="AV576">
        <v>39</v>
      </c>
      <c r="AW576">
        <v>3</v>
      </c>
      <c r="AX576" t="s">
        <v>74</v>
      </c>
      <c r="AY576" t="s">
        <v>74</v>
      </c>
      <c r="AZ576" t="s">
        <v>74</v>
      </c>
      <c r="BA576" t="s">
        <v>74</v>
      </c>
      <c r="BB576">
        <v>461</v>
      </c>
      <c r="BC576">
        <v>471</v>
      </c>
      <c r="BD576" t="s">
        <v>74</v>
      </c>
      <c r="BE576" t="s">
        <v>11159</v>
      </c>
      <c r="BF576" t="str">
        <f>HYPERLINK("http://dx.doi.org/10.1007/s00300-015-1793-x","http://dx.doi.org/10.1007/s00300-015-1793-x")</f>
        <v>http://dx.doi.org/10.1007/s00300-015-1793-x</v>
      </c>
      <c r="BG576" t="s">
        <v>74</v>
      </c>
      <c r="BH576" t="s">
        <v>74</v>
      </c>
      <c r="BI576">
        <v>11</v>
      </c>
      <c r="BJ576" t="s">
        <v>291</v>
      </c>
      <c r="BK576" t="s">
        <v>102</v>
      </c>
      <c r="BL576" t="s">
        <v>133</v>
      </c>
      <c r="BM576" t="s">
        <v>11142</v>
      </c>
      <c r="BN576" t="s">
        <v>74</v>
      </c>
      <c r="BO576" t="s">
        <v>74</v>
      </c>
      <c r="BP576" t="s">
        <v>74</v>
      </c>
      <c r="BQ576" t="s">
        <v>74</v>
      </c>
      <c r="BR576" t="s">
        <v>106</v>
      </c>
      <c r="BS576" t="s">
        <v>11160</v>
      </c>
      <c r="BT576" t="str">
        <f>HYPERLINK("https%3A%2F%2Fwww.webofscience.com%2Fwos%2Fwoscc%2Ffull-record%2FWOS:000371640300004","View Full Record in Web of Science")</f>
        <v>View Full Record in Web of Science</v>
      </c>
    </row>
    <row r="577" spans="1:72" x14ac:dyDescent="0.15">
      <c r="A577" t="s">
        <v>72</v>
      </c>
      <c r="B577" t="s">
        <v>11161</v>
      </c>
      <c r="C577" t="s">
        <v>74</v>
      </c>
      <c r="D577" t="s">
        <v>74</v>
      </c>
      <c r="E577" t="s">
        <v>74</v>
      </c>
      <c r="F577" t="s">
        <v>11162</v>
      </c>
      <c r="G577" t="s">
        <v>74</v>
      </c>
      <c r="H577" t="s">
        <v>74</v>
      </c>
      <c r="I577" t="s">
        <v>11163</v>
      </c>
      <c r="J577" t="s">
        <v>3453</v>
      </c>
      <c r="K577" t="s">
        <v>74</v>
      </c>
      <c r="L577" t="s">
        <v>74</v>
      </c>
      <c r="M577" t="s">
        <v>78</v>
      </c>
      <c r="N577" t="s">
        <v>79</v>
      </c>
      <c r="O577" t="s">
        <v>74</v>
      </c>
      <c r="P577" t="s">
        <v>74</v>
      </c>
      <c r="Q577" t="s">
        <v>74</v>
      </c>
      <c r="R577" t="s">
        <v>74</v>
      </c>
      <c r="S577" t="s">
        <v>74</v>
      </c>
      <c r="T577" t="s">
        <v>11164</v>
      </c>
      <c r="U577" t="s">
        <v>11165</v>
      </c>
      <c r="V577" t="s">
        <v>11166</v>
      </c>
      <c r="W577" t="s">
        <v>11167</v>
      </c>
      <c r="X577" t="s">
        <v>11168</v>
      </c>
      <c r="Y577" t="s">
        <v>11169</v>
      </c>
      <c r="Z577" t="s">
        <v>11170</v>
      </c>
      <c r="AA577" t="s">
        <v>11171</v>
      </c>
      <c r="AB577" t="s">
        <v>11172</v>
      </c>
      <c r="AC577" t="s">
        <v>11173</v>
      </c>
      <c r="AD577" t="s">
        <v>11024</v>
      </c>
      <c r="AE577" t="s">
        <v>74</v>
      </c>
      <c r="AF577" t="s">
        <v>74</v>
      </c>
      <c r="AG577">
        <v>92</v>
      </c>
      <c r="AH577">
        <v>13</v>
      </c>
      <c r="AI577">
        <v>13</v>
      </c>
      <c r="AJ577">
        <v>2</v>
      </c>
      <c r="AK577">
        <v>26</v>
      </c>
      <c r="AL577" t="s">
        <v>194</v>
      </c>
      <c r="AM577" t="s">
        <v>262</v>
      </c>
      <c r="AN577" t="s">
        <v>2836</v>
      </c>
      <c r="AO577" t="s">
        <v>3466</v>
      </c>
      <c r="AP577" t="s">
        <v>3467</v>
      </c>
      <c r="AQ577" t="s">
        <v>74</v>
      </c>
      <c r="AR577" t="s">
        <v>3468</v>
      </c>
      <c r="AS577" t="s">
        <v>3469</v>
      </c>
      <c r="AT577" t="s">
        <v>10046</v>
      </c>
      <c r="AU577">
        <v>2016</v>
      </c>
      <c r="AV577">
        <v>39</v>
      </c>
      <c r="AW577">
        <v>3</v>
      </c>
      <c r="AX577" t="s">
        <v>74</v>
      </c>
      <c r="AY577" t="s">
        <v>74</v>
      </c>
      <c r="AZ577" t="s">
        <v>74</v>
      </c>
      <c r="BA577" t="s">
        <v>74</v>
      </c>
      <c r="BB577">
        <v>523</v>
      </c>
      <c r="BC577">
        <v>532</v>
      </c>
      <c r="BD577" t="s">
        <v>74</v>
      </c>
      <c r="BE577" t="s">
        <v>11174</v>
      </c>
      <c r="BF577" t="str">
        <f>HYPERLINK("http://dx.doi.org/10.1007/s00300-015-1804-y","http://dx.doi.org/10.1007/s00300-015-1804-y")</f>
        <v>http://dx.doi.org/10.1007/s00300-015-1804-y</v>
      </c>
      <c r="BG577" t="s">
        <v>74</v>
      </c>
      <c r="BH577" t="s">
        <v>74</v>
      </c>
      <c r="BI577">
        <v>10</v>
      </c>
      <c r="BJ577" t="s">
        <v>291</v>
      </c>
      <c r="BK577" t="s">
        <v>102</v>
      </c>
      <c r="BL577" t="s">
        <v>133</v>
      </c>
      <c r="BM577" t="s">
        <v>11142</v>
      </c>
      <c r="BN577" t="s">
        <v>74</v>
      </c>
      <c r="BO577" t="s">
        <v>1143</v>
      </c>
      <c r="BP577" t="s">
        <v>74</v>
      </c>
      <c r="BQ577" t="s">
        <v>74</v>
      </c>
      <c r="BR577" t="s">
        <v>106</v>
      </c>
      <c r="BS577" t="s">
        <v>11175</v>
      </c>
      <c r="BT577" t="str">
        <f>HYPERLINK("https%3A%2F%2Fwww.webofscience.com%2Fwos%2Fwoscc%2Ffull-record%2FWOS:000371640300009","View Full Record in Web of Science")</f>
        <v>View Full Record in Web of Science</v>
      </c>
    </row>
    <row r="578" spans="1:72" x14ac:dyDescent="0.15">
      <c r="A578" t="s">
        <v>72</v>
      </c>
      <c r="B578" t="s">
        <v>11176</v>
      </c>
      <c r="C578" t="s">
        <v>74</v>
      </c>
      <c r="D578" t="s">
        <v>74</v>
      </c>
      <c r="E578" t="s">
        <v>74</v>
      </c>
      <c r="F578" t="s">
        <v>11177</v>
      </c>
      <c r="G578" t="s">
        <v>74</v>
      </c>
      <c r="H578" t="s">
        <v>74</v>
      </c>
      <c r="I578" t="s">
        <v>11178</v>
      </c>
      <c r="J578" t="s">
        <v>1076</v>
      </c>
      <c r="K578" t="s">
        <v>74</v>
      </c>
      <c r="L578" t="s">
        <v>74</v>
      </c>
      <c r="M578" t="s">
        <v>78</v>
      </c>
      <c r="N578" t="s">
        <v>79</v>
      </c>
      <c r="O578" t="s">
        <v>74</v>
      </c>
      <c r="P578" t="s">
        <v>74</v>
      </c>
      <c r="Q578" t="s">
        <v>74</v>
      </c>
      <c r="R578" t="s">
        <v>74</v>
      </c>
      <c r="S578" t="s">
        <v>74</v>
      </c>
      <c r="T578" t="s">
        <v>11179</v>
      </c>
      <c r="U578" t="s">
        <v>11180</v>
      </c>
      <c r="V578" t="s">
        <v>11181</v>
      </c>
      <c r="W578" t="s">
        <v>11182</v>
      </c>
      <c r="X578" t="s">
        <v>11183</v>
      </c>
      <c r="Y578" t="s">
        <v>11184</v>
      </c>
      <c r="Z578" t="s">
        <v>11185</v>
      </c>
      <c r="AA578" t="s">
        <v>11186</v>
      </c>
      <c r="AB578" t="s">
        <v>11187</v>
      </c>
      <c r="AC578" t="s">
        <v>11188</v>
      </c>
      <c r="AD578" t="s">
        <v>11024</v>
      </c>
      <c r="AE578" t="s">
        <v>74</v>
      </c>
      <c r="AF578" t="s">
        <v>74</v>
      </c>
      <c r="AG578">
        <v>33</v>
      </c>
      <c r="AH578">
        <v>5</v>
      </c>
      <c r="AI578">
        <v>5</v>
      </c>
      <c r="AJ578">
        <v>0</v>
      </c>
      <c r="AK578">
        <v>11</v>
      </c>
      <c r="AL578" t="s">
        <v>626</v>
      </c>
      <c r="AM578" t="s">
        <v>583</v>
      </c>
      <c r="AN578" t="s">
        <v>627</v>
      </c>
      <c r="AO578" t="s">
        <v>1089</v>
      </c>
      <c r="AP578" t="s">
        <v>1090</v>
      </c>
      <c r="AQ578" t="s">
        <v>74</v>
      </c>
      <c r="AR578" t="s">
        <v>1091</v>
      </c>
      <c r="AS578" t="s">
        <v>1092</v>
      </c>
      <c r="AT578" t="s">
        <v>10046</v>
      </c>
      <c r="AU578">
        <v>2016</v>
      </c>
      <c r="AV578">
        <v>10</v>
      </c>
      <c r="AW578">
        <v>1</v>
      </c>
      <c r="AX578" t="s">
        <v>74</v>
      </c>
      <c r="AY578" t="s">
        <v>74</v>
      </c>
      <c r="AZ578" t="s">
        <v>74</v>
      </c>
      <c r="BA578" t="s">
        <v>74</v>
      </c>
      <c r="BB578">
        <v>43</v>
      </c>
      <c r="BC578">
        <v>51</v>
      </c>
      <c r="BD578" t="s">
        <v>74</v>
      </c>
      <c r="BE578" t="s">
        <v>11189</v>
      </c>
      <c r="BF578" t="str">
        <f>HYPERLINK("http://dx.doi.org/10.1016/j.polar.2015.10.003","http://dx.doi.org/10.1016/j.polar.2015.10.003")</f>
        <v>http://dx.doi.org/10.1016/j.polar.2015.10.003</v>
      </c>
      <c r="BG578" t="s">
        <v>74</v>
      </c>
      <c r="BH578" t="s">
        <v>74</v>
      </c>
      <c r="BI578">
        <v>9</v>
      </c>
      <c r="BJ578" t="s">
        <v>1094</v>
      </c>
      <c r="BK578" t="s">
        <v>102</v>
      </c>
      <c r="BL578" t="s">
        <v>1095</v>
      </c>
      <c r="BM578" t="s">
        <v>11190</v>
      </c>
      <c r="BN578" t="s">
        <v>74</v>
      </c>
      <c r="BO578" t="s">
        <v>222</v>
      </c>
      <c r="BP578" t="s">
        <v>74</v>
      </c>
      <c r="BQ578" t="s">
        <v>74</v>
      </c>
      <c r="BR578" t="s">
        <v>106</v>
      </c>
      <c r="BS578" t="s">
        <v>11191</v>
      </c>
      <c r="BT578" t="str">
        <f>HYPERLINK("https%3A%2F%2Fwww.webofscience.com%2Fwos%2Fwoscc%2Ffull-record%2FWOS:000371396900005","View Full Record in Web of Science")</f>
        <v>View Full Record in Web of Science</v>
      </c>
    </row>
    <row r="579" spans="1:72" x14ac:dyDescent="0.15">
      <c r="A579" t="s">
        <v>72</v>
      </c>
      <c r="B579" t="s">
        <v>11192</v>
      </c>
      <c r="C579" t="s">
        <v>74</v>
      </c>
      <c r="D579" t="s">
        <v>74</v>
      </c>
      <c r="E579" t="s">
        <v>74</v>
      </c>
      <c r="F579" t="s">
        <v>11193</v>
      </c>
      <c r="G579" t="s">
        <v>74</v>
      </c>
      <c r="H579" t="s">
        <v>74</v>
      </c>
      <c r="I579" t="s">
        <v>11194</v>
      </c>
      <c r="J579" t="s">
        <v>1076</v>
      </c>
      <c r="K579" t="s">
        <v>74</v>
      </c>
      <c r="L579" t="s">
        <v>74</v>
      </c>
      <c r="M579" t="s">
        <v>78</v>
      </c>
      <c r="N579" t="s">
        <v>79</v>
      </c>
      <c r="O579" t="s">
        <v>74</v>
      </c>
      <c r="P579" t="s">
        <v>74</v>
      </c>
      <c r="Q579" t="s">
        <v>74</v>
      </c>
      <c r="R579" t="s">
        <v>74</v>
      </c>
      <c r="S579" t="s">
        <v>74</v>
      </c>
      <c r="T579" t="s">
        <v>11195</v>
      </c>
      <c r="U579" t="s">
        <v>11196</v>
      </c>
      <c r="V579" t="s">
        <v>11197</v>
      </c>
      <c r="W579" t="s">
        <v>11198</v>
      </c>
      <c r="X579" t="s">
        <v>11199</v>
      </c>
      <c r="Y579" t="s">
        <v>11200</v>
      </c>
      <c r="Z579" t="s">
        <v>11201</v>
      </c>
      <c r="AA579" t="s">
        <v>74</v>
      </c>
      <c r="AB579" t="s">
        <v>74</v>
      </c>
      <c r="AC579" t="s">
        <v>74</v>
      </c>
      <c r="AD579" t="s">
        <v>74</v>
      </c>
      <c r="AE579" t="s">
        <v>74</v>
      </c>
      <c r="AF579" t="s">
        <v>74</v>
      </c>
      <c r="AG579">
        <v>106</v>
      </c>
      <c r="AH579">
        <v>11</v>
      </c>
      <c r="AI579">
        <v>11</v>
      </c>
      <c r="AJ579">
        <v>3</v>
      </c>
      <c r="AK579">
        <v>43</v>
      </c>
      <c r="AL579" t="s">
        <v>626</v>
      </c>
      <c r="AM579" t="s">
        <v>583</v>
      </c>
      <c r="AN579" t="s">
        <v>627</v>
      </c>
      <c r="AO579" t="s">
        <v>1089</v>
      </c>
      <c r="AP579" t="s">
        <v>1090</v>
      </c>
      <c r="AQ579" t="s">
        <v>74</v>
      </c>
      <c r="AR579" t="s">
        <v>1091</v>
      </c>
      <c r="AS579" t="s">
        <v>1092</v>
      </c>
      <c r="AT579" t="s">
        <v>10046</v>
      </c>
      <c r="AU579">
        <v>2016</v>
      </c>
      <c r="AV579">
        <v>10</v>
      </c>
      <c r="AW579">
        <v>1</v>
      </c>
      <c r="AX579" t="s">
        <v>74</v>
      </c>
      <c r="AY579" t="s">
        <v>74</v>
      </c>
      <c r="AZ579" t="s">
        <v>74</v>
      </c>
      <c r="BA579" t="s">
        <v>74</v>
      </c>
      <c r="BB579">
        <v>52</v>
      </c>
      <c r="BC579">
        <v>59</v>
      </c>
      <c r="BD579" t="s">
        <v>74</v>
      </c>
      <c r="BE579" t="s">
        <v>11202</v>
      </c>
      <c r="BF579" t="str">
        <f>HYPERLINK("http://dx.doi.org/10.1016/j.polar.2015.09.002","http://dx.doi.org/10.1016/j.polar.2015.09.002")</f>
        <v>http://dx.doi.org/10.1016/j.polar.2015.09.002</v>
      </c>
      <c r="BG579" t="s">
        <v>74</v>
      </c>
      <c r="BH579" t="s">
        <v>74</v>
      </c>
      <c r="BI579">
        <v>8</v>
      </c>
      <c r="BJ579" t="s">
        <v>1094</v>
      </c>
      <c r="BK579" t="s">
        <v>102</v>
      </c>
      <c r="BL579" t="s">
        <v>1095</v>
      </c>
      <c r="BM579" t="s">
        <v>11190</v>
      </c>
      <c r="BN579" t="s">
        <v>74</v>
      </c>
      <c r="BO579" t="s">
        <v>74</v>
      </c>
      <c r="BP579" t="s">
        <v>74</v>
      </c>
      <c r="BQ579" t="s">
        <v>74</v>
      </c>
      <c r="BR579" t="s">
        <v>106</v>
      </c>
      <c r="BS579" t="s">
        <v>11203</v>
      </c>
      <c r="BT579" t="str">
        <f>HYPERLINK("https%3A%2F%2Fwww.webofscience.com%2Fwos%2Fwoscc%2Ffull-record%2FWOS:000371396900006","View Full Record in Web of Science")</f>
        <v>View Full Record in Web of Science</v>
      </c>
    </row>
    <row r="580" spans="1:72" x14ac:dyDescent="0.15">
      <c r="A580" t="s">
        <v>72</v>
      </c>
      <c r="B580" t="s">
        <v>11204</v>
      </c>
      <c r="C580" t="s">
        <v>74</v>
      </c>
      <c r="D580" t="s">
        <v>74</v>
      </c>
      <c r="E580" t="s">
        <v>74</v>
      </c>
      <c r="F580" t="s">
        <v>11205</v>
      </c>
      <c r="G580" t="s">
        <v>74</v>
      </c>
      <c r="H580" t="s">
        <v>74</v>
      </c>
      <c r="I580" t="s">
        <v>11206</v>
      </c>
      <c r="J580" t="s">
        <v>1076</v>
      </c>
      <c r="K580" t="s">
        <v>74</v>
      </c>
      <c r="L580" t="s">
        <v>74</v>
      </c>
      <c r="M580" t="s">
        <v>78</v>
      </c>
      <c r="N580" t="s">
        <v>79</v>
      </c>
      <c r="O580" t="s">
        <v>74</v>
      </c>
      <c r="P580" t="s">
        <v>74</v>
      </c>
      <c r="Q580" t="s">
        <v>74</v>
      </c>
      <c r="R580" t="s">
        <v>74</v>
      </c>
      <c r="S580" t="s">
        <v>74</v>
      </c>
      <c r="T580" t="s">
        <v>11207</v>
      </c>
      <c r="U580" t="s">
        <v>11208</v>
      </c>
      <c r="V580" t="s">
        <v>11209</v>
      </c>
      <c r="W580" t="s">
        <v>11210</v>
      </c>
      <c r="X580" t="s">
        <v>11211</v>
      </c>
      <c r="Y580" t="s">
        <v>11212</v>
      </c>
      <c r="Z580" t="s">
        <v>11213</v>
      </c>
      <c r="AA580" t="s">
        <v>11214</v>
      </c>
      <c r="AB580" t="s">
        <v>11215</v>
      </c>
      <c r="AC580" t="s">
        <v>74</v>
      </c>
      <c r="AD580" t="s">
        <v>74</v>
      </c>
      <c r="AE580" t="s">
        <v>74</v>
      </c>
      <c r="AF580" t="s">
        <v>74</v>
      </c>
      <c r="AG580">
        <v>72</v>
      </c>
      <c r="AH580">
        <v>46</v>
      </c>
      <c r="AI580">
        <v>49</v>
      </c>
      <c r="AJ580">
        <v>2</v>
      </c>
      <c r="AK580">
        <v>29</v>
      </c>
      <c r="AL580" t="s">
        <v>582</v>
      </c>
      <c r="AM580" t="s">
        <v>583</v>
      </c>
      <c r="AN580" t="s">
        <v>584</v>
      </c>
      <c r="AO580" t="s">
        <v>1089</v>
      </c>
      <c r="AP580" t="s">
        <v>1090</v>
      </c>
      <c r="AQ580" t="s">
        <v>74</v>
      </c>
      <c r="AR580" t="s">
        <v>1091</v>
      </c>
      <c r="AS580" t="s">
        <v>1092</v>
      </c>
      <c r="AT580" t="s">
        <v>10046</v>
      </c>
      <c r="AU580">
        <v>2016</v>
      </c>
      <c r="AV580">
        <v>10</v>
      </c>
      <c r="AW580">
        <v>1</v>
      </c>
      <c r="AX580" t="s">
        <v>74</v>
      </c>
      <c r="AY580" t="s">
        <v>74</v>
      </c>
      <c r="AZ580" t="s">
        <v>74</v>
      </c>
      <c r="BA580" t="s">
        <v>74</v>
      </c>
      <c r="BB580">
        <v>89</v>
      </c>
      <c r="BC580">
        <v>100</v>
      </c>
      <c r="BD580" t="s">
        <v>74</v>
      </c>
      <c r="BE580" t="s">
        <v>11216</v>
      </c>
      <c r="BF580" t="str">
        <f>HYPERLINK("http://dx.doi.org/10.1016/j.polar.2015.12.005","http://dx.doi.org/10.1016/j.polar.2015.12.005")</f>
        <v>http://dx.doi.org/10.1016/j.polar.2015.12.005</v>
      </c>
      <c r="BG580" t="s">
        <v>74</v>
      </c>
      <c r="BH580" t="s">
        <v>74</v>
      </c>
      <c r="BI580">
        <v>12</v>
      </c>
      <c r="BJ580" t="s">
        <v>1094</v>
      </c>
      <c r="BK580" t="s">
        <v>102</v>
      </c>
      <c r="BL580" t="s">
        <v>1095</v>
      </c>
      <c r="BM580" t="s">
        <v>11190</v>
      </c>
      <c r="BN580" t="s">
        <v>74</v>
      </c>
      <c r="BO580" t="s">
        <v>222</v>
      </c>
      <c r="BP580" t="s">
        <v>74</v>
      </c>
      <c r="BQ580" t="s">
        <v>74</v>
      </c>
      <c r="BR580" t="s">
        <v>106</v>
      </c>
      <c r="BS580" t="s">
        <v>11217</v>
      </c>
      <c r="BT580" t="str">
        <f>HYPERLINK("https%3A%2F%2Fwww.webofscience.com%2Fwos%2Fwoscc%2Ffull-record%2FWOS:000371396900010","View Full Record in Web of Science")</f>
        <v>View Full Record in Web of Science</v>
      </c>
    </row>
    <row r="581" spans="1:72" x14ac:dyDescent="0.15">
      <c r="A581" t="s">
        <v>72</v>
      </c>
      <c r="B581" t="s">
        <v>11218</v>
      </c>
      <c r="C581" t="s">
        <v>74</v>
      </c>
      <c r="D581" t="s">
        <v>74</v>
      </c>
      <c r="E581" t="s">
        <v>74</v>
      </c>
      <c r="F581" t="s">
        <v>11219</v>
      </c>
      <c r="G581" t="s">
        <v>74</v>
      </c>
      <c r="H581" t="s">
        <v>74</v>
      </c>
      <c r="I581" t="s">
        <v>11220</v>
      </c>
      <c r="J581" t="s">
        <v>1076</v>
      </c>
      <c r="K581" t="s">
        <v>74</v>
      </c>
      <c r="L581" t="s">
        <v>74</v>
      </c>
      <c r="M581" t="s">
        <v>78</v>
      </c>
      <c r="N581" t="s">
        <v>79</v>
      </c>
      <c r="O581" t="s">
        <v>74</v>
      </c>
      <c r="P581" t="s">
        <v>74</v>
      </c>
      <c r="Q581" t="s">
        <v>74</v>
      </c>
      <c r="R581" t="s">
        <v>74</v>
      </c>
      <c r="S581" t="s">
        <v>74</v>
      </c>
      <c r="T581" t="s">
        <v>11221</v>
      </c>
      <c r="U581" t="s">
        <v>11222</v>
      </c>
      <c r="V581" t="s">
        <v>11223</v>
      </c>
      <c r="W581" t="s">
        <v>11224</v>
      </c>
      <c r="X581" t="s">
        <v>11225</v>
      </c>
      <c r="Y581" t="s">
        <v>11226</v>
      </c>
      <c r="Z581" t="s">
        <v>11227</v>
      </c>
      <c r="AA581" t="s">
        <v>11228</v>
      </c>
      <c r="AB581" t="s">
        <v>11229</v>
      </c>
      <c r="AC581" t="s">
        <v>11230</v>
      </c>
      <c r="AD581" t="s">
        <v>11231</v>
      </c>
      <c r="AE581" t="s">
        <v>11232</v>
      </c>
      <c r="AF581" t="s">
        <v>74</v>
      </c>
      <c r="AG581">
        <v>56</v>
      </c>
      <c r="AH581">
        <v>0</v>
      </c>
      <c r="AI581">
        <v>0</v>
      </c>
      <c r="AJ581">
        <v>0</v>
      </c>
      <c r="AK581">
        <v>16</v>
      </c>
      <c r="AL581" t="s">
        <v>626</v>
      </c>
      <c r="AM581" t="s">
        <v>583</v>
      </c>
      <c r="AN581" t="s">
        <v>627</v>
      </c>
      <c r="AO581" t="s">
        <v>1089</v>
      </c>
      <c r="AP581" t="s">
        <v>1090</v>
      </c>
      <c r="AQ581" t="s">
        <v>74</v>
      </c>
      <c r="AR581" t="s">
        <v>1091</v>
      </c>
      <c r="AS581" t="s">
        <v>1092</v>
      </c>
      <c r="AT581" t="s">
        <v>10046</v>
      </c>
      <c r="AU581">
        <v>2016</v>
      </c>
      <c r="AV581">
        <v>10</v>
      </c>
      <c r="AW581">
        <v>1</v>
      </c>
      <c r="AX581" t="s">
        <v>74</v>
      </c>
      <c r="AY581" t="s">
        <v>74</v>
      </c>
      <c r="AZ581" t="s">
        <v>74</v>
      </c>
      <c r="BA581" t="s">
        <v>74</v>
      </c>
      <c r="BB581">
        <v>101</v>
      </c>
      <c r="BC581">
        <v>109</v>
      </c>
      <c r="BD581" t="s">
        <v>74</v>
      </c>
      <c r="BE581" t="s">
        <v>11233</v>
      </c>
      <c r="BF581" t="str">
        <f>HYPERLINK("http://dx.doi.org/10.1016/j.polar.2016.01.002","http://dx.doi.org/10.1016/j.polar.2016.01.002")</f>
        <v>http://dx.doi.org/10.1016/j.polar.2016.01.002</v>
      </c>
      <c r="BG581" t="s">
        <v>74</v>
      </c>
      <c r="BH581" t="s">
        <v>74</v>
      </c>
      <c r="BI581">
        <v>9</v>
      </c>
      <c r="BJ581" t="s">
        <v>1094</v>
      </c>
      <c r="BK581" t="s">
        <v>102</v>
      </c>
      <c r="BL581" t="s">
        <v>1095</v>
      </c>
      <c r="BM581" t="s">
        <v>11190</v>
      </c>
      <c r="BN581" t="s">
        <v>74</v>
      </c>
      <c r="BO581" t="s">
        <v>74</v>
      </c>
      <c r="BP581" t="s">
        <v>74</v>
      </c>
      <c r="BQ581" t="s">
        <v>74</v>
      </c>
      <c r="BR581" t="s">
        <v>106</v>
      </c>
      <c r="BS581" t="s">
        <v>11234</v>
      </c>
      <c r="BT581" t="str">
        <f>HYPERLINK("https%3A%2F%2Fwww.webofscience.com%2Fwos%2Fwoscc%2Ffull-record%2FWOS:000371396900011","View Full Record in Web of Science")</f>
        <v>View Full Record in Web of Science</v>
      </c>
    </row>
    <row r="582" spans="1:72" x14ac:dyDescent="0.15">
      <c r="A582" t="s">
        <v>72</v>
      </c>
      <c r="B582" t="s">
        <v>11235</v>
      </c>
      <c r="C582" t="s">
        <v>74</v>
      </c>
      <c r="D582" t="s">
        <v>74</v>
      </c>
      <c r="E582" t="s">
        <v>74</v>
      </c>
      <c r="F582" t="s">
        <v>11236</v>
      </c>
      <c r="G582" t="s">
        <v>74</v>
      </c>
      <c r="H582" t="s">
        <v>74</v>
      </c>
      <c r="I582" t="s">
        <v>11237</v>
      </c>
      <c r="J582" t="s">
        <v>11238</v>
      </c>
      <c r="K582" t="s">
        <v>74</v>
      </c>
      <c r="L582" t="s">
        <v>74</v>
      </c>
      <c r="M582" t="s">
        <v>78</v>
      </c>
      <c r="N582" t="s">
        <v>79</v>
      </c>
      <c r="O582" t="s">
        <v>74</v>
      </c>
      <c r="P582" t="s">
        <v>74</v>
      </c>
      <c r="Q582" t="s">
        <v>74</v>
      </c>
      <c r="R582" t="s">
        <v>74</v>
      </c>
      <c r="S582" t="s">
        <v>74</v>
      </c>
      <c r="T582" t="s">
        <v>11239</v>
      </c>
      <c r="U582" t="s">
        <v>11240</v>
      </c>
      <c r="V582" t="s">
        <v>11241</v>
      </c>
      <c r="W582" t="s">
        <v>11242</v>
      </c>
      <c r="X582" t="s">
        <v>11243</v>
      </c>
      <c r="Y582" t="s">
        <v>11244</v>
      </c>
      <c r="Z582" t="s">
        <v>11245</v>
      </c>
      <c r="AA582" t="s">
        <v>11246</v>
      </c>
      <c r="AB582" t="s">
        <v>11247</v>
      </c>
      <c r="AC582" t="s">
        <v>11248</v>
      </c>
      <c r="AD582" t="s">
        <v>11249</v>
      </c>
      <c r="AE582" t="s">
        <v>11250</v>
      </c>
      <c r="AF582" t="s">
        <v>74</v>
      </c>
      <c r="AG582">
        <v>85</v>
      </c>
      <c r="AH582">
        <v>44</v>
      </c>
      <c r="AI582">
        <v>46</v>
      </c>
      <c r="AJ582">
        <v>1</v>
      </c>
      <c r="AK582">
        <v>46</v>
      </c>
      <c r="AL582" t="s">
        <v>5677</v>
      </c>
      <c r="AM582" t="s">
        <v>773</v>
      </c>
      <c r="AN582" t="s">
        <v>5678</v>
      </c>
      <c r="AO582" t="s">
        <v>11251</v>
      </c>
      <c r="AP582" t="s">
        <v>11252</v>
      </c>
      <c r="AQ582" t="s">
        <v>74</v>
      </c>
      <c r="AR582" t="s">
        <v>11253</v>
      </c>
      <c r="AS582" t="s">
        <v>11254</v>
      </c>
      <c r="AT582" t="s">
        <v>10046</v>
      </c>
      <c r="AU582">
        <v>2016</v>
      </c>
      <c r="AV582">
        <v>113</v>
      </c>
      <c r="AW582" t="s">
        <v>74</v>
      </c>
      <c r="AX582" t="s">
        <v>74</v>
      </c>
      <c r="AY582" t="s">
        <v>74</v>
      </c>
      <c r="AZ582" t="s">
        <v>74</v>
      </c>
      <c r="BA582" t="s">
        <v>74</v>
      </c>
      <c r="BB582">
        <v>99</v>
      </c>
      <c r="BC582">
        <v>112</v>
      </c>
      <c r="BD582" t="s">
        <v>74</v>
      </c>
      <c r="BE582" t="s">
        <v>11255</v>
      </c>
      <c r="BF582" t="str">
        <f>HYPERLINK("http://dx.doi.org/10.1016/j.anbehav.2015.12.021","http://dx.doi.org/10.1016/j.anbehav.2015.12.021")</f>
        <v>http://dx.doi.org/10.1016/j.anbehav.2015.12.021</v>
      </c>
      <c r="BG582" t="s">
        <v>74</v>
      </c>
      <c r="BH582" t="s">
        <v>74</v>
      </c>
      <c r="BI582">
        <v>14</v>
      </c>
      <c r="BJ582" t="s">
        <v>11256</v>
      </c>
      <c r="BK582" t="s">
        <v>102</v>
      </c>
      <c r="BL582" t="s">
        <v>11256</v>
      </c>
      <c r="BM582" t="s">
        <v>11257</v>
      </c>
      <c r="BN582" t="s">
        <v>74</v>
      </c>
      <c r="BO582" t="s">
        <v>74</v>
      </c>
      <c r="BP582" t="s">
        <v>74</v>
      </c>
      <c r="BQ582" t="s">
        <v>74</v>
      </c>
      <c r="BR582" t="s">
        <v>106</v>
      </c>
      <c r="BS582" t="s">
        <v>11258</v>
      </c>
      <c r="BT582" t="str">
        <f>HYPERLINK("https%3A%2F%2Fwww.webofscience.com%2Fwos%2Fwoscc%2Ffull-record%2FWOS:000371257300015","View Full Record in Web of Science")</f>
        <v>View Full Record in Web of Science</v>
      </c>
    </row>
    <row r="583" spans="1:72" x14ac:dyDescent="0.15">
      <c r="A583" t="s">
        <v>72</v>
      </c>
      <c r="B583" t="s">
        <v>11259</v>
      </c>
      <c r="C583" t="s">
        <v>74</v>
      </c>
      <c r="D583" t="s">
        <v>74</v>
      </c>
      <c r="E583" t="s">
        <v>74</v>
      </c>
      <c r="F583" t="s">
        <v>11260</v>
      </c>
      <c r="G583" t="s">
        <v>74</v>
      </c>
      <c r="H583" t="s">
        <v>74</v>
      </c>
      <c r="I583" t="s">
        <v>11261</v>
      </c>
      <c r="J583" t="s">
        <v>11262</v>
      </c>
      <c r="K583" t="s">
        <v>74</v>
      </c>
      <c r="L583" t="s">
        <v>74</v>
      </c>
      <c r="M583" t="s">
        <v>78</v>
      </c>
      <c r="N583" t="s">
        <v>79</v>
      </c>
      <c r="O583" t="s">
        <v>74</v>
      </c>
      <c r="P583" t="s">
        <v>74</v>
      </c>
      <c r="Q583" t="s">
        <v>74</v>
      </c>
      <c r="R583" t="s">
        <v>74</v>
      </c>
      <c r="S583" t="s">
        <v>74</v>
      </c>
      <c r="T583" t="s">
        <v>11263</v>
      </c>
      <c r="U583" t="s">
        <v>74</v>
      </c>
      <c r="V583" t="s">
        <v>11264</v>
      </c>
      <c r="W583" t="s">
        <v>11265</v>
      </c>
      <c r="X583" t="s">
        <v>11266</v>
      </c>
      <c r="Y583" t="s">
        <v>11267</v>
      </c>
      <c r="Z583" t="s">
        <v>11268</v>
      </c>
      <c r="AA583" t="s">
        <v>74</v>
      </c>
      <c r="AB583" t="s">
        <v>74</v>
      </c>
      <c r="AC583" t="s">
        <v>74</v>
      </c>
      <c r="AD583" t="s">
        <v>74</v>
      </c>
      <c r="AE583" t="s">
        <v>74</v>
      </c>
      <c r="AF583" t="s">
        <v>74</v>
      </c>
      <c r="AG583">
        <v>20</v>
      </c>
      <c r="AH583">
        <v>0</v>
      </c>
      <c r="AI583">
        <v>0</v>
      </c>
      <c r="AJ583">
        <v>0</v>
      </c>
      <c r="AK583">
        <v>4</v>
      </c>
      <c r="AL583" t="s">
        <v>11269</v>
      </c>
      <c r="AM583" t="s">
        <v>11270</v>
      </c>
      <c r="AN583" t="s">
        <v>11271</v>
      </c>
      <c r="AO583" t="s">
        <v>11272</v>
      </c>
      <c r="AP583" t="s">
        <v>11273</v>
      </c>
      <c r="AQ583" t="s">
        <v>74</v>
      </c>
      <c r="AR583" t="s">
        <v>11262</v>
      </c>
      <c r="AS583" t="s">
        <v>11274</v>
      </c>
      <c r="AT583" t="s">
        <v>11275</v>
      </c>
      <c r="AU583">
        <v>2016</v>
      </c>
      <c r="AV583">
        <v>51</v>
      </c>
      <c r="AW583">
        <v>1</v>
      </c>
      <c r="AX583" t="s">
        <v>74</v>
      </c>
      <c r="AY583" t="s">
        <v>74</v>
      </c>
      <c r="AZ583" t="s">
        <v>74</v>
      </c>
      <c r="BA583" t="s">
        <v>74</v>
      </c>
      <c r="BB583">
        <v>38</v>
      </c>
      <c r="BC583">
        <v>50</v>
      </c>
      <c r="BD583" t="s">
        <v>74</v>
      </c>
      <c r="BE583" t="s">
        <v>11276</v>
      </c>
      <c r="BF583" t="str">
        <f>HYPERLINK("http://dx.doi.org/10.3138/cart.51.1.3182","http://dx.doi.org/10.3138/cart.51.1.3182")</f>
        <v>http://dx.doi.org/10.3138/cart.51.1.3182</v>
      </c>
      <c r="BG583" t="s">
        <v>74</v>
      </c>
      <c r="BH583" t="s">
        <v>74</v>
      </c>
      <c r="BI583">
        <v>13</v>
      </c>
      <c r="BJ583" t="s">
        <v>11277</v>
      </c>
      <c r="BK583" t="s">
        <v>967</v>
      </c>
      <c r="BL583" t="s">
        <v>11277</v>
      </c>
      <c r="BM583" t="s">
        <v>11278</v>
      </c>
      <c r="BN583" t="s">
        <v>74</v>
      </c>
      <c r="BO583" t="s">
        <v>74</v>
      </c>
      <c r="BP583" t="s">
        <v>74</v>
      </c>
      <c r="BQ583" t="s">
        <v>74</v>
      </c>
      <c r="BR583" t="s">
        <v>106</v>
      </c>
      <c r="BS583" t="s">
        <v>11279</v>
      </c>
      <c r="BT583" t="str">
        <f>HYPERLINK("https%3A%2F%2Fwww.webofscience.com%2Fwos%2Fwoscc%2Ffull-record%2FWOS:000371166500004","View Full Record in Web of Science")</f>
        <v>View Full Record in Web of Science</v>
      </c>
    </row>
    <row r="584" spans="1:72" x14ac:dyDescent="0.15">
      <c r="A584" t="s">
        <v>72</v>
      </c>
      <c r="B584" t="s">
        <v>11280</v>
      </c>
      <c r="C584" t="s">
        <v>74</v>
      </c>
      <c r="D584" t="s">
        <v>74</v>
      </c>
      <c r="E584" t="s">
        <v>74</v>
      </c>
      <c r="F584" t="s">
        <v>11281</v>
      </c>
      <c r="G584" t="s">
        <v>74</v>
      </c>
      <c r="H584" t="s">
        <v>74</v>
      </c>
      <c r="I584" t="s">
        <v>11282</v>
      </c>
      <c r="J584" t="s">
        <v>11283</v>
      </c>
      <c r="K584" t="s">
        <v>74</v>
      </c>
      <c r="L584" t="s">
        <v>74</v>
      </c>
      <c r="M584" t="s">
        <v>78</v>
      </c>
      <c r="N584" t="s">
        <v>79</v>
      </c>
      <c r="O584" t="s">
        <v>74</v>
      </c>
      <c r="P584" t="s">
        <v>74</v>
      </c>
      <c r="Q584" t="s">
        <v>74</v>
      </c>
      <c r="R584" t="s">
        <v>74</v>
      </c>
      <c r="S584" t="s">
        <v>74</v>
      </c>
      <c r="T584" t="s">
        <v>11284</v>
      </c>
      <c r="U584" t="s">
        <v>11285</v>
      </c>
      <c r="V584" t="s">
        <v>11286</v>
      </c>
      <c r="W584" t="s">
        <v>11287</v>
      </c>
      <c r="X584" t="s">
        <v>11288</v>
      </c>
      <c r="Y584" t="s">
        <v>11289</v>
      </c>
      <c r="Z584" t="s">
        <v>11290</v>
      </c>
      <c r="AA584" t="s">
        <v>74</v>
      </c>
      <c r="AB584" t="s">
        <v>11291</v>
      </c>
      <c r="AC584" t="s">
        <v>11292</v>
      </c>
      <c r="AD584" t="s">
        <v>11293</v>
      </c>
      <c r="AE584" t="s">
        <v>11294</v>
      </c>
      <c r="AF584" t="s">
        <v>74</v>
      </c>
      <c r="AG584">
        <v>98</v>
      </c>
      <c r="AH584">
        <v>10</v>
      </c>
      <c r="AI584">
        <v>11</v>
      </c>
      <c r="AJ584">
        <v>2</v>
      </c>
      <c r="AK584">
        <v>29</v>
      </c>
      <c r="AL584" t="s">
        <v>124</v>
      </c>
      <c r="AM584" t="s">
        <v>125</v>
      </c>
      <c r="AN584" t="s">
        <v>126</v>
      </c>
      <c r="AO584" t="s">
        <v>11295</v>
      </c>
      <c r="AP584" t="s">
        <v>74</v>
      </c>
      <c r="AQ584" t="s">
        <v>74</v>
      </c>
      <c r="AR584" t="s">
        <v>11296</v>
      </c>
      <c r="AS584" t="s">
        <v>11297</v>
      </c>
      <c r="AT584" t="s">
        <v>10046</v>
      </c>
      <c r="AU584">
        <v>2016</v>
      </c>
      <c r="AV584">
        <v>6</v>
      </c>
      <c r="AW584">
        <v>5</v>
      </c>
      <c r="AX584" t="s">
        <v>74</v>
      </c>
      <c r="AY584" t="s">
        <v>74</v>
      </c>
      <c r="AZ584" t="s">
        <v>74</v>
      </c>
      <c r="BA584" t="s">
        <v>74</v>
      </c>
      <c r="BB584">
        <v>1555</v>
      </c>
      <c r="BC584">
        <v>1575</v>
      </c>
      <c r="BD584" t="s">
        <v>74</v>
      </c>
      <c r="BE584" t="s">
        <v>11298</v>
      </c>
      <c r="BF584" t="str">
        <f>HYPERLINK("http://dx.doi.org/10.1002/ece3.1989","http://dx.doi.org/10.1002/ece3.1989")</f>
        <v>http://dx.doi.org/10.1002/ece3.1989</v>
      </c>
      <c r="BG584" t="s">
        <v>74</v>
      </c>
      <c r="BH584" t="s">
        <v>74</v>
      </c>
      <c r="BI584">
        <v>21</v>
      </c>
      <c r="BJ584" t="s">
        <v>7663</v>
      </c>
      <c r="BK584" t="s">
        <v>102</v>
      </c>
      <c r="BL584" t="s">
        <v>7664</v>
      </c>
      <c r="BM584" t="s">
        <v>11299</v>
      </c>
      <c r="BN584">
        <v>27087928</v>
      </c>
      <c r="BO584" t="s">
        <v>1684</v>
      </c>
      <c r="BP584" t="s">
        <v>74</v>
      </c>
      <c r="BQ584" t="s">
        <v>74</v>
      </c>
      <c r="BR584" t="s">
        <v>106</v>
      </c>
      <c r="BS584" t="s">
        <v>11300</v>
      </c>
      <c r="BT584" t="str">
        <f>HYPERLINK("https%3A%2F%2Fwww.webofscience.com%2Fwos%2Fwoscc%2Ffull-record%2FWOS:000371221600023","View Full Record in Web of Science")</f>
        <v>View Full Record in Web of Science</v>
      </c>
    </row>
    <row r="585" spans="1:72" x14ac:dyDescent="0.15">
      <c r="A585" t="s">
        <v>72</v>
      </c>
      <c r="B585" t="s">
        <v>11301</v>
      </c>
      <c r="C585" t="s">
        <v>74</v>
      </c>
      <c r="D585" t="s">
        <v>74</v>
      </c>
      <c r="E585" t="s">
        <v>74</v>
      </c>
      <c r="F585" t="s">
        <v>11302</v>
      </c>
      <c r="G585" t="s">
        <v>74</v>
      </c>
      <c r="H585" t="s">
        <v>74</v>
      </c>
      <c r="I585" t="s">
        <v>11303</v>
      </c>
      <c r="J585" t="s">
        <v>11304</v>
      </c>
      <c r="K585" t="s">
        <v>74</v>
      </c>
      <c r="L585" t="s">
        <v>74</v>
      </c>
      <c r="M585" t="s">
        <v>78</v>
      </c>
      <c r="N585" t="s">
        <v>79</v>
      </c>
      <c r="O585" t="s">
        <v>74</v>
      </c>
      <c r="P585" t="s">
        <v>74</v>
      </c>
      <c r="Q585" t="s">
        <v>74</v>
      </c>
      <c r="R585" t="s">
        <v>74</v>
      </c>
      <c r="S585" t="s">
        <v>74</v>
      </c>
      <c r="T585" t="s">
        <v>11305</v>
      </c>
      <c r="U585" t="s">
        <v>11306</v>
      </c>
      <c r="V585" t="s">
        <v>11307</v>
      </c>
      <c r="W585" t="s">
        <v>11308</v>
      </c>
      <c r="X585" t="s">
        <v>11309</v>
      </c>
      <c r="Y585" t="s">
        <v>11310</v>
      </c>
      <c r="Z585" t="s">
        <v>11311</v>
      </c>
      <c r="AA585" t="s">
        <v>11312</v>
      </c>
      <c r="AB585" t="s">
        <v>11313</v>
      </c>
      <c r="AC585" t="s">
        <v>11314</v>
      </c>
      <c r="AD585" t="s">
        <v>11314</v>
      </c>
      <c r="AE585" t="s">
        <v>11315</v>
      </c>
      <c r="AF585" t="s">
        <v>74</v>
      </c>
      <c r="AG585">
        <v>78</v>
      </c>
      <c r="AH585">
        <v>15</v>
      </c>
      <c r="AI585">
        <v>18</v>
      </c>
      <c r="AJ585">
        <v>0</v>
      </c>
      <c r="AK585">
        <v>20</v>
      </c>
      <c r="AL585" t="s">
        <v>11316</v>
      </c>
      <c r="AM585" t="s">
        <v>773</v>
      </c>
      <c r="AN585" t="s">
        <v>11317</v>
      </c>
      <c r="AO585" t="s">
        <v>11318</v>
      </c>
      <c r="AP585" t="s">
        <v>11319</v>
      </c>
      <c r="AQ585" t="s">
        <v>74</v>
      </c>
      <c r="AR585" t="s">
        <v>11304</v>
      </c>
      <c r="AS585" t="s">
        <v>11320</v>
      </c>
      <c r="AT585" t="s">
        <v>10046</v>
      </c>
      <c r="AU585">
        <v>2016</v>
      </c>
      <c r="AV585">
        <v>26</v>
      </c>
      <c r="AW585">
        <v>3</v>
      </c>
      <c r="AX585" t="s">
        <v>74</v>
      </c>
      <c r="AY585" t="s">
        <v>74</v>
      </c>
      <c r="AZ585" t="s">
        <v>74</v>
      </c>
      <c r="BA585" t="s">
        <v>74</v>
      </c>
      <c r="BB585">
        <v>338</v>
      </c>
      <c r="BC585">
        <v>349</v>
      </c>
      <c r="BD585" t="s">
        <v>74</v>
      </c>
      <c r="BE585" t="s">
        <v>11321</v>
      </c>
      <c r="BF585" t="str">
        <f>HYPERLINK("http://dx.doi.org/10.1177/0959683615609749","http://dx.doi.org/10.1177/0959683615609749")</f>
        <v>http://dx.doi.org/10.1177/0959683615609749</v>
      </c>
      <c r="BG585" t="s">
        <v>74</v>
      </c>
      <c r="BH585" t="s">
        <v>74</v>
      </c>
      <c r="BI585">
        <v>12</v>
      </c>
      <c r="BJ585" t="s">
        <v>1904</v>
      </c>
      <c r="BK585" t="s">
        <v>102</v>
      </c>
      <c r="BL585" t="s">
        <v>1905</v>
      </c>
      <c r="BM585" t="s">
        <v>11322</v>
      </c>
      <c r="BN585" t="s">
        <v>74</v>
      </c>
      <c r="BO585" t="s">
        <v>74</v>
      </c>
      <c r="BP585" t="s">
        <v>74</v>
      </c>
      <c r="BQ585" t="s">
        <v>74</v>
      </c>
      <c r="BR585" t="s">
        <v>106</v>
      </c>
      <c r="BS585" t="s">
        <v>11323</v>
      </c>
      <c r="BT585" t="str">
        <f>HYPERLINK("https%3A%2F%2Fwww.webofscience.com%2Fwos%2Fwoscc%2Ffull-record%2FWOS:000371133100002","View Full Record in Web of Science")</f>
        <v>View Full Record in Web of Science</v>
      </c>
    </row>
    <row r="586" spans="1:72" x14ac:dyDescent="0.15">
      <c r="A586" t="s">
        <v>72</v>
      </c>
      <c r="B586" t="s">
        <v>11324</v>
      </c>
      <c r="C586" t="s">
        <v>74</v>
      </c>
      <c r="D586" t="s">
        <v>74</v>
      </c>
      <c r="E586" t="s">
        <v>74</v>
      </c>
      <c r="F586" t="s">
        <v>11325</v>
      </c>
      <c r="G586" t="s">
        <v>74</v>
      </c>
      <c r="H586" t="s">
        <v>74</v>
      </c>
      <c r="I586" t="s">
        <v>11326</v>
      </c>
      <c r="J586" t="s">
        <v>11327</v>
      </c>
      <c r="K586" t="s">
        <v>74</v>
      </c>
      <c r="L586" t="s">
        <v>74</v>
      </c>
      <c r="M586" t="s">
        <v>78</v>
      </c>
      <c r="N586" t="s">
        <v>79</v>
      </c>
      <c r="O586" t="s">
        <v>74</v>
      </c>
      <c r="P586" t="s">
        <v>74</v>
      </c>
      <c r="Q586" t="s">
        <v>74</v>
      </c>
      <c r="R586" t="s">
        <v>74</v>
      </c>
      <c r="S586" t="s">
        <v>74</v>
      </c>
      <c r="T586" t="s">
        <v>11328</v>
      </c>
      <c r="U586" t="s">
        <v>11329</v>
      </c>
      <c r="V586" t="s">
        <v>11330</v>
      </c>
      <c r="W586" t="s">
        <v>11331</v>
      </c>
      <c r="X586" t="s">
        <v>11332</v>
      </c>
      <c r="Y586" t="s">
        <v>11333</v>
      </c>
      <c r="Z586" t="s">
        <v>11334</v>
      </c>
      <c r="AA586" t="s">
        <v>2618</v>
      </c>
      <c r="AB586" t="s">
        <v>74</v>
      </c>
      <c r="AC586" t="s">
        <v>11335</v>
      </c>
      <c r="AD586" t="s">
        <v>11336</v>
      </c>
      <c r="AE586" t="s">
        <v>11337</v>
      </c>
      <c r="AF586" t="s">
        <v>74</v>
      </c>
      <c r="AG586">
        <v>75</v>
      </c>
      <c r="AH586">
        <v>14</v>
      </c>
      <c r="AI586">
        <v>15</v>
      </c>
      <c r="AJ586">
        <v>0</v>
      </c>
      <c r="AK586">
        <v>31</v>
      </c>
      <c r="AL586" t="s">
        <v>626</v>
      </c>
      <c r="AM586" t="s">
        <v>583</v>
      </c>
      <c r="AN586" t="s">
        <v>627</v>
      </c>
      <c r="AO586" t="s">
        <v>11338</v>
      </c>
      <c r="AP586" t="s">
        <v>11339</v>
      </c>
      <c r="AQ586" t="s">
        <v>74</v>
      </c>
      <c r="AR586" t="s">
        <v>11340</v>
      </c>
      <c r="AS586" t="s">
        <v>11341</v>
      </c>
      <c r="AT586" t="s">
        <v>10046</v>
      </c>
      <c r="AU586">
        <v>2016</v>
      </c>
      <c r="AV586">
        <v>113</v>
      </c>
      <c r="AW586" t="s">
        <v>74</v>
      </c>
      <c r="AX586" t="s">
        <v>74</v>
      </c>
      <c r="AY586" t="s">
        <v>74</v>
      </c>
      <c r="AZ586" t="s">
        <v>74</v>
      </c>
      <c r="BA586" t="s">
        <v>74</v>
      </c>
      <c r="BB586">
        <v>124</v>
      </c>
      <c r="BC586">
        <v>143</v>
      </c>
      <c r="BD586" t="s">
        <v>74</v>
      </c>
      <c r="BE586" t="s">
        <v>11342</v>
      </c>
      <c r="BF586" t="str">
        <f>HYPERLINK("http://dx.doi.org/10.1016/j.isprsjprs.2015.12.009","http://dx.doi.org/10.1016/j.isprsjprs.2015.12.009")</f>
        <v>http://dx.doi.org/10.1016/j.isprsjprs.2015.12.009</v>
      </c>
      <c r="BG586" t="s">
        <v>74</v>
      </c>
      <c r="BH586" t="s">
        <v>74</v>
      </c>
      <c r="BI586">
        <v>20</v>
      </c>
      <c r="BJ586" t="s">
        <v>11343</v>
      </c>
      <c r="BK586" t="s">
        <v>102</v>
      </c>
      <c r="BL586" t="s">
        <v>11344</v>
      </c>
      <c r="BM586" t="s">
        <v>11345</v>
      </c>
      <c r="BN586" t="s">
        <v>74</v>
      </c>
      <c r="BO586" t="s">
        <v>222</v>
      </c>
      <c r="BP586" t="s">
        <v>74</v>
      </c>
      <c r="BQ586" t="s">
        <v>74</v>
      </c>
      <c r="BR586" t="s">
        <v>106</v>
      </c>
      <c r="BS586" t="s">
        <v>11346</v>
      </c>
      <c r="BT586" t="str">
        <f>HYPERLINK("https%3A%2F%2Fwww.webofscience.com%2Fwos%2Fwoscc%2Ffull-record%2FWOS:000371555000010","View Full Record in Web of Science")</f>
        <v>View Full Record in Web of Science</v>
      </c>
    </row>
    <row r="587" spans="1:72" x14ac:dyDescent="0.15">
      <c r="A587" t="s">
        <v>72</v>
      </c>
      <c r="B587" t="s">
        <v>11347</v>
      </c>
      <c r="C587" t="s">
        <v>74</v>
      </c>
      <c r="D587" t="s">
        <v>74</v>
      </c>
      <c r="E587" t="s">
        <v>74</v>
      </c>
      <c r="F587" t="s">
        <v>11348</v>
      </c>
      <c r="G587" t="s">
        <v>74</v>
      </c>
      <c r="H587" t="s">
        <v>74</v>
      </c>
      <c r="I587" t="s">
        <v>11349</v>
      </c>
      <c r="J587" t="s">
        <v>3391</v>
      </c>
      <c r="K587" t="s">
        <v>74</v>
      </c>
      <c r="L587" t="s">
        <v>74</v>
      </c>
      <c r="M587" t="s">
        <v>78</v>
      </c>
      <c r="N587" t="s">
        <v>79</v>
      </c>
      <c r="O587" t="s">
        <v>74</v>
      </c>
      <c r="P587" t="s">
        <v>74</v>
      </c>
      <c r="Q587" t="s">
        <v>74</v>
      </c>
      <c r="R587" t="s">
        <v>74</v>
      </c>
      <c r="S587" t="s">
        <v>74</v>
      </c>
      <c r="T587" t="s">
        <v>11350</v>
      </c>
      <c r="U587" t="s">
        <v>11351</v>
      </c>
      <c r="V587" t="s">
        <v>11352</v>
      </c>
      <c r="W587" t="s">
        <v>11353</v>
      </c>
      <c r="X587" t="s">
        <v>11354</v>
      </c>
      <c r="Y587" t="s">
        <v>11355</v>
      </c>
      <c r="Z587" t="s">
        <v>11356</v>
      </c>
      <c r="AA587" t="s">
        <v>11357</v>
      </c>
      <c r="AB587" t="s">
        <v>11358</v>
      </c>
      <c r="AC587" t="s">
        <v>11359</v>
      </c>
      <c r="AD587" t="s">
        <v>11360</v>
      </c>
      <c r="AE587" t="s">
        <v>11361</v>
      </c>
      <c r="AF587" t="s">
        <v>74</v>
      </c>
      <c r="AG587">
        <v>51</v>
      </c>
      <c r="AH587">
        <v>87</v>
      </c>
      <c r="AI587">
        <v>90</v>
      </c>
      <c r="AJ587">
        <v>0</v>
      </c>
      <c r="AK587">
        <v>45</v>
      </c>
      <c r="AL587" t="s">
        <v>511</v>
      </c>
      <c r="AM587" t="s">
        <v>512</v>
      </c>
      <c r="AN587" t="s">
        <v>4522</v>
      </c>
      <c r="AO587" t="s">
        <v>3403</v>
      </c>
      <c r="AP587" t="s">
        <v>3404</v>
      </c>
      <c r="AQ587" t="s">
        <v>74</v>
      </c>
      <c r="AR587" t="s">
        <v>3405</v>
      </c>
      <c r="AS587" t="s">
        <v>3406</v>
      </c>
      <c r="AT587" t="s">
        <v>10046</v>
      </c>
      <c r="AU587">
        <v>2016</v>
      </c>
      <c r="AV587">
        <v>29</v>
      </c>
      <c r="AW587">
        <v>5</v>
      </c>
      <c r="AX587" t="s">
        <v>74</v>
      </c>
      <c r="AY587" t="s">
        <v>74</v>
      </c>
      <c r="AZ587" t="s">
        <v>74</v>
      </c>
      <c r="BA587" t="s">
        <v>74</v>
      </c>
      <c r="BB587">
        <v>1655</v>
      </c>
      <c r="BC587">
        <v>1672</v>
      </c>
      <c r="BD587" t="s">
        <v>74</v>
      </c>
      <c r="BE587" t="s">
        <v>11362</v>
      </c>
      <c r="BF587" t="str">
        <f>HYPERLINK("http://dx.doi.org/10.1175/JCLI-D-15-0501.1","http://dx.doi.org/10.1175/JCLI-D-15-0501.1")</f>
        <v>http://dx.doi.org/10.1175/JCLI-D-15-0501.1</v>
      </c>
      <c r="BG587" t="s">
        <v>74</v>
      </c>
      <c r="BH587" t="s">
        <v>74</v>
      </c>
      <c r="BI587">
        <v>18</v>
      </c>
      <c r="BJ587" t="s">
        <v>1726</v>
      </c>
      <c r="BK587" t="s">
        <v>102</v>
      </c>
      <c r="BL587" t="s">
        <v>1726</v>
      </c>
      <c r="BM587" t="s">
        <v>11363</v>
      </c>
      <c r="BN587" t="s">
        <v>74</v>
      </c>
      <c r="BO587" t="s">
        <v>222</v>
      </c>
      <c r="BP587" t="s">
        <v>74</v>
      </c>
      <c r="BQ587" t="s">
        <v>74</v>
      </c>
      <c r="BR587" t="s">
        <v>106</v>
      </c>
      <c r="BS587" t="s">
        <v>11364</v>
      </c>
      <c r="BT587" t="str">
        <f>HYPERLINK("https%3A%2F%2Fwww.webofscience.com%2Fwos%2Fwoscc%2Ffull-record%2FWOS:000371301300001","View Full Record in Web of Science")</f>
        <v>View Full Record in Web of Science</v>
      </c>
    </row>
    <row r="588" spans="1:72" x14ac:dyDescent="0.15">
      <c r="A588" t="s">
        <v>72</v>
      </c>
      <c r="B588" t="s">
        <v>11365</v>
      </c>
      <c r="C588" t="s">
        <v>74</v>
      </c>
      <c r="D588" t="s">
        <v>74</v>
      </c>
      <c r="E588" t="s">
        <v>74</v>
      </c>
      <c r="F588" t="s">
        <v>11366</v>
      </c>
      <c r="G588" t="s">
        <v>74</v>
      </c>
      <c r="H588" t="s">
        <v>74</v>
      </c>
      <c r="I588" t="s">
        <v>11367</v>
      </c>
      <c r="J588" t="s">
        <v>3391</v>
      </c>
      <c r="K588" t="s">
        <v>74</v>
      </c>
      <c r="L588" t="s">
        <v>74</v>
      </c>
      <c r="M588" t="s">
        <v>78</v>
      </c>
      <c r="N588" t="s">
        <v>79</v>
      </c>
      <c r="O588" t="s">
        <v>74</v>
      </c>
      <c r="P588" t="s">
        <v>74</v>
      </c>
      <c r="Q588" t="s">
        <v>74</v>
      </c>
      <c r="R588" t="s">
        <v>74</v>
      </c>
      <c r="S588" t="s">
        <v>74</v>
      </c>
      <c r="T588" t="s">
        <v>11368</v>
      </c>
      <c r="U588" t="s">
        <v>11369</v>
      </c>
      <c r="V588" t="s">
        <v>11370</v>
      </c>
      <c r="W588" t="s">
        <v>11371</v>
      </c>
      <c r="X588" t="s">
        <v>11372</v>
      </c>
      <c r="Y588" t="s">
        <v>11373</v>
      </c>
      <c r="Z588" t="s">
        <v>11374</v>
      </c>
      <c r="AA588" t="s">
        <v>11375</v>
      </c>
      <c r="AB588" t="s">
        <v>11376</v>
      </c>
      <c r="AC588" t="s">
        <v>11377</v>
      </c>
      <c r="AD588" t="s">
        <v>11378</v>
      </c>
      <c r="AE588" t="s">
        <v>11379</v>
      </c>
      <c r="AF588" t="s">
        <v>74</v>
      </c>
      <c r="AG588">
        <v>77</v>
      </c>
      <c r="AH588">
        <v>28</v>
      </c>
      <c r="AI588">
        <v>29</v>
      </c>
      <c r="AJ588">
        <v>1</v>
      </c>
      <c r="AK588">
        <v>25</v>
      </c>
      <c r="AL588" t="s">
        <v>511</v>
      </c>
      <c r="AM588" t="s">
        <v>512</v>
      </c>
      <c r="AN588" t="s">
        <v>513</v>
      </c>
      <c r="AO588" t="s">
        <v>3403</v>
      </c>
      <c r="AP588" t="s">
        <v>3404</v>
      </c>
      <c r="AQ588" t="s">
        <v>74</v>
      </c>
      <c r="AR588" t="s">
        <v>3405</v>
      </c>
      <c r="AS588" t="s">
        <v>3406</v>
      </c>
      <c r="AT588" t="s">
        <v>10046</v>
      </c>
      <c r="AU588">
        <v>2016</v>
      </c>
      <c r="AV588">
        <v>29</v>
      </c>
      <c r="AW588">
        <v>5</v>
      </c>
      <c r="AX588" t="s">
        <v>74</v>
      </c>
      <c r="AY588" t="s">
        <v>74</v>
      </c>
      <c r="AZ588" t="s">
        <v>74</v>
      </c>
      <c r="BA588" t="s">
        <v>74</v>
      </c>
      <c r="BB588">
        <v>1689</v>
      </c>
      <c r="BC588">
        <v>1716</v>
      </c>
      <c r="BD588" t="s">
        <v>74</v>
      </c>
      <c r="BE588" t="s">
        <v>11380</v>
      </c>
      <c r="BF588" t="str">
        <f>HYPERLINK("http://dx.doi.org/10.1175/JCLI-D-15-0429.1","http://dx.doi.org/10.1175/JCLI-D-15-0429.1")</f>
        <v>http://dx.doi.org/10.1175/JCLI-D-15-0429.1</v>
      </c>
      <c r="BG588" t="s">
        <v>74</v>
      </c>
      <c r="BH588" t="s">
        <v>74</v>
      </c>
      <c r="BI588">
        <v>28</v>
      </c>
      <c r="BJ588" t="s">
        <v>1726</v>
      </c>
      <c r="BK588" t="s">
        <v>102</v>
      </c>
      <c r="BL588" t="s">
        <v>1726</v>
      </c>
      <c r="BM588" t="s">
        <v>11381</v>
      </c>
      <c r="BN588" t="s">
        <v>74</v>
      </c>
      <c r="BO588" t="s">
        <v>222</v>
      </c>
      <c r="BP588" t="s">
        <v>74</v>
      </c>
      <c r="BQ588" t="s">
        <v>74</v>
      </c>
      <c r="BR588" t="s">
        <v>106</v>
      </c>
      <c r="BS588" t="s">
        <v>11382</v>
      </c>
      <c r="BT588" t="str">
        <f>HYPERLINK("https%3A%2F%2Fwww.webofscience.com%2Fwos%2Fwoscc%2Ffull-record%2FWOS:000371301600001","View Full Record in Web of Science")</f>
        <v>View Full Record in Web of Science</v>
      </c>
    </row>
    <row r="589" spans="1:72" x14ac:dyDescent="0.15">
      <c r="A589" t="s">
        <v>72</v>
      </c>
      <c r="B589" t="s">
        <v>11383</v>
      </c>
      <c r="C589" t="s">
        <v>74</v>
      </c>
      <c r="D589" t="s">
        <v>74</v>
      </c>
      <c r="E589" t="s">
        <v>74</v>
      </c>
      <c r="F589" t="s">
        <v>11384</v>
      </c>
      <c r="G589" t="s">
        <v>74</v>
      </c>
      <c r="H589" t="s">
        <v>74</v>
      </c>
      <c r="I589" t="s">
        <v>11385</v>
      </c>
      <c r="J589" t="s">
        <v>3391</v>
      </c>
      <c r="K589" t="s">
        <v>74</v>
      </c>
      <c r="L589" t="s">
        <v>74</v>
      </c>
      <c r="M589" t="s">
        <v>78</v>
      </c>
      <c r="N589" t="s">
        <v>79</v>
      </c>
      <c r="O589" t="s">
        <v>74</v>
      </c>
      <c r="P589" t="s">
        <v>74</v>
      </c>
      <c r="Q589" t="s">
        <v>74</v>
      </c>
      <c r="R589" t="s">
        <v>74</v>
      </c>
      <c r="S589" t="s">
        <v>74</v>
      </c>
      <c r="T589" t="s">
        <v>11386</v>
      </c>
      <c r="U589" t="s">
        <v>11387</v>
      </c>
      <c r="V589" t="s">
        <v>11388</v>
      </c>
      <c r="W589" t="s">
        <v>11389</v>
      </c>
      <c r="X589" t="s">
        <v>11390</v>
      </c>
      <c r="Y589" t="s">
        <v>11391</v>
      </c>
      <c r="Z589" t="s">
        <v>11392</v>
      </c>
      <c r="AA589" t="s">
        <v>74</v>
      </c>
      <c r="AB589" t="s">
        <v>11393</v>
      </c>
      <c r="AC589" t="s">
        <v>11394</v>
      </c>
      <c r="AD589" t="s">
        <v>11395</v>
      </c>
      <c r="AE589" t="s">
        <v>11396</v>
      </c>
      <c r="AF589" t="s">
        <v>74</v>
      </c>
      <c r="AG589">
        <v>38</v>
      </c>
      <c r="AH589">
        <v>34</v>
      </c>
      <c r="AI589">
        <v>40</v>
      </c>
      <c r="AJ589">
        <v>8</v>
      </c>
      <c r="AK589">
        <v>34</v>
      </c>
      <c r="AL589" t="s">
        <v>511</v>
      </c>
      <c r="AM589" t="s">
        <v>512</v>
      </c>
      <c r="AN589" t="s">
        <v>513</v>
      </c>
      <c r="AO589" t="s">
        <v>3403</v>
      </c>
      <c r="AP589" t="s">
        <v>3404</v>
      </c>
      <c r="AQ589" t="s">
        <v>74</v>
      </c>
      <c r="AR589" t="s">
        <v>3405</v>
      </c>
      <c r="AS589" t="s">
        <v>3406</v>
      </c>
      <c r="AT589" t="s">
        <v>10046</v>
      </c>
      <c r="AU589">
        <v>2016</v>
      </c>
      <c r="AV589">
        <v>29</v>
      </c>
      <c r="AW589">
        <v>5</v>
      </c>
      <c r="AX589" t="s">
        <v>74</v>
      </c>
      <c r="AY589" t="s">
        <v>74</v>
      </c>
      <c r="AZ589" t="s">
        <v>74</v>
      </c>
      <c r="BA589" t="s">
        <v>74</v>
      </c>
      <c r="BB589">
        <v>1797</v>
      </c>
      <c r="BC589">
        <v>1808</v>
      </c>
      <c r="BD589" t="s">
        <v>74</v>
      </c>
      <c r="BE589" t="s">
        <v>11397</v>
      </c>
      <c r="BF589" t="str">
        <f>HYPERLINK("http://dx.doi.org/10.1175/JCLI-D-15-0108.1","http://dx.doi.org/10.1175/JCLI-D-15-0108.1")</f>
        <v>http://dx.doi.org/10.1175/JCLI-D-15-0108.1</v>
      </c>
      <c r="BG589" t="s">
        <v>74</v>
      </c>
      <c r="BH589" t="s">
        <v>74</v>
      </c>
      <c r="BI589">
        <v>12</v>
      </c>
      <c r="BJ589" t="s">
        <v>1726</v>
      </c>
      <c r="BK589" t="s">
        <v>102</v>
      </c>
      <c r="BL589" t="s">
        <v>1726</v>
      </c>
      <c r="BM589" t="s">
        <v>11381</v>
      </c>
      <c r="BN589" t="s">
        <v>74</v>
      </c>
      <c r="BO589" t="s">
        <v>74</v>
      </c>
      <c r="BP589" t="s">
        <v>74</v>
      </c>
      <c r="BQ589" t="s">
        <v>74</v>
      </c>
      <c r="BR589" t="s">
        <v>106</v>
      </c>
      <c r="BS589" t="s">
        <v>11398</v>
      </c>
      <c r="BT589" t="str">
        <f>HYPERLINK("https%3A%2F%2Fwww.webofscience.com%2Fwos%2Fwoscc%2Ffull-record%2FWOS:000371301600007","View Full Record in Web of Science")</f>
        <v>View Full Record in Web of Science</v>
      </c>
    </row>
    <row r="590" spans="1:72" x14ac:dyDescent="0.15">
      <c r="A590" t="s">
        <v>72</v>
      </c>
      <c r="B590" t="s">
        <v>11399</v>
      </c>
      <c r="C590" t="s">
        <v>74</v>
      </c>
      <c r="D590" t="s">
        <v>74</v>
      </c>
      <c r="E590" t="s">
        <v>74</v>
      </c>
      <c r="F590" t="s">
        <v>11400</v>
      </c>
      <c r="G590" t="s">
        <v>74</v>
      </c>
      <c r="H590" t="s">
        <v>74</v>
      </c>
      <c r="I590" t="s">
        <v>11401</v>
      </c>
      <c r="J590" t="s">
        <v>500</v>
      </c>
      <c r="K590" t="s">
        <v>74</v>
      </c>
      <c r="L590" t="s">
        <v>74</v>
      </c>
      <c r="M590" t="s">
        <v>78</v>
      </c>
      <c r="N590" t="s">
        <v>79</v>
      </c>
      <c r="O590" t="s">
        <v>74</v>
      </c>
      <c r="P590" t="s">
        <v>74</v>
      </c>
      <c r="Q590" t="s">
        <v>74</v>
      </c>
      <c r="R590" t="s">
        <v>74</v>
      </c>
      <c r="S590" t="s">
        <v>74</v>
      </c>
      <c r="T590" t="s">
        <v>11402</v>
      </c>
      <c r="U590" t="s">
        <v>11403</v>
      </c>
      <c r="V590" t="s">
        <v>11404</v>
      </c>
      <c r="W590" t="s">
        <v>11405</v>
      </c>
      <c r="X590" t="s">
        <v>11406</v>
      </c>
      <c r="Y590" t="s">
        <v>11407</v>
      </c>
      <c r="Z590" t="s">
        <v>11408</v>
      </c>
      <c r="AA590" t="s">
        <v>11409</v>
      </c>
      <c r="AB590" t="s">
        <v>11410</v>
      </c>
      <c r="AC590" t="s">
        <v>11411</v>
      </c>
      <c r="AD590" t="s">
        <v>11412</v>
      </c>
      <c r="AE590" t="s">
        <v>11413</v>
      </c>
      <c r="AF590" t="s">
        <v>74</v>
      </c>
      <c r="AG590">
        <v>74</v>
      </c>
      <c r="AH590">
        <v>22</v>
      </c>
      <c r="AI590">
        <v>24</v>
      </c>
      <c r="AJ590">
        <v>3</v>
      </c>
      <c r="AK590">
        <v>41</v>
      </c>
      <c r="AL590" t="s">
        <v>511</v>
      </c>
      <c r="AM590" t="s">
        <v>512</v>
      </c>
      <c r="AN590" t="s">
        <v>513</v>
      </c>
      <c r="AO590" t="s">
        <v>514</v>
      </c>
      <c r="AP590" t="s">
        <v>515</v>
      </c>
      <c r="AQ590" t="s">
        <v>74</v>
      </c>
      <c r="AR590" t="s">
        <v>516</v>
      </c>
      <c r="AS590" t="s">
        <v>517</v>
      </c>
      <c r="AT590" t="s">
        <v>10046</v>
      </c>
      <c r="AU590">
        <v>2016</v>
      </c>
      <c r="AV590">
        <v>46</v>
      </c>
      <c r="AW590">
        <v>3</v>
      </c>
      <c r="AX590" t="s">
        <v>74</v>
      </c>
      <c r="AY590" t="s">
        <v>74</v>
      </c>
      <c r="AZ590" t="s">
        <v>74</v>
      </c>
      <c r="BA590" t="s">
        <v>74</v>
      </c>
      <c r="BB590">
        <v>749</v>
      </c>
      <c r="BC590">
        <v>768</v>
      </c>
      <c r="BD590" t="s">
        <v>74</v>
      </c>
      <c r="BE590" t="s">
        <v>11414</v>
      </c>
      <c r="BF590" t="str">
        <f>HYPERLINK("http://dx.doi.org/10.1175/JPO-D-15-0131.1","http://dx.doi.org/10.1175/JPO-D-15-0131.1")</f>
        <v>http://dx.doi.org/10.1175/JPO-D-15-0131.1</v>
      </c>
      <c r="BG590" t="s">
        <v>74</v>
      </c>
      <c r="BH590" t="s">
        <v>74</v>
      </c>
      <c r="BI590">
        <v>20</v>
      </c>
      <c r="BJ590" t="s">
        <v>361</v>
      </c>
      <c r="BK590" t="s">
        <v>102</v>
      </c>
      <c r="BL590" t="s">
        <v>361</v>
      </c>
      <c r="BM590" t="s">
        <v>11415</v>
      </c>
      <c r="BN590" t="s">
        <v>74</v>
      </c>
      <c r="BO590" t="s">
        <v>222</v>
      </c>
      <c r="BP590" t="s">
        <v>74</v>
      </c>
      <c r="BQ590" t="s">
        <v>74</v>
      </c>
      <c r="BR590" t="s">
        <v>106</v>
      </c>
      <c r="BS590" t="s">
        <v>11416</v>
      </c>
      <c r="BT590" t="str">
        <f>HYPERLINK("https%3A%2F%2Fwww.webofscience.com%2Fwos%2Fwoscc%2Ffull-record%2FWOS:000371475200001","View Full Record in Web of Science")</f>
        <v>View Full Record in Web of Science</v>
      </c>
    </row>
    <row r="591" spans="1:72" x14ac:dyDescent="0.15">
      <c r="A591" t="s">
        <v>72</v>
      </c>
      <c r="B591" t="s">
        <v>11417</v>
      </c>
      <c r="C591" t="s">
        <v>74</v>
      </c>
      <c r="D591" t="s">
        <v>74</v>
      </c>
      <c r="E591" t="s">
        <v>74</v>
      </c>
      <c r="F591" t="s">
        <v>11418</v>
      </c>
      <c r="G591" t="s">
        <v>74</v>
      </c>
      <c r="H591" t="s">
        <v>74</v>
      </c>
      <c r="I591" t="s">
        <v>11419</v>
      </c>
      <c r="J591" t="s">
        <v>11420</v>
      </c>
      <c r="K591" t="s">
        <v>74</v>
      </c>
      <c r="L591" t="s">
        <v>74</v>
      </c>
      <c r="M591" t="s">
        <v>78</v>
      </c>
      <c r="N591" t="s">
        <v>79</v>
      </c>
      <c r="O591" t="s">
        <v>74</v>
      </c>
      <c r="P591" t="s">
        <v>74</v>
      </c>
      <c r="Q591" t="s">
        <v>74</v>
      </c>
      <c r="R591" t="s">
        <v>74</v>
      </c>
      <c r="S591" t="s">
        <v>74</v>
      </c>
      <c r="T591" t="s">
        <v>74</v>
      </c>
      <c r="U591" t="s">
        <v>11421</v>
      </c>
      <c r="V591" t="s">
        <v>11422</v>
      </c>
      <c r="W591" t="s">
        <v>11423</v>
      </c>
      <c r="X591" t="s">
        <v>11424</v>
      </c>
      <c r="Y591" t="s">
        <v>11425</v>
      </c>
      <c r="Z591" t="s">
        <v>11426</v>
      </c>
      <c r="AA591" t="s">
        <v>11427</v>
      </c>
      <c r="AB591" t="s">
        <v>11428</v>
      </c>
      <c r="AC591" t="s">
        <v>11429</v>
      </c>
      <c r="AD591" t="s">
        <v>11430</v>
      </c>
      <c r="AE591" t="s">
        <v>11431</v>
      </c>
      <c r="AF591" t="s">
        <v>74</v>
      </c>
      <c r="AG591">
        <v>92</v>
      </c>
      <c r="AH591">
        <v>20</v>
      </c>
      <c r="AI591">
        <v>20</v>
      </c>
      <c r="AJ591">
        <v>0</v>
      </c>
      <c r="AK591">
        <v>7</v>
      </c>
      <c r="AL591" t="s">
        <v>11432</v>
      </c>
      <c r="AM591" t="s">
        <v>11433</v>
      </c>
      <c r="AN591" t="s">
        <v>11434</v>
      </c>
      <c r="AO591" t="s">
        <v>11435</v>
      </c>
      <c r="AP591" t="s">
        <v>11436</v>
      </c>
      <c r="AQ591" t="s">
        <v>74</v>
      </c>
      <c r="AR591" t="s">
        <v>11437</v>
      </c>
      <c r="AS591" t="s">
        <v>11438</v>
      </c>
      <c r="AT591" t="s">
        <v>10046</v>
      </c>
      <c r="AU591">
        <v>2016</v>
      </c>
      <c r="AV591">
        <v>173</v>
      </c>
      <c r="AW591">
        <v>2</v>
      </c>
      <c r="AX591" t="s">
        <v>74</v>
      </c>
      <c r="AY591" t="s">
        <v>74</v>
      </c>
      <c r="AZ591" t="s">
        <v>74</v>
      </c>
      <c r="BA591" t="s">
        <v>74</v>
      </c>
      <c r="BB591">
        <v>370</v>
      </c>
      <c r="BC591">
        <v>383</v>
      </c>
      <c r="BD591" t="s">
        <v>74</v>
      </c>
      <c r="BE591" t="s">
        <v>11439</v>
      </c>
      <c r="BF591" t="str">
        <f>HYPERLINK("http://dx.doi.org/10.1144/jgs2015-021","http://dx.doi.org/10.1144/jgs2015-021")</f>
        <v>http://dx.doi.org/10.1144/jgs2015-021</v>
      </c>
      <c r="BG591" t="s">
        <v>74</v>
      </c>
      <c r="BH591" t="s">
        <v>74</v>
      </c>
      <c r="BI591">
        <v>14</v>
      </c>
      <c r="BJ591" t="s">
        <v>269</v>
      </c>
      <c r="BK591" t="s">
        <v>102</v>
      </c>
      <c r="BL591" t="s">
        <v>270</v>
      </c>
      <c r="BM591" t="s">
        <v>11440</v>
      </c>
      <c r="BN591" t="s">
        <v>74</v>
      </c>
      <c r="BO591" t="s">
        <v>1412</v>
      </c>
      <c r="BP591" t="s">
        <v>74</v>
      </c>
      <c r="BQ591" t="s">
        <v>74</v>
      </c>
      <c r="BR591" t="s">
        <v>106</v>
      </c>
      <c r="BS591" t="s">
        <v>11441</v>
      </c>
      <c r="BT591" t="str">
        <f>HYPERLINK("https%3A%2F%2Fwww.webofscience.com%2Fwos%2Fwoscc%2Ffull-record%2FWOS:000371219200011","View Full Record in Web of Science")</f>
        <v>View Full Record in Web of Science</v>
      </c>
    </row>
    <row r="592" spans="1:72" x14ac:dyDescent="0.15">
      <c r="A592" t="s">
        <v>72</v>
      </c>
      <c r="B592" t="s">
        <v>11442</v>
      </c>
      <c r="C592" t="s">
        <v>74</v>
      </c>
      <c r="D592" t="s">
        <v>74</v>
      </c>
      <c r="E592" t="s">
        <v>74</v>
      </c>
      <c r="F592" t="s">
        <v>11443</v>
      </c>
      <c r="G592" t="s">
        <v>74</v>
      </c>
      <c r="H592" t="s">
        <v>74</v>
      </c>
      <c r="I592" t="s">
        <v>11444</v>
      </c>
      <c r="J592" t="s">
        <v>3649</v>
      </c>
      <c r="K592" t="s">
        <v>74</v>
      </c>
      <c r="L592" t="s">
        <v>74</v>
      </c>
      <c r="M592" t="s">
        <v>78</v>
      </c>
      <c r="N592" t="s">
        <v>79</v>
      </c>
      <c r="O592" t="s">
        <v>74</v>
      </c>
      <c r="P592" t="s">
        <v>74</v>
      </c>
      <c r="Q592" t="s">
        <v>74</v>
      </c>
      <c r="R592" t="s">
        <v>74</v>
      </c>
      <c r="S592" t="s">
        <v>74</v>
      </c>
      <c r="T592" t="s">
        <v>11445</v>
      </c>
      <c r="U592" t="s">
        <v>11446</v>
      </c>
      <c r="V592" t="s">
        <v>11447</v>
      </c>
      <c r="W592" t="s">
        <v>11448</v>
      </c>
      <c r="X592" t="s">
        <v>11449</v>
      </c>
      <c r="Y592" t="s">
        <v>11450</v>
      </c>
      <c r="Z592" t="s">
        <v>11451</v>
      </c>
      <c r="AA592" t="s">
        <v>11452</v>
      </c>
      <c r="AB592" t="s">
        <v>11453</v>
      </c>
      <c r="AC592" t="s">
        <v>11454</v>
      </c>
      <c r="AD592" t="s">
        <v>11455</v>
      </c>
      <c r="AE592" t="s">
        <v>11456</v>
      </c>
      <c r="AF592" t="s">
        <v>74</v>
      </c>
      <c r="AG592">
        <v>61</v>
      </c>
      <c r="AH592">
        <v>8</v>
      </c>
      <c r="AI592">
        <v>9</v>
      </c>
      <c r="AJ592">
        <v>0</v>
      </c>
      <c r="AK592">
        <v>16</v>
      </c>
      <c r="AL592" t="s">
        <v>3662</v>
      </c>
      <c r="AM592" t="s">
        <v>262</v>
      </c>
      <c r="AN592" t="s">
        <v>3663</v>
      </c>
      <c r="AO592" t="s">
        <v>3664</v>
      </c>
      <c r="AP592" t="s">
        <v>3665</v>
      </c>
      <c r="AQ592" t="s">
        <v>74</v>
      </c>
      <c r="AR592" t="s">
        <v>3666</v>
      </c>
      <c r="AS592" t="s">
        <v>3667</v>
      </c>
      <c r="AT592" t="s">
        <v>10046</v>
      </c>
      <c r="AU592">
        <v>2016</v>
      </c>
      <c r="AV592">
        <v>96</v>
      </c>
      <c r="AW592">
        <v>2</v>
      </c>
      <c r="AX592" t="s">
        <v>74</v>
      </c>
      <c r="AY592" t="s">
        <v>74</v>
      </c>
      <c r="AZ592" t="s">
        <v>589</v>
      </c>
      <c r="BA592" t="s">
        <v>74</v>
      </c>
      <c r="BB592">
        <v>541</v>
      </c>
      <c r="BC592">
        <v>552</v>
      </c>
      <c r="BD592" t="s">
        <v>74</v>
      </c>
      <c r="BE592" t="s">
        <v>11457</v>
      </c>
      <c r="BF592" t="str">
        <f>HYPERLINK("http://dx.doi.org/10.1017/S0025315415000491","http://dx.doi.org/10.1017/S0025315415000491")</f>
        <v>http://dx.doi.org/10.1017/S0025315415000491</v>
      </c>
      <c r="BG592" t="s">
        <v>74</v>
      </c>
      <c r="BH592" t="s">
        <v>74</v>
      </c>
      <c r="BI592">
        <v>12</v>
      </c>
      <c r="BJ592" t="s">
        <v>201</v>
      </c>
      <c r="BK592" t="s">
        <v>102</v>
      </c>
      <c r="BL592" t="s">
        <v>201</v>
      </c>
      <c r="BM592" t="s">
        <v>11458</v>
      </c>
      <c r="BN592" t="s">
        <v>74</v>
      </c>
      <c r="BO592" t="s">
        <v>1412</v>
      </c>
      <c r="BP592" t="s">
        <v>74</v>
      </c>
      <c r="BQ592" t="s">
        <v>74</v>
      </c>
      <c r="BR592" t="s">
        <v>106</v>
      </c>
      <c r="BS592" t="s">
        <v>11459</v>
      </c>
      <c r="BT592" t="str">
        <f>HYPERLINK("https%3A%2F%2Fwww.webofscience.com%2Fwos%2Fwoscc%2Ffull-record%2FWOS:000371163700028","View Full Record in Web of Science")</f>
        <v>View Full Record in Web of Science</v>
      </c>
    </row>
    <row r="593" spans="1:72" x14ac:dyDescent="0.15">
      <c r="A593" t="s">
        <v>72</v>
      </c>
      <c r="B593" t="s">
        <v>11460</v>
      </c>
      <c r="C593" t="s">
        <v>74</v>
      </c>
      <c r="D593" t="s">
        <v>74</v>
      </c>
      <c r="E593" t="s">
        <v>74</v>
      </c>
      <c r="F593" t="s">
        <v>11461</v>
      </c>
      <c r="G593" t="s">
        <v>74</v>
      </c>
      <c r="H593" t="s">
        <v>74</v>
      </c>
      <c r="I593" t="s">
        <v>11462</v>
      </c>
      <c r="J593" t="s">
        <v>7262</v>
      </c>
      <c r="K593" t="s">
        <v>74</v>
      </c>
      <c r="L593" t="s">
        <v>74</v>
      </c>
      <c r="M593" t="s">
        <v>78</v>
      </c>
      <c r="N593" t="s">
        <v>79</v>
      </c>
      <c r="O593" t="s">
        <v>74</v>
      </c>
      <c r="P593" t="s">
        <v>74</v>
      </c>
      <c r="Q593" t="s">
        <v>74</v>
      </c>
      <c r="R593" t="s">
        <v>74</v>
      </c>
      <c r="S593" t="s">
        <v>74</v>
      </c>
      <c r="T593" t="s">
        <v>11463</v>
      </c>
      <c r="U593" t="s">
        <v>11464</v>
      </c>
      <c r="V593" t="s">
        <v>11465</v>
      </c>
      <c r="W593" t="s">
        <v>11466</v>
      </c>
      <c r="X593" t="s">
        <v>11467</v>
      </c>
      <c r="Y593" t="s">
        <v>11468</v>
      </c>
      <c r="Z593" t="s">
        <v>11469</v>
      </c>
      <c r="AA593" t="s">
        <v>11470</v>
      </c>
      <c r="AB593" t="s">
        <v>11471</v>
      </c>
      <c r="AC593" t="s">
        <v>11472</v>
      </c>
      <c r="AD593" t="s">
        <v>11473</v>
      </c>
      <c r="AE593" t="s">
        <v>11474</v>
      </c>
      <c r="AF593" t="s">
        <v>74</v>
      </c>
      <c r="AG593">
        <v>36</v>
      </c>
      <c r="AH593">
        <v>14</v>
      </c>
      <c r="AI593">
        <v>14</v>
      </c>
      <c r="AJ593">
        <v>0</v>
      </c>
      <c r="AK593">
        <v>20</v>
      </c>
      <c r="AL593" t="s">
        <v>240</v>
      </c>
      <c r="AM593" t="s">
        <v>241</v>
      </c>
      <c r="AN593" t="s">
        <v>242</v>
      </c>
      <c r="AO593" t="s">
        <v>7275</v>
      </c>
      <c r="AP593" t="s">
        <v>7276</v>
      </c>
      <c r="AQ593" t="s">
        <v>74</v>
      </c>
      <c r="AR593" t="s">
        <v>7277</v>
      </c>
      <c r="AS593" t="s">
        <v>7278</v>
      </c>
      <c r="AT593" t="s">
        <v>10046</v>
      </c>
      <c r="AU593">
        <v>2016</v>
      </c>
      <c r="AV593">
        <v>96</v>
      </c>
      <c r="AW593" t="s">
        <v>74</v>
      </c>
      <c r="AX593" t="s">
        <v>74</v>
      </c>
      <c r="AY593" t="s">
        <v>74</v>
      </c>
      <c r="AZ593" t="s">
        <v>74</v>
      </c>
      <c r="BA593" t="s">
        <v>74</v>
      </c>
      <c r="BB593">
        <v>195</v>
      </c>
      <c r="BC593">
        <v>199</v>
      </c>
      <c r="BD593" t="s">
        <v>74</v>
      </c>
      <c r="BE593" t="s">
        <v>11475</v>
      </c>
      <c r="BF593" t="str">
        <f>HYPERLINK("http://dx.doi.org/10.1016/j.ympev.2015.12.005","http://dx.doi.org/10.1016/j.ympev.2015.12.005")</f>
        <v>http://dx.doi.org/10.1016/j.ympev.2015.12.005</v>
      </c>
      <c r="BG593" t="s">
        <v>74</v>
      </c>
      <c r="BH593" t="s">
        <v>74</v>
      </c>
      <c r="BI593">
        <v>5</v>
      </c>
      <c r="BJ593" t="s">
        <v>7280</v>
      </c>
      <c r="BK593" t="s">
        <v>102</v>
      </c>
      <c r="BL593" t="s">
        <v>7280</v>
      </c>
      <c r="BM593" t="s">
        <v>11476</v>
      </c>
      <c r="BN593">
        <v>26724407</v>
      </c>
      <c r="BO593" t="s">
        <v>222</v>
      </c>
      <c r="BP593" t="s">
        <v>74</v>
      </c>
      <c r="BQ593" t="s">
        <v>74</v>
      </c>
      <c r="BR593" t="s">
        <v>106</v>
      </c>
      <c r="BS593" t="s">
        <v>11477</v>
      </c>
      <c r="BT593" t="str">
        <f>HYPERLINK("https%3A%2F%2Fwww.webofscience.com%2Fwos%2Fwoscc%2Ffull-record%2FWOS:000371193200019","View Full Record in Web of Science")</f>
        <v>View Full Record in Web of Science</v>
      </c>
    </row>
    <row r="594" spans="1:72" x14ac:dyDescent="0.15">
      <c r="A594" t="s">
        <v>72</v>
      </c>
      <c r="B594" t="s">
        <v>11478</v>
      </c>
      <c r="C594" t="s">
        <v>74</v>
      </c>
      <c r="D594" t="s">
        <v>74</v>
      </c>
      <c r="E594" t="s">
        <v>74</v>
      </c>
      <c r="F594" t="s">
        <v>11479</v>
      </c>
      <c r="G594" t="s">
        <v>74</v>
      </c>
      <c r="H594" t="s">
        <v>74</v>
      </c>
      <c r="I594" t="s">
        <v>11480</v>
      </c>
      <c r="J594" t="s">
        <v>11481</v>
      </c>
      <c r="K594" t="s">
        <v>74</v>
      </c>
      <c r="L594" t="s">
        <v>74</v>
      </c>
      <c r="M594" t="s">
        <v>78</v>
      </c>
      <c r="N594" t="s">
        <v>79</v>
      </c>
      <c r="O594" t="s">
        <v>74</v>
      </c>
      <c r="P594" t="s">
        <v>74</v>
      </c>
      <c r="Q594" t="s">
        <v>74</v>
      </c>
      <c r="R594" t="s">
        <v>74</v>
      </c>
      <c r="S594" t="s">
        <v>74</v>
      </c>
      <c r="T594" t="s">
        <v>11482</v>
      </c>
      <c r="U594" t="s">
        <v>11483</v>
      </c>
      <c r="V594" t="s">
        <v>11484</v>
      </c>
      <c r="W594" t="s">
        <v>11485</v>
      </c>
      <c r="X594" t="s">
        <v>11486</v>
      </c>
      <c r="Y594" t="s">
        <v>11487</v>
      </c>
      <c r="Z594" t="s">
        <v>11488</v>
      </c>
      <c r="AA594" t="s">
        <v>11489</v>
      </c>
      <c r="AB594" t="s">
        <v>11490</v>
      </c>
      <c r="AC594" t="s">
        <v>11491</v>
      </c>
      <c r="AD594" t="s">
        <v>11492</v>
      </c>
      <c r="AE594" t="s">
        <v>11493</v>
      </c>
      <c r="AF594" t="s">
        <v>74</v>
      </c>
      <c r="AG594">
        <v>64</v>
      </c>
      <c r="AH594">
        <v>54</v>
      </c>
      <c r="AI594">
        <v>57</v>
      </c>
      <c r="AJ594">
        <v>0</v>
      </c>
      <c r="AK594">
        <v>69</v>
      </c>
      <c r="AL594" t="s">
        <v>1829</v>
      </c>
      <c r="AM594" t="s">
        <v>679</v>
      </c>
      <c r="AN594" t="s">
        <v>1830</v>
      </c>
      <c r="AO594" t="s">
        <v>11494</v>
      </c>
      <c r="AP594" t="s">
        <v>11495</v>
      </c>
      <c r="AQ594" t="s">
        <v>74</v>
      </c>
      <c r="AR594" t="s">
        <v>11496</v>
      </c>
      <c r="AS594" t="s">
        <v>11497</v>
      </c>
      <c r="AT594" t="s">
        <v>10046</v>
      </c>
      <c r="AU594">
        <v>2016</v>
      </c>
      <c r="AV594">
        <v>129</v>
      </c>
      <c r="AW594" t="s">
        <v>74</v>
      </c>
      <c r="AX594" t="s">
        <v>74</v>
      </c>
      <c r="AY594" t="s">
        <v>74</v>
      </c>
      <c r="AZ594" t="s">
        <v>74</v>
      </c>
      <c r="BA594" t="s">
        <v>74</v>
      </c>
      <c r="BB594">
        <v>27</v>
      </c>
      <c r="BC594">
        <v>33</v>
      </c>
      <c r="BD594" t="s">
        <v>74</v>
      </c>
      <c r="BE594" t="s">
        <v>11498</v>
      </c>
      <c r="BF594" t="str">
        <f>HYPERLINK("http://dx.doi.org/10.1016/j.atmosenv.2016.01.005","http://dx.doi.org/10.1016/j.atmosenv.2016.01.005")</f>
        <v>http://dx.doi.org/10.1016/j.atmosenv.2016.01.005</v>
      </c>
      <c r="BG594" t="s">
        <v>74</v>
      </c>
      <c r="BH594" t="s">
        <v>74</v>
      </c>
      <c r="BI594">
        <v>7</v>
      </c>
      <c r="BJ594" t="s">
        <v>5371</v>
      </c>
      <c r="BK594" t="s">
        <v>102</v>
      </c>
      <c r="BL594" t="s">
        <v>4674</v>
      </c>
      <c r="BM594" t="s">
        <v>11499</v>
      </c>
      <c r="BN594" t="s">
        <v>74</v>
      </c>
      <c r="BO594" t="s">
        <v>74</v>
      </c>
      <c r="BP594" t="s">
        <v>74</v>
      </c>
      <c r="BQ594" t="s">
        <v>74</v>
      </c>
      <c r="BR594" t="s">
        <v>106</v>
      </c>
      <c r="BS594" t="s">
        <v>11500</v>
      </c>
      <c r="BT594" t="str">
        <f>HYPERLINK("https%3A%2F%2Fwww.webofscience.com%2Fwos%2Fwoscc%2Ffull-record%2FWOS:000370886000004","View Full Record in Web of Science")</f>
        <v>View Full Record in Web of Science</v>
      </c>
    </row>
    <row r="595" spans="1:72" x14ac:dyDescent="0.15">
      <c r="A595" t="s">
        <v>72</v>
      </c>
      <c r="B595" t="s">
        <v>11501</v>
      </c>
      <c r="C595" t="s">
        <v>74</v>
      </c>
      <c r="D595" t="s">
        <v>74</v>
      </c>
      <c r="E595" t="s">
        <v>74</v>
      </c>
      <c r="F595" t="s">
        <v>11502</v>
      </c>
      <c r="G595" t="s">
        <v>74</v>
      </c>
      <c r="H595" t="s">
        <v>74</v>
      </c>
      <c r="I595" t="s">
        <v>11503</v>
      </c>
      <c r="J595" t="s">
        <v>3164</v>
      </c>
      <c r="K595" t="s">
        <v>74</v>
      </c>
      <c r="L595" t="s">
        <v>74</v>
      </c>
      <c r="M595" t="s">
        <v>78</v>
      </c>
      <c r="N595" t="s">
        <v>79</v>
      </c>
      <c r="O595" t="s">
        <v>74</v>
      </c>
      <c r="P595" t="s">
        <v>74</v>
      </c>
      <c r="Q595" t="s">
        <v>74</v>
      </c>
      <c r="R595" t="s">
        <v>74</v>
      </c>
      <c r="S595" t="s">
        <v>74</v>
      </c>
      <c r="T595" t="s">
        <v>11504</v>
      </c>
      <c r="U595" t="s">
        <v>11505</v>
      </c>
      <c r="V595" t="s">
        <v>11506</v>
      </c>
      <c r="W595" t="s">
        <v>11507</v>
      </c>
      <c r="X595" t="s">
        <v>11508</v>
      </c>
      <c r="Y595" t="s">
        <v>11509</v>
      </c>
      <c r="Z595" t="s">
        <v>11510</v>
      </c>
      <c r="AA595" t="s">
        <v>11511</v>
      </c>
      <c r="AB595" t="s">
        <v>11512</v>
      </c>
      <c r="AC595" t="s">
        <v>11513</v>
      </c>
      <c r="AD595" t="s">
        <v>11514</v>
      </c>
      <c r="AE595" t="s">
        <v>11515</v>
      </c>
      <c r="AF595" t="s">
        <v>74</v>
      </c>
      <c r="AG595">
        <v>78</v>
      </c>
      <c r="AH595">
        <v>28</v>
      </c>
      <c r="AI595">
        <v>32</v>
      </c>
      <c r="AJ595">
        <v>4</v>
      </c>
      <c r="AK595">
        <v>100</v>
      </c>
      <c r="AL595" t="s">
        <v>194</v>
      </c>
      <c r="AM595" t="s">
        <v>195</v>
      </c>
      <c r="AN595" t="s">
        <v>196</v>
      </c>
      <c r="AO595" t="s">
        <v>3177</v>
      </c>
      <c r="AP595" t="s">
        <v>3178</v>
      </c>
      <c r="AQ595" t="s">
        <v>74</v>
      </c>
      <c r="AR595" t="s">
        <v>3179</v>
      </c>
      <c r="AS595" t="s">
        <v>3180</v>
      </c>
      <c r="AT595" t="s">
        <v>10046</v>
      </c>
      <c r="AU595">
        <v>2016</v>
      </c>
      <c r="AV595">
        <v>18</v>
      </c>
      <c r="AW595">
        <v>3</v>
      </c>
      <c r="AX595" t="s">
        <v>74</v>
      </c>
      <c r="AY595" t="s">
        <v>74</v>
      </c>
      <c r="AZ595" t="s">
        <v>74</v>
      </c>
      <c r="BA595" t="s">
        <v>74</v>
      </c>
      <c r="BB595">
        <v>603</v>
      </c>
      <c r="BC595">
        <v>618</v>
      </c>
      <c r="BD595" t="s">
        <v>74</v>
      </c>
      <c r="BE595" t="s">
        <v>11516</v>
      </c>
      <c r="BF595" t="str">
        <f>HYPERLINK("http://dx.doi.org/10.1007/s10530-015-1033-x","http://dx.doi.org/10.1007/s10530-015-1033-x")</f>
        <v>http://dx.doi.org/10.1007/s10530-015-1033-x</v>
      </c>
      <c r="BG595" t="s">
        <v>74</v>
      </c>
      <c r="BH595" t="s">
        <v>74</v>
      </c>
      <c r="BI595">
        <v>16</v>
      </c>
      <c r="BJ595" t="s">
        <v>291</v>
      </c>
      <c r="BK595" t="s">
        <v>102</v>
      </c>
      <c r="BL595" t="s">
        <v>133</v>
      </c>
      <c r="BM595" t="s">
        <v>11517</v>
      </c>
      <c r="BN595" t="s">
        <v>74</v>
      </c>
      <c r="BO595" t="s">
        <v>74</v>
      </c>
      <c r="BP595" t="s">
        <v>74</v>
      </c>
      <c r="BQ595" t="s">
        <v>74</v>
      </c>
      <c r="BR595" t="s">
        <v>106</v>
      </c>
      <c r="BS595" t="s">
        <v>11518</v>
      </c>
      <c r="BT595" t="str">
        <f>HYPERLINK("https%3A%2F%2Fwww.webofscience.com%2Fwos%2Fwoscc%2Ffull-record%2FWOS:000370657100002","View Full Record in Web of Science")</f>
        <v>View Full Record in Web of Science</v>
      </c>
    </row>
    <row r="596" spans="1:72" x14ac:dyDescent="0.15">
      <c r="A596" t="s">
        <v>72</v>
      </c>
      <c r="B596" t="s">
        <v>11519</v>
      </c>
      <c r="C596" t="s">
        <v>74</v>
      </c>
      <c r="D596" t="s">
        <v>74</v>
      </c>
      <c r="E596" t="s">
        <v>74</v>
      </c>
      <c r="F596" t="s">
        <v>11520</v>
      </c>
      <c r="G596" t="s">
        <v>74</v>
      </c>
      <c r="H596" t="s">
        <v>74</v>
      </c>
      <c r="I596" t="s">
        <v>11521</v>
      </c>
      <c r="J596" t="s">
        <v>11522</v>
      </c>
      <c r="K596" t="s">
        <v>74</v>
      </c>
      <c r="L596" t="s">
        <v>74</v>
      </c>
      <c r="M596" t="s">
        <v>78</v>
      </c>
      <c r="N596" t="s">
        <v>79</v>
      </c>
      <c r="O596" t="s">
        <v>74</v>
      </c>
      <c r="P596" t="s">
        <v>74</v>
      </c>
      <c r="Q596" t="s">
        <v>74</v>
      </c>
      <c r="R596" t="s">
        <v>74</v>
      </c>
      <c r="S596" t="s">
        <v>74</v>
      </c>
      <c r="T596" t="s">
        <v>11523</v>
      </c>
      <c r="U596" t="s">
        <v>11524</v>
      </c>
      <c r="V596" t="s">
        <v>11525</v>
      </c>
      <c r="W596" t="s">
        <v>11526</v>
      </c>
      <c r="X596" t="s">
        <v>74</v>
      </c>
      <c r="Y596" t="s">
        <v>11527</v>
      </c>
      <c r="Z596" t="s">
        <v>11528</v>
      </c>
      <c r="AA596" t="s">
        <v>11529</v>
      </c>
      <c r="AB596" t="s">
        <v>74</v>
      </c>
      <c r="AC596" t="s">
        <v>11530</v>
      </c>
      <c r="AD596" t="s">
        <v>11531</v>
      </c>
      <c r="AE596" t="s">
        <v>11532</v>
      </c>
      <c r="AF596" t="s">
        <v>74</v>
      </c>
      <c r="AG596">
        <v>73</v>
      </c>
      <c r="AH596">
        <v>11</v>
      </c>
      <c r="AI596">
        <v>13</v>
      </c>
      <c r="AJ596">
        <v>5</v>
      </c>
      <c r="AK596">
        <v>35</v>
      </c>
      <c r="AL596" t="s">
        <v>1829</v>
      </c>
      <c r="AM596" t="s">
        <v>679</v>
      </c>
      <c r="AN596" t="s">
        <v>1830</v>
      </c>
      <c r="AO596" t="s">
        <v>11533</v>
      </c>
      <c r="AP596" t="s">
        <v>11534</v>
      </c>
      <c r="AQ596" t="s">
        <v>74</v>
      </c>
      <c r="AR596" t="s">
        <v>11522</v>
      </c>
      <c r="AS596" t="s">
        <v>11535</v>
      </c>
      <c r="AT596" t="s">
        <v>10046</v>
      </c>
      <c r="AU596">
        <v>2016</v>
      </c>
      <c r="AV596">
        <v>147</v>
      </c>
      <c r="AW596" t="s">
        <v>74</v>
      </c>
      <c r="AX596" t="s">
        <v>74</v>
      </c>
      <c r="AY596" t="s">
        <v>74</v>
      </c>
      <c r="AZ596" t="s">
        <v>74</v>
      </c>
      <c r="BA596" t="s">
        <v>74</v>
      </c>
      <c r="BB596">
        <v>318</v>
      </c>
      <c r="BC596">
        <v>327</v>
      </c>
      <c r="BD596" t="s">
        <v>74</v>
      </c>
      <c r="BE596" t="s">
        <v>11536</v>
      </c>
      <c r="BF596" t="str">
        <f>HYPERLINK("http://dx.doi.org/10.1016/j.chemosphere.2015.12.105","http://dx.doi.org/10.1016/j.chemosphere.2015.12.105")</f>
        <v>http://dx.doi.org/10.1016/j.chemosphere.2015.12.105</v>
      </c>
      <c r="BG596" t="s">
        <v>74</v>
      </c>
      <c r="BH596" t="s">
        <v>74</v>
      </c>
      <c r="BI596">
        <v>10</v>
      </c>
      <c r="BJ596" t="s">
        <v>464</v>
      </c>
      <c r="BK596" t="s">
        <v>102</v>
      </c>
      <c r="BL596" t="s">
        <v>465</v>
      </c>
      <c r="BM596" t="s">
        <v>11537</v>
      </c>
      <c r="BN596">
        <v>26774295</v>
      </c>
      <c r="BO596" t="s">
        <v>74</v>
      </c>
      <c r="BP596" t="s">
        <v>74</v>
      </c>
      <c r="BQ596" t="s">
        <v>74</v>
      </c>
      <c r="BR596" t="s">
        <v>106</v>
      </c>
      <c r="BS596" t="s">
        <v>11538</v>
      </c>
      <c r="BT596" t="str">
        <f>HYPERLINK("https%3A%2F%2Fwww.webofscience.com%2Fwos%2Fwoscc%2Ffull-record%2FWOS:000370836100041","View Full Record in Web of Science")</f>
        <v>View Full Record in Web of Science</v>
      </c>
    </row>
    <row r="597" spans="1:72" x14ac:dyDescent="0.15">
      <c r="A597" t="s">
        <v>72</v>
      </c>
      <c r="B597" t="s">
        <v>11539</v>
      </c>
      <c r="C597" t="s">
        <v>74</v>
      </c>
      <c r="D597" t="s">
        <v>74</v>
      </c>
      <c r="E597" t="s">
        <v>74</v>
      </c>
      <c r="F597" t="s">
        <v>11540</v>
      </c>
      <c r="G597" t="s">
        <v>74</v>
      </c>
      <c r="H597" t="s">
        <v>74</v>
      </c>
      <c r="I597" t="s">
        <v>11541</v>
      </c>
      <c r="J597" t="s">
        <v>11542</v>
      </c>
      <c r="K597" t="s">
        <v>74</v>
      </c>
      <c r="L597" t="s">
        <v>74</v>
      </c>
      <c r="M597" t="s">
        <v>78</v>
      </c>
      <c r="N597" t="s">
        <v>79</v>
      </c>
      <c r="O597" t="s">
        <v>74</v>
      </c>
      <c r="P597" t="s">
        <v>74</v>
      </c>
      <c r="Q597" t="s">
        <v>74</v>
      </c>
      <c r="R597" t="s">
        <v>74</v>
      </c>
      <c r="S597" t="s">
        <v>74</v>
      </c>
      <c r="T597" t="s">
        <v>11543</v>
      </c>
      <c r="U597" t="s">
        <v>11544</v>
      </c>
      <c r="V597" t="s">
        <v>11545</v>
      </c>
      <c r="W597" t="s">
        <v>11546</v>
      </c>
      <c r="X597" t="s">
        <v>11547</v>
      </c>
      <c r="Y597" t="s">
        <v>11548</v>
      </c>
      <c r="Z597" t="s">
        <v>11549</v>
      </c>
      <c r="AA597" t="s">
        <v>11550</v>
      </c>
      <c r="AB597" t="s">
        <v>11551</v>
      </c>
      <c r="AC597" t="s">
        <v>11552</v>
      </c>
      <c r="AD597" t="s">
        <v>11553</v>
      </c>
      <c r="AE597" t="s">
        <v>11554</v>
      </c>
      <c r="AF597" t="s">
        <v>74</v>
      </c>
      <c r="AG597">
        <v>64</v>
      </c>
      <c r="AH597">
        <v>23</v>
      </c>
      <c r="AI597">
        <v>30</v>
      </c>
      <c r="AJ597">
        <v>0</v>
      </c>
      <c r="AK597">
        <v>40</v>
      </c>
      <c r="AL597" t="s">
        <v>2034</v>
      </c>
      <c r="AM597" t="s">
        <v>262</v>
      </c>
      <c r="AN597" t="s">
        <v>2035</v>
      </c>
      <c r="AO597" t="s">
        <v>11555</v>
      </c>
      <c r="AP597" t="s">
        <v>11556</v>
      </c>
      <c r="AQ597" t="s">
        <v>74</v>
      </c>
      <c r="AR597" t="s">
        <v>11557</v>
      </c>
      <c r="AS597" t="s">
        <v>11558</v>
      </c>
      <c r="AT597" t="s">
        <v>10046</v>
      </c>
      <c r="AU597">
        <v>2016</v>
      </c>
      <c r="AV597">
        <v>193</v>
      </c>
      <c r="AW597" t="s">
        <v>74</v>
      </c>
      <c r="AX597" t="s">
        <v>74</v>
      </c>
      <c r="AY597" t="s">
        <v>74</v>
      </c>
      <c r="AZ597" t="s">
        <v>74</v>
      </c>
      <c r="BA597" t="s">
        <v>74</v>
      </c>
      <c r="BB597">
        <v>1</v>
      </c>
      <c r="BC597">
        <v>10</v>
      </c>
      <c r="BD597" t="s">
        <v>74</v>
      </c>
      <c r="BE597" t="s">
        <v>11559</v>
      </c>
      <c r="BF597" t="str">
        <f>HYPERLINK("http://dx.doi.org/10.1016/j.cbpa.2015.12.001","http://dx.doi.org/10.1016/j.cbpa.2015.12.001")</f>
        <v>http://dx.doi.org/10.1016/j.cbpa.2015.12.001</v>
      </c>
      <c r="BG597" t="s">
        <v>74</v>
      </c>
      <c r="BH597" t="s">
        <v>74</v>
      </c>
      <c r="BI597">
        <v>10</v>
      </c>
      <c r="BJ597" t="s">
        <v>11560</v>
      </c>
      <c r="BK597" t="s">
        <v>102</v>
      </c>
      <c r="BL597" t="s">
        <v>11560</v>
      </c>
      <c r="BM597" t="s">
        <v>11561</v>
      </c>
      <c r="BN597">
        <v>26658267</v>
      </c>
      <c r="BO597" t="s">
        <v>74</v>
      </c>
      <c r="BP597" t="s">
        <v>74</v>
      </c>
      <c r="BQ597" t="s">
        <v>74</v>
      </c>
      <c r="BR597" t="s">
        <v>106</v>
      </c>
      <c r="BS597" t="s">
        <v>11562</v>
      </c>
      <c r="BT597" t="str">
        <f>HYPERLINK("https%3A%2F%2Fwww.webofscience.com%2Fwos%2Fwoscc%2Ffull-record%2FWOS:000370835400001","View Full Record in Web of Science")</f>
        <v>View Full Record in Web of Science</v>
      </c>
    </row>
    <row r="598" spans="1:72" x14ac:dyDescent="0.15">
      <c r="A598" t="s">
        <v>72</v>
      </c>
      <c r="B598" t="s">
        <v>11563</v>
      </c>
      <c r="C598" t="s">
        <v>74</v>
      </c>
      <c r="D598" t="s">
        <v>74</v>
      </c>
      <c r="E598" t="s">
        <v>74</v>
      </c>
      <c r="F598" t="s">
        <v>11564</v>
      </c>
      <c r="G598" t="s">
        <v>74</v>
      </c>
      <c r="H598" t="s">
        <v>74</v>
      </c>
      <c r="I598" t="s">
        <v>11565</v>
      </c>
      <c r="J598" t="s">
        <v>1845</v>
      </c>
      <c r="K598" t="s">
        <v>74</v>
      </c>
      <c r="L598" t="s">
        <v>74</v>
      </c>
      <c r="M598" t="s">
        <v>78</v>
      </c>
      <c r="N598" t="s">
        <v>79</v>
      </c>
      <c r="O598" t="s">
        <v>74</v>
      </c>
      <c r="P598" t="s">
        <v>74</v>
      </c>
      <c r="Q598" t="s">
        <v>74</v>
      </c>
      <c r="R598" t="s">
        <v>74</v>
      </c>
      <c r="S598" t="s">
        <v>74</v>
      </c>
      <c r="T598" t="s">
        <v>11566</v>
      </c>
      <c r="U598" t="s">
        <v>11567</v>
      </c>
      <c r="V598" t="s">
        <v>11568</v>
      </c>
      <c r="W598" t="s">
        <v>11569</v>
      </c>
      <c r="X598" t="s">
        <v>11570</v>
      </c>
      <c r="Y598" t="s">
        <v>11571</v>
      </c>
      <c r="Z598" t="s">
        <v>11572</v>
      </c>
      <c r="AA598" t="s">
        <v>11573</v>
      </c>
      <c r="AB598" t="s">
        <v>11574</v>
      </c>
      <c r="AC598" t="s">
        <v>11575</v>
      </c>
      <c r="AD598" t="s">
        <v>11576</v>
      </c>
      <c r="AE598" t="s">
        <v>11577</v>
      </c>
      <c r="AF598" t="s">
        <v>74</v>
      </c>
      <c r="AG598">
        <v>63</v>
      </c>
      <c r="AH598">
        <v>20</v>
      </c>
      <c r="AI598">
        <v>23</v>
      </c>
      <c r="AJ598">
        <v>2</v>
      </c>
      <c r="AK598">
        <v>38</v>
      </c>
      <c r="AL598" t="s">
        <v>1829</v>
      </c>
      <c r="AM598" t="s">
        <v>679</v>
      </c>
      <c r="AN598" t="s">
        <v>1830</v>
      </c>
      <c r="AO598" t="s">
        <v>1858</v>
      </c>
      <c r="AP598" t="s">
        <v>1859</v>
      </c>
      <c r="AQ598" t="s">
        <v>74</v>
      </c>
      <c r="AR598" t="s">
        <v>1860</v>
      </c>
      <c r="AS598" t="s">
        <v>1861</v>
      </c>
      <c r="AT598" t="s">
        <v>11578</v>
      </c>
      <c r="AU598">
        <v>2016</v>
      </c>
      <c r="AV598">
        <v>115</v>
      </c>
      <c r="AW598" t="s">
        <v>74</v>
      </c>
      <c r="AX598" t="s">
        <v>74</v>
      </c>
      <c r="AY598" t="s">
        <v>74</v>
      </c>
      <c r="AZ598" t="s">
        <v>74</v>
      </c>
      <c r="BA598" t="s">
        <v>74</v>
      </c>
      <c r="BB598">
        <v>65</v>
      </c>
      <c r="BC598">
        <v>75</v>
      </c>
      <c r="BD598" t="s">
        <v>74</v>
      </c>
      <c r="BE598" t="s">
        <v>11579</v>
      </c>
      <c r="BF598" t="str">
        <f>HYPERLINK("http://dx.doi.org/10.1016/j.csr.2016.01.005","http://dx.doi.org/10.1016/j.csr.2016.01.005")</f>
        <v>http://dx.doi.org/10.1016/j.csr.2016.01.005</v>
      </c>
      <c r="BG598" t="s">
        <v>74</v>
      </c>
      <c r="BH598" t="s">
        <v>74</v>
      </c>
      <c r="BI598">
        <v>11</v>
      </c>
      <c r="BJ598" t="s">
        <v>361</v>
      </c>
      <c r="BK598" t="s">
        <v>102</v>
      </c>
      <c r="BL598" t="s">
        <v>361</v>
      </c>
      <c r="BM598" t="s">
        <v>11580</v>
      </c>
      <c r="BN598" t="s">
        <v>74</v>
      </c>
      <c r="BO598" t="s">
        <v>74</v>
      </c>
      <c r="BP598" t="s">
        <v>74</v>
      </c>
      <c r="BQ598" t="s">
        <v>74</v>
      </c>
      <c r="BR598" t="s">
        <v>106</v>
      </c>
      <c r="BS598" t="s">
        <v>11581</v>
      </c>
      <c r="BT598" t="str">
        <f>HYPERLINK("https%3A%2F%2Fwww.webofscience.com%2Fwos%2Fwoscc%2Ffull-record%2FWOS:000371188700007","View Full Record in Web of Science")</f>
        <v>View Full Record in Web of Science</v>
      </c>
    </row>
    <row r="599" spans="1:72" x14ac:dyDescent="0.15">
      <c r="A599" t="s">
        <v>72</v>
      </c>
      <c r="B599" t="s">
        <v>11582</v>
      </c>
      <c r="C599" t="s">
        <v>74</v>
      </c>
      <c r="D599" t="s">
        <v>74</v>
      </c>
      <c r="E599" t="s">
        <v>74</v>
      </c>
      <c r="F599" t="s">
        <v>11583</v>
      </c>
      <c r="G599" t="s">
        <v>74</v>
      </c>
      <c r="H599" t="s">
        <v>74</v>
      </c>
      <c r="I599" t="s">
        <v>11584</v>
      </c>
      <c r="J599" t="s">
        <v>2222</v>
      </c>
      <c r="K599" t="s">
        <v>74</v>
      </c>
      <c r="L599" t="s">
        <v>74</v>
      </c>
      <c r="M599" t="s">
        <v>78</v>
      </c>
      <c r="N599" t="s">
        <v>79</v>
      </c>
      <c r="O599" t="s">
        <v>74</v>
      </c>
      <c r="P599" t="s">
        <v>74</v>
      </c>
      <c r="Q599" t="s">
        <v>74</v>
      </c>
      <c r="R599" t="s">
        <v>74</v>
      </c>
      <c r="S599" t="s">
        <v>74</v>
      </c>
      <c r="T599" t="s">
        <v>74</v>
      </c>
      <c r="U599" t="s">
        <v>11585</v>
      </c>
      <c r="V599" t="s">
        <v>11586</v>
      </c>
      <c r="W599" t="s">
        <v>11587</v>
      </c>
      <c r="X599" t="s">
        <v>11588</v>
      </c>
      <c r="Y599" t="s">
        <v>11589</v>
      </c>
      <c r="Z599" t="s">
        <v>11590</v>
      </c>
      <c r="AA599" t="s">
        <v>11591</v>
      </c>
      <c r="AB599" t="s">
        <v>11592</v>
      </c>
      <c r="AC599" t="s">
        <v>11593</v>
      </c>
      <c r="AD599" t="s">
        <v>11593</v>
      </c>
      <c r="AE599" t="s">
        <v>11594</v>
      </c>
      <c r="AF599" t="s">
        <v>74</v>
      </c>
      <c r="AG599">
        <v>46</v>
      </c>
      <c r="AH599">
        <v>16</v>
      </c>
      <c r="AI599">
        <v>18</v>
      </c>
      <c r="AJ599">
        <v>2</v>
      </c>
      <c r="AK599">
        <v>40</v>
      </c>
      <c r="AL599" t="s">
        <v>2232</v>
      </c>
      <c r="AM599" t="s">
        <v>2233</v>
      </c>
      <c r="AN599" t="s">
        <v>2234</v>
      </c>
      <c r="AO599" t="s">
        <v>2235</v>
      </c>
      <c r="AP599" t="s">
        <v>2236</v>
      </c>
      <c r="AQ599" t="s">
        <v>74</v>
      </c>
      <c r="AR599" t="s">
        <v>2237</v>
      </c>
      <c r="AS599" t="s">
        <v>2238</v>
      </c>
      <c r="AT599" t="s">
        <v>10046</v>
      </c>
      <c r="AU599">
        <v>2016</v>
      </c>
      <c r="AV599">
        <v>128</v>
      </c>
      <c r="AW599" t="s">
        <v>10279</v>
      </c>
      <c r="AX599" t="s">
        <v>74</v>
      </c>
      <c r="AY599" t="s">
        <v>74</v>
      </c>
      <c r="AZ599" t="s">
        <v>74</v>
      </c>
      <c r="BA599" t="s">
        <v>74</v>
      </c>
      <c r="BB599">
        <v>502</v>
      </c>
      <c r="BC599">
        <v>510</v>
      </c>
      <c r="BD599" t="s">
        <v>74</v>
      </c>
      <c r="BE599" t="s">
        <v>11595</v>
      </c>
      <c r="BF599" t="str">
        <f>HYPERLINK("http://dx.doi.org/10.1130/B31315.1","http://dx.doi.org/10.1130/B31315.1")</f>
        <v>http://dx.doi.org/10.1130/B31315.1</v>
      </c>
      <c r="BG599" t="s">
        <v>74</v>
      </c>
      <c r="BH599" t="s">
        <v>74</v>
      </c>
      <c r="BI599">
        <v>9</v>
      </c>
      <c r="BJ599" t="s">
        <v>269</v>
      </c>
      <c r="BK599" t="s">
        <v>102</v>
      </c>
      <c r="BL599" t="s">
        <v>270</v>
      </c>
      <c r="BM599" t="s">
        <v>11596</v>
      </c>
      <c r="BN599" t="s">
        <v>74</v>
      </c>
      <c r="BO599" t="s">
        <v>74</v>
      </c>
      <c r="BP599" t="s">
        <v>74</v>
      </c>
      <c r="BQ599" t="s">
        <v>74</v>
      </c>
      <c r="BR599" t="s">
        <v>106</v>
      </c>
      <c r="BS599" t="s">
        <v>11597</v>
      </c>
      <c r="BT599" t="str">
        <f>HYPERLINK("https%3A%2F%2Fwww.webofscience.com%2Fwos%2Fwoscc%2Ffull-record%2FWOS:000370973000008","View Full Record in Web of Science")</f>
        <v>View Full Record in Web of Science</v>
      </c>
    </row>
    <row r="600" spans="1:72" x14ac:dyDescent="0.15">
      <c r="A600" t="s">
        <v>72</v>
      </c>
      <c r="B600" t="s">
        <v>11598</v>
      </c>
      <c r="C600" t="s">
        <v>74</v>
      </c>
      <c r="D600" t="s">
        <v>74</v>
      </c>
      <c r="E600" t="s">
        <v>74</v>
      </c>
      <c r="F600" t="s">
        <v>11599</v>
      </c>
      <c r="G600" t="s">
        <v>74</v>
      </c>
      <c r="H600" t="s">
        <v>74</v>
      </c>
      <c r="I600" t="s">
        <v>11600</v>
      </c>
      <c r="J600" t="s">
        <v>2222</v>
      </c>
      <c r="K600" t="s">
        <v>74</v>
      </c>
      <c r="L600" t="s">
        <v>74</v>
      </c>
      <c r="M600" t="s">
        <v>78</v>
      </c>
      <c r="N600" t="s">
        <v>79</v>
      </c>
      <c r="O600" t="s">
        <v>74</v>
      </c>
      <c r="P600" t="s">
        <v>74</v>
      </c>
      <c r="Q600" t="s">
        <v>74</v>
      </c>
      <c r="R600" t="s">
        <v>74</v>
      </c>
      <c r="S600" t="s">
        <v>74</v>
      </c>
      <c r="T600" t="s">
        <v>74</v>
      </c>
      <c r="U600" t="s">
        <v>11601</v>
      </c>
      <c r="V600" t="s">
        <v>11602</v>
      </c>
      <c r="W600" t="s">
        <v>11603</v>
      </c>
      <c r="X600" t="s">
        <v>11604</v>
      </c>
      <c r="Y600" t="s">
        <v>11605</v>
      </c>
      <c r="Z600" t="s">
        <v>11606</v>
      </c>
      <c r="AA600" t="s">
        <v>11607</v>
      </c>
      <c r="AB600" t="s">
        <v>11608</v>
      </c>
      <c r="AC600" t="s">
        <v>11609</v>
      </c>
      <c r="AD600" t="s">
        <v>11610</v>
      </c>
      <c r="AE600" t="s">
        <v>11611</v>
      </c>
      <c r="AF600" t="s">
        <v>74</v>
      </c>
      <c r="AG600">
        <v>54</v>
      </c>
      <c r="AH600">
        <v>10</v>
      </c>
      <c r="AI600">
        <v>10</v>
      </c>
      <c r="AJ600">
        <v>1</v>
      </c>
      <c r="AK600">
        <v>12</v>
      </c>
      <c r="AL600" t="s">
        <v>2232</v>
      </c>
      <c r="AM600" t="s">
        <v>2233</v>
      </c>
      <c r="AN600" t="s">
        <v>2234</v>
      </c>
      <c r="AO600" t="s">
        <v>2235</v>
      </c>
      <c r="AP600" t="s">
        <v>2236</v>
      </c>
      <c r="AQ600" t="s">
        <v>74</v>
      </c>
      <c r="AR600" t="s">
        <v>2237</v>
      </c>
      <c r="AS600" t="s">
        <v>2238</v>
      </c>
      <c r="AT600" t="s">
        <v>10046</v>
      </c>
      <c r="AU600">
        <v>2016</v>
      </c>
      <c r="AV600">
        <v>128</v>
      </c>
      <c r="AW600" t="s">
        <v>10279</v>
      </c>
      <c r="AX600" t="s">
        <v>74</v>
      </c>
      <c r="AY600" t="s">
        <v>74</v>
      </c>
      <c r="AZ600" t="s">
        <v>74</v>
      </c>
      <c r="BA600" t="s">
        <v>74</v>
      </c>
      <c r="BB600">
        <v>609</v>
      </c>
      <c r="BC600">
        <v>626</v>
      </c>
      <c r="BD600" t="s">
        <v>74</v>
      </c>
      <c r="BE600" t="s">
        <v>11612</v>
      </c>
      <c r="BF600" t="str">
        <f>HYPERLINK("http://dx.doi.org/10.1130/B31349.1","http://dx.doi.org/10.1130/B31349.1")</f>
        <v>http://dx.doi.org/10.1130/B31349.1</v>
      </c>
      <c r="BG600" t="s">
        <v>74</v>
      </c>
      <c r="BH600" t="s">
        <v>74</v>
      </c>
      <c r="BI600">
        <v>18</v>
      </c>
      <c r="BJ600" t="s">
        <v>269</v>
      </c>
      <c r="BK600" t="s">
        <v>102</v>
      </c>
      <c r="BL600" t="s">
        <v>270</v>
      </c>
      <c r="BM600" t="s">
        <v>11596</v>
      </c>
      <c r="BN600" t="s">
        <v>74</v>
      </c>
      <c r="BO600" t="s">
        <v>74</v>
      </c>
      <c r="BP600" t="s">
        <v>74</v>
      </c>
      <c r="BQ600" t="s">
        <v>74</v>
      </c>
      <c r="BR600" t="s">
        <v>106</v>
      </c>
      <c r="BS600" t="s">
        <v>11613</v>
      </c>
      <c r="BT600" t="str">
        <f>HYPERLINK("https%3A%2F%2Fwww.webofscience.com%2Fwos%2Fwoscc%2Ffull-record%2FWOS:000370973000015","View Full Record in Web of Science")</f>
        <v>View Full Record in Web of Science</v>
      </c>
    </row>
    <row r="601" spans="1:72" x14ac:dyDescent="0.15">
      <c r="A601" t="s">
        <v>72</v>
      </c>
      <c r="B601" t="s">
        <v>11614</v>
      </c>
      <c r="C601" t="s">
        <v>74</v>
      </c>
      <c r="D601" t="s">
        <v>74</v>
      </c>
      <c r="E601" t="s">
        <v>74</v>
      </c>
      <c r="F601" t="s">
        <v>11615</v>
      </c>
      <c r="G601" t="s">
        <v>74</v>
      </c>
      <c r="H601" t="s">
        <v>74</v>
      </c>
      <c r="I601" t="s">
        <v>11616</v>
      </c>
      <c r="J601" t="s">
        <v>11617</v>
      </c>
      <c r="K601" t="s">
        <v>74</v>
      </c>
      <c r="L601" t="s">
        <v>74</v>
      </c>
      <c r="M601" t="s">
        <v>78</v>
      </c>
      <c r="N601" t="s">
        <v>79</v>
      </c>
      <c r="O601" t="s">
        <v>74</v>
      </c>
      <c r="P601" t="s">
        <v>74</v>
      </c>
      <c r="Q601" t="s">
        <v>74</v>
      </c>
      <c r="R601" t="s">
        <v>74</v>
      </c>
      <c r="S601" t="s">
        <v>74</v>
      </c>
      <c r="T601" t="s">
        <v>11618</v>
      </c>
      <c r="U601" t="s">
        <v>11619</v>
      </c>
      <c r="V601" t="s">
        <v>11620</v>
      </c>
      <c r="W601" t="s">
        <v>11621</v>
      </c>
      <c r="X601" t="s">
        <v>1153</v>
      </c>
      <c r="Y601" t="s">
        <v>11622</v>
      </c>
      <c r="Z601" t="s">
        <v>11623</v>
      </c>
      <c r="AA601" t="s">
        <v>11624</v>
      </c>
      <c r="AB601" t="s">
        <v>11625</v>
      </c>
      <c r="AC601" t="s">
        <v>11626</v>
      </c>
      <c r="AD601" t="s">
        <v>11627</v>
      </c>
      <c r="AE601" t="s">
        <v>11628</v>
      </c>
      <c r="AF601" t="s">
        <v>74</v>
      </c>
      <c r="AG601">
        <v>19</v>
      </c>
      <c r="AH601">
        <v>17</v>
      </c>
      <c r="AI601">
        <v>18</v>
      </c>
      <c r="AJ601">
        <v>1</v>
      </c>
      <c r="AK601">
        <v>9</v>
      </c>
      <c r="AL601" t="s">
        <v>3662</v>
      </c>
      <c r="AM601" t="s">
        <v>262</v>
      </c>
      <c r="AN601" t="s">
        <v>3663</v>
      </c>
      <c r="AO601" t="s">
        <v>11629</v>
      </c>
      <c r="AP601" t="s">
        <v>11630</v>
      </c>
      <c r="AQ601" t="s">
        <v>74</v>
      </c>
      <c r="AR601" t="s">
        <v>11631</v>
      </c>
      <c r="AS601" t="s">
        <v>11632</v>
      </c>
      <c r="AT601" t="s">
        <v>10046</v>
      </c>
      <c r="AU601">
        <v>2016</v>
      </c>
      <c r="AV601">
        <v>791</v>
      </c>
      <c r="AW601" t="s">
        <v>74</v>
      </c>
      <c r="AX601" t="s">
        <v>74</v>
      </c>
      <c r="AY601" t="s">
        <v>74</v>
      </c>
      <c r="AZ601" t="s">
        <v>74</v>
      </c>
      <c r="BA601" t="s">
        <v>74</v>
      </c>
      <c r="BB601">
        <v>589</v>
      </c>
      <c r="BC601">
        <v>607</v>
      </c>
      <c r="BD601" t="s">
        <v>74</v>
      </c>
      <c r="BE601" t="s">
        <v>11633</v>
      </c>
      <c r="BF601" t="str">
        <f>HYPERLINK("http://dx.doi.org/10.1017/jfm.2016.62","http://dx.doi.org/10.1017/jfm.2016.62")</f>
        <v>http://dx.doi.org/10.1017/jfm.2016.62</v>
      </c>
      <c r="BG601" t="s">
        <v>74</v>
      </c>
      <c r="BH601" t="s">
        <v>74</v>
      </c>
      <c r="BI601">
        <v>19</v>
      </c>
      <c r="BJ601" t="s">
        <v>11634</v>
      </c>
      <c r="BK601" t="s">
        <v>102</v>
      </c>
      <c r="BL601" t="s">
        <v>11635</v>
      </c>
      <c r="BM601" t="s">
        <v>11636</v>
      </c>
      <c r="BN601" t="s">
        <v>74</v>
      </c>
      <c r="BO601" t="s">
        <v>74</v>
      </c>
      <c r="BP601" t="s">
        <v>74</v>
      </c>
      <c r="BQ601" t="s">
        <v>74</v>
      </c>
      <c r="BR601" t="s">
        <v>106</v>
      </c>
      <c r="BS601" t="s">
        <v>11637</v>
      </c>
      <c r="BT601" t="str">
        <f>HYPERLINK("https%3A%2F%2Fwww.webofscience.com%2Fwos%2Fwoscc%2Ffull-record%2FWOS:000371068900031","View Full Record in Web of Science")</f>
        <v>View Full Record in Web of Science</v>
      </c>
    </row>
    <row r="602" spans="1:72" x14ac:dyDescent="0.15">
      <c r="A602" t="s">
        <v>72</v>
      </c>
      <c r="B602" t="s">
        <v>11638</v>
      </c>
      <c r="C602" t="s">
        <v>74</v>
      </c>
      <c r="D602" t="s">
        <v>74</v>
      </c>
      <c r="E602" t="s">
        <v>74</v>
      </c>
      <c r="F602" t="s">
        <v>11639</v>
      </c>
      <c r="G602" t="s">
        <v>74</v>
      </c>
      <c r="H602" t="s">
        <v>74</v>
      </c>
      <c r="I602" t="s">
        <v>11640</v>
      </c>
      <c r="J602" t="s">
        <v>1220</v>
      </c>
      <c r="K602" t="s">
        <v>74</v>
      </c>
      <c r="L602" t="s">
        <v>74</v>
      </c>
      <c r="M602" t="s">
        <v>78</v>
      </c>
      <c r="N602" t="s">
        <v>79</v>
      </c>
      <c r="O602" t="s">
        <v>74</v>
      </c>
      <c r="P602" t="s">
        <v>74</v>
      </c>
      <c r="Q602" t="s">
        <v>74</v>
      </c>
      <c r="R602" t="s">
        <v>74</v>
      </c>
      <c r="S602" t="s">
        <v>74</v>
      </c>
      <c r="T602" t="s">
        <v>11641</v>
      </c>
      <c r="U602" t="s">
        <v>11642</v>
      </c>
      <c r="V602" t="s">
        <v>11643</v>
      </c>
      <c r="W602" t="s">
        <v>11644</v>
      </c>
      <c r="X602" t="s">
        <v>11645</v>
      </c>
      <c r="Y602" t="s">
        <v>11646</v>
      </c>
      <c r="Z602" t="s">
        <v>9220</v>
      </c>
      <c r="AA602" t="s">
        <v>11647</v>
      </c>
      <c r="AB602" t="s">
        <v>11648</v>
      </c>
      <c r="AC602" t="s">
        <v>11649</v>
      </c>
      <c r="AD602" t="s">
        <v>11650</v>
      </c>
      <c r="AE602" t="s">
        <v>11651</v>
      </c>
      <c r="AF602" t="s">
        <v>74</v>
      </c>
      <c r="AG602">
        <v>48</v>
      </c>
      <c r="AH602">
        <v>84</v>
      </c>
      <c r="AI602">
        <v>103</v>
      </c>
      <c r="AJ602">
        <v>0</v>
      </c>
      <c r="AK602">
        <v>43</v>
      </c>
      <c r="AL602" t="s">
        <v>1230</v>
      </c>
      <c r="AM602" t="s">
        <v>93</v>
      </c>
      <c r="AN602" t="s">
        <v>1231</v>
      </c>
      <c r="AO602" t="s">
        <v>1232</v>
      </c>
      <c r="AP602" t="s">
        <v>74</v>
      </c>
      <c r="AQ602" t="s">
        <v>74</v>
      </c>
      <c r="AR602" t="s">
        <v>1234</v>
      </c>
      <c r="AS602" t="s">
        <v>1235</v>
      </c>
      <c r="AT602" t="s">
        <v>11578</v>
      </c>
      <c r="AU602">
        <v>2016</v>
      </c>
      <c r="AV602">
        <v>113</v>
      </c>
      <c r="AW602">
        <v>9</v>
      </c>
      <c r="AX602" t="s">
        <v>74</v>
      </c>
      <c r="AY602" t="s">
        <v>74</v>
      </c>
      <c r="AZ602" t="s">
        <v>74</v>
      </c>
      <c r="BA602" t="s">
        <v>74</v>
      </c>
      <c r="BB602">
        <v>2354</v>
      </c>
      <c r="BC602">
        <v>2359</v>
      </c>
      <c r="BD602" t="s">
        <v>74</v>
      </c>
      <c r="BE602" t="s">
        <v>11652</v>
      </c>
      <c r="BF602" t="str">
        <f>HYPERLINK("http://dx.doi.org/10.1073/pnas.1516908113","http://dx.doi.org/10.1073/pnas.1516908113")</f>
        <v>http://dx.doi.org/10.1073/pnas.1516908113</v>
      </c>
      <c r="BG602" t="s">
        <v>74</v>
      </c>
      <c r="BH602" t="s">
        <v>74</v>
      </c>
      <c r="BI602">
        <v>6</v>
      </c>
      <c r="BJ602" t="s">
        <v>753</v>
      </c>
      <c r="BK602" t="s">
        <v>102</v>
      </c>
      <c r="BL602" t="s">
        <v>754</v>
      </c>
      <c r="BM602" t="s">
        <v>11653</v>
      </c>
      <c r="BN602">
        <v>26884201</v>
      </c>
      <c r="BO602" t="s">
        <v>293</v>
      </c>
      <c r="BP602" t="s">
        <v>74</v>
      </c>
      <c r="BQ602" t="s">
        <v>74</v>
      </c>
      <c r="BR602" t="s">
        <v>106</v>
      </c>
      <c r="BS602" t="s">
        <v>11654</v>
      </c>
      <c r="BT602" t="str">
        <f>HYPERLINK("https%3A%2F%2Fwww.webofscience.com%2Fwos%2Fwoscc%2Ffull-record%2FWOS:000371204500035","View Full Record in Web of Science")</f>
        <v>View Full Record in Web of Science</v>
      </c>
    </row>
    <row r="603" spans="1:72" x14ac:dyDescent="0.15">
      <c r="A603" t="s">
        <v>72</v>
      </c>
      <c r="B603" t="s">
        <v>11655</v>
      </c>
      <c r="C603" t="s">
        <v>74</v>
      </c>
      <c r="D603" t="s">
        <v>74</v>
      </c>
      <c r="E603" t="s">
        <v>74</v>
      </c>
      <c r="F603" t="s">
        <v>11656</v>
      </c>
      <c r="G603" t="s">
        <v>74</v>
      </c>
      <c r="H603" t="s">
        <v>74</v>
      </c>
      <c r="I603" t="s">
        <v>11657</v>
      </c>
      <c r="J603" t="s">
        <v>11658</v>
      </c>
      <c r="K603" t="s">
        <v>74</v>
      </c>
      <c r="L603" t="s">
        <v>74</v>
      </c>
      <c r="M603" t="s">
        <v>78</v>
      </c>
      <c r="N603" t="s">
        <v>79</v>
      </c>
      <c r="O603" t="s">
        <v>74</v>
      </c>
      <c r="P603" t="s">
        <v>74</v>
      </c>
      <c r="Q603" t="s">
        <v>74</v>
      </c>
      <c r="R603" t="s">
        <v>74</v>
      </c>
      <c r="S603" t="s">
        <v>74</v>
      </c>
      <c r="T603" t="s">
        <v>74</v>
      </c>
      <c r="U603" t="s">
        <v>11659</v>
      </c>
      <c r="V603" t="s">
        <v>11660</v>
      </c>
      <c r="W603" t="s">
        <v>11661</v>
      </c>
      <c r="X603" t="s">
        <v>11662</v>
      </c>
      <c r="Y603" t="s">
        <v>11663</v>
      </c>
      <c r="Z603" t="s">
        <v>11664</v>
      </c>
      <c r="AA603" t="s">
        <v>11665</v>
      </c>
      <c r="AB603" t="s">
        <v>11666</v>
      </c>
      <c r="AC603" t="s">
        <v>11667</v>
      </c>
      <c r="AD603" t="s">
        <v>11668</v>
      </c>
      <c r="AE603" t="s">
        <v>11669</v>
      </c>
      <c r="AF603" t="s">
        <v>74</v>
      </c>
      <c r="AG603">
        <v>31</v>
      </c>
      <c r="AH603">
        <v>14</v>
      </c>
      <c r="AI603">
        <v>14</v>
      </c>
      <c r="AJ603">
        <v>0</v>
      </c>
      <c r="AK603">
        <v>14</v>
      </c>
      <c r="AL603" t="s">
        <v>3662</v>
      </c>
      <c r="AM603" t="s">
        <v>1427</v>
      </c>
      <c r="AN603" t="s">
        <v>7481</v>
      </c>
      <c r="AO603" t="s">
        <v>11670</v>
      </c>
      <c r="AP603" t="s">
        <v>11671</v>
      </c>
      <c r="AQ603" t="s">
        <v>74</v>
      </c>
      <c r="AR603" t="s">
        <v>11672</v>
      </c>
      <c r="AS603" t="s">
        <v>11673</v>
      </c>
      <c r="AT603" t="s">
        <v>10046</v>
      </c>
      <c r="AU603">
        <v>2016</v>
      </c>
      <c r="AV603">
        <v>90</v>
      </c>
      <c r="AW603">
        <v>2</v>
      </c>
      <c r="AX603" t="s">
        <v>74</v>
      </c>
      <c r="AY603" t="s">
        <v>74</v>
      </c>
      <c r="AZ603" t="s">
        <v>74</v>
      </c>
      <c r="BA603" t="s">
        <v>74</v>
      </c>
      <c r="BB603">
        <v>214</v>
      </c>
      <c r="BC603">
        <v>222</v>
      </c>
      <c r="BD603" t="s">
        <v>74</v>
      </c>
      <c r="BE603" t="s">
        <v>11674</v>
      </c>
      <c r="BF603" t="str">
        <f>HYPERLINK("http://dx.doi.org/10.1017/S0022149X15000218","http://dx.doi.org/10.1017/S0022149X15000218")</f>
        <v>http://dx.doi.org/10.1017/S0022149X15000218</v>
      </c>
      <c r="BG603" t="s">
        <v>74</v>
      </c>
      <c r="BH603" t="s">
        <v>74</v>
      </c>
      <c r="BI603">
        <v>9</v>
      </c>
      <c r="BJ603" t="s">
        <v>11675</v>
      </c>
      <c r="BK603" t="s">
        <v>102</v>
      </c>
      <c r="BL603" t="s">
        <v>11675</v>
      </c>
      <c r="BM603" t="s">
        <v>11676</v>
      </c>
      <c r="BN603">
        <v>25871788</v>
      </c>
      <c r="BO603" t="s">
        <v>74</v>
      </c>
      <c r="BP603" t="s">
        <v>74</v>
      </c>
      <c r="BQ603" t="s">
        <v>74</v>
      </c>
      <c r="BR603" t="s">
        <v>106</v>
      </c>
      <c r="BS603" t="s">
        <v>11677</v>
      </c>
      <c r="BT603" t="str">
        <f>HYPERLINK("https%3A%2F%2Fwww.webofscience.com%2Fwos%2Fwoscc%2Ffull-record%2FWOS:000370506200010","View Full Record in Web of Science")</f>
        <v>View Full Record in Web of Science</v>
      </c>
    </row>
    <row r="604" spans="1:72" x14ac:dyDescent="0.15">
      <c r="A604" t="s">
        <v>72</v>
      </c>
      <c r="B604" t="s">
        <v>11678</v>
      </c>
      <c r="C604" t="s">
        <v>74</v>
      </c>
      <c r="D604" t="s">
        <v>74</v>
      </c>
      <c r="E604" t="s">
        <v>74</v>
      </c>
      <c r="F604" t="s">
        <v>11679</v>
      </c>
      <c r="G604" t="s">
        <v>74</v>
      </c>
      <c r="H604" t="s">
        <v>74</v>
      </c>
      <c r="I604" t="s">
        <v>11680</v>
      </c>
      <c r="J604" t="s">
        <v>11681</v>
      </c>
      <c r="K604" t="s">
        <v>74</v>
      </c>
      <c r="L604" t="s">
        <v>74</v>
      </c>
      <c r="M604" t="s">
        <v>78</v>
      </c>
      <c r="N604" t="s">
        <v>79</v>
      </c>
      <c r="O604" t="s">
        <v>74</v>
      </c>
      <c r="P604" t="s">
        <v>74</v>
      </c>
      <c r="Q604" t="s">
        <v>74</v>
      </c>
      <c r="R604" t="s">
        <v>74</v>
      </c>
      <c r="S604" t="s">
        <v>74</v>
      </c>
      <c r="T604" t="s">
        <v>11682</v>
      </c>
      <c r="U604" t="s">
        <v>11683</v>
      </c>
      <c r="V604" t="s">
        <v>11684</v>
      </c>
      <c r="W604" t="s">
        <v>11685</v>
      </c>
      <c r="X604" t="s">
        <v>11686</v>
      </c>
      <c r="Y604" t="s">
        <v>11687</v>
      </c>
      <c r="Z604" t="s">
        <v>11688</v>
      </c>
      <c r="AA604" t="s">
        <v>11689</v>
      </c>
      <c r="AB604" t="s">
        <v>11690</v>
      </c>
      <c r="AC604" t="s">
        <v>11691</v>
      </c>
      <c r="AD604" t="s">
        <v>11692</v>
      </c>
      <c r="AE604" t="s">
        <v>11693</v>
      </c>
      <c r="AF604" t="s">
        <v>74</v>
      </c>
      <c r="AG604">
        <v>75</v>
      </c>
      <c r="AH604">
        <v>26</v>
      </c>
      <c r="AI604">
        <v>26</v>
      </c>
      <c r="AJ604">
        <v>1</v>
      </c>
      <c r="AK604">
        <v>16</v>
      </c>
      <c r="AL604" t="s">
        <v>511</v>
      </c>
      <c r="AM604" t="s">
        <v>512</v>
      </c>
      <c r="AN604" t="s">
        <v>513</v>
      </c>
      <c r="AO604" t="s">
        <v>11694</v>
      </c>
      <c r="AP604" t="s">
        <v>11695</v>
      </c>
      <c r="AQ604" t="s">
        <v>74</v>
      </c>
      <c r="AR604" t="s">
        <v>11696</v>
      </c>
      <c r="AS604" t="s">
        <v>11697</v>
      </c>
      <c r="AT604" t="s">
        <v>10046</v>
      </c>
      <c r="AU604">
        <v>2016</v>
      </c>
      <c r="AV604">
        <v>73</v>
      </c>
      <c r="AW604">
        <v>3</v>
      </c>
      <c r="AX604" t="s">
        <v>74</v>
      </c>
      <c r="AY604" t="s">
        <v>74</v>
      </c>
      <c r="AZ604" t="s">
        <v>74</v>
      </c>
      <c r="BA604" t="s">
        <v>74</v>
      </c>
      <c r="BB604">
        <v>1335</v>
      </c>
      <c r="BC604">
        <v>1349</v>
      </c>
      <c r="BD604" t="s">
        <v>74</v>
      </c>
      <c r="BE604" t="s">
        <v>11698</v>
      </c>
      <c r="BF604" t="str">
        <f>HYPERLINK("http://dx.doi.org/10.1175/JAS-D-15-0149.1","http://dx.doi.org/10.1175/JAS-D-15-0149.1")</f>
        <v>http://dx.doi.org/10.1175/JAS-D-15-0149.1</v>
      </c>
      <c r="BG604" t="s">
        <v>74</v>
      </c>
      <c r="BH604" t="s">
        <v>74</v>
      </c>
      <c r="BI604">
        <v>15</v>
      </c>
      <c r="BJ604" t="s">
        <v>1726</v>
      </c>
      <c r="BK604" t="s">
        <v>102</v>
      </c>
      <c r="BL604" t="s">
        <v>1726</v>
      </c>
      <c r="BM604" t="s">
        <v>11699</v>
      </c>
      <c r="BN604" t="s">
        <v>74</v>
      </c>
      <c r="BO604" t="s">
        <v>7199</v>
      </c>
      <c r="BP604" t="s">
        <v>74</v>
      </c>
      <c r="BQ604" t="s">
        <v>74</v>
      </c>
      <c r="BR604" t="s">
        <v>106</v>
      </c>
      <c r="BS604" t="s">
        <v>11700</v>
      </c>
      <c r="BT604" t="str">
        <f>HYPERLINK("https%3A%2F%2Fwww.webofscience.com%2Fwos%2Fwoscc%2Ffull-record%2FWOS:000370496100001","View Full Record in Web of Science")</f>
        <v>View Full Record in Web of Science</v>
      </c>
    </row>
    <row r="605" spans="1:72" x14ac:dyDescent="0.15">
      <c r="A605" t="s">
        <v>72</v>
      </c>
      <c r="B605" t="s">
        <v>11701</v>
      </c>
      <c r="C605" t="s">
        <v>74</v>
      </c>
      <c r="D605" t="s">
        <v>74</v>
      </c>
      <c r="E605" t="s">
        <v>74</v>
      </c>
      <c r="F605" t="s">
        <v>11702</v>
      </c>
      <c r="G605" t="s">
        <v>74</v>
      </c>
      <c r="H605" t="s">
        <v>74</v>
      </c>
      <c r="I605" t="s">
        <v>11703</v>
      </c>
      <c r="J605" t="s">
        <v>11704</v>
      </c>
      <c r="K605" t="s">
        <v>74</v>
      </c>
      <c r="L605" t="s">
        <v>74</v>
      </c>
      <c r="M605" t="s">
        <v>78</v>
      </c>
      <c r="N605" t="s">
        <v>79</v>
      </c>
      <c r="O605" t="s">
        <v>74</v>
      </c>
      <c r="P605" t="s">
        <v>74</v>
      </c>
      <c r="Q605" t="s">
        <v>74</v>
      </c>
      <c r="R605" t="s">
        <v>74</v>
      </c>
      <c r="S605" t="s">
        <v>74</v>
      </c>
      <c r="T605" t="s">
        <v>11705</v>
      </c>
      <c r="U605" t="s">
        <v>11706</v>
      </c>
      <c r="V605" t="s">
        <v>11707</v>
      </c>
      <c r="W605" t="s">
        <v>11708</v>
      </c>
      <c r="X605" t="s">
        <v>11709</v>
      </c>
      <c r="Y605" t="s">
        <v>11710</v>
      </c>
      <c r="Z605" t="s">
        <v>11711</v>
      </c>
      <c r="AA605" t="s">
        <v>11712</v>
      </c>
      <c r="AB605" t="s">
        <v>11713</v>
      </c>
      <c r="AC605" t="s">
        <v>11714</v>
      </c>
      <c r="AD605" t="s">
        <v>11715</v>
      </c>
      <c r="AE605" t="s">
        <v>11716</v>
      </c>
      <c r="AF605" t="s">
        <v>74</v>
      </c>
      <c r="AG605">
        <v>21</v>
      </c>
      <c r="AH605">
        <v>3</v>
      </c>
      <c r="AI605">
        <v>3</v>
      </c>
      <c r="AJ605">
        <v>1</v>
      </c>
      <c r="AK605">
        <v>20</v>
      </c>
      <c r="AL605" t="s">
        <v>721</v>
      </c>
      <c r="AM605" t="s">
        <v>125</v>
      </c>
      <c r="AN605" t="s">
        <v>126</v>
      </c>
      <c r="AO605" t="s">
        <v>11717</v>
      </c>
      <c r="AP605" t="s">
        <v>11718</v>
      </c>
      <c r="AQ605" t="s">
        <v>74</v>
      </c>
      <c r="AR605" t="s">
        <v>11719</v>
      </c>
      <c r="AS605" t="s">
        <v>11720</v>
      </c>
      <c r="AT605" t="s">
        <v>10046</v>
      </c>
      <c r="AU605">
        <v>2016</v>
      </c>
      <c r="AV605">
        <v>62</v>
      </c>
      <c r="AW605">
        <v>3</v>
      </c>
      <c r="AX605" t="s">
        <v>74</v>
      </c>
      <c r="AY605" t="s">
        <v>74</v>
      </c>
      <c r="AZ605" t="s">
        <v>74</v>
      </c>
      <c r="BA605" t="s">
        <v>74</v>
      </c>
      <c r="BB605">
        <v>237</v>
      </c>
      <c r="BC605">
        <v>242</v>
      </c>
      <c r="BD605" t="s">
        <v>74</v>
      </c>
      <c r="BE605" t="s">
        <v>11721</v>
      </c>
      <c r="BF605" t="str">
        <f>HYPERLINK("http://dx.doi.org/10.1111/lam.12545","http://dx.doi.org/10.1111/lam.12545")</f>
        <v>http://dx.doi.org/10.1111/lam.12545</v>
      </c>
      <c r="BG605" t="s">
        <v>74</v>
      </c>
      <c r="BH605" t="s">
        <v>74</v>
      </c>
      <c r="BI605">
        <v>6</v>
      </c>
      <c r="BJ605" t="s">
        <v>10663</v>
      </c>
      <c r="BK605" t="s">
        <v>102</v>
      </c>
      <c r="BL605" t="s">
        <v>10663</v>
      </c>
      <c r="BM605" t="s">
        <v>11722</v>
      </c>
      <c r="BN605">
        <v>26744057</v>
      </c>
      <c r="BO605" t="s">
        <v>420</v>
      </c>
      <c r="BP605" t="s">
        <v>74</v>
      </c>
      <c r="BQ605" t="s">
        <v>74</v>
      </c>
      <c r="BR605" t="s">
        <v>106</v>
      </c>
      <c r="BS605" t="s">
        <v>11723</v>
      </c>
      <c r="BT605" t="str">
        <f>HYPERLINK("https%3A%2F%2Fwww.webofscience.com%2Fwos%2Fwoscc%2Ffull-record%2FWOS:000370716400005","View Full Record in Web of Science")</f>
        <v>View Full Record in Web of Science</v>
      </c>
    </row>
    <row r="606" spans="1:72" x14ac:dyDescent="0.15">
      <c r="A606" t="s">
        <v>72</v>
      </c>
      <c r="B606" t="s">
        <v>11724</v>
      </c>
      <c r="C606" t="s">
        <v>74</v>
      </c>
      <c r="D606" t="s">
        <v>74</v>
      </c>
      <c r="E606" t="s">
        <v>74</v>
      </c>
      <c r="F606" t="s">
        <v>11725</v>
      </c>
      <c r="G606" t="s">
        <v>74</v>
      </c>
      <c r="H606" t="s">
        <v>74</v>
      </c>
      <c r="I606" t="s">
        <v>11726</v>
      </c>
      <c r="J606" t="s">
        <v>5097</v>
      </c>
      <c r="K606" t="s">
        <v>74</v>
      </c>
      <c r="L606" t="s">
        <v>74</v>
      </c>
      <c r="M606" t="s">
        <v>78</v>
      </c>
      <c r="N606" t="s">
        <v>79</v>
      </c>
      <c r="O606" t="s">
        <v>74</v>
      </c>
      <c r="P606" t="s">
        <v>74</v>
      </c>
      <c r="Q606" t="s">
        <v>74</v>
      </c>
      <c r="R606" t="s">
        <v>74</v>
      </c>
      <c r="S606" t="s">
        <v>74</v>
      </c>
      <c r="T606" t="s">
        <v>74</v>
      </c>
      <c r="U606" t="s">
        <v>11727</v>
      </c>
      <c r="V606" t="s">
        <v>11728</v>
      </c>
      <c r="W606" t="s">
        <v>11729</v>
      </c>
      <c r="X606" t="s">
        <v>11730</v>
      </c>
      <c r="Y606" t="s">
        <v>11731</v>
      </c>
      <c r="Z606" t="s">
        <v>11732</v>
      </c>
      <c r="AA606" t="s">
        <v>11733</v>
      </c>
      <c r="AB606" t="s">
        <v>11734</v>
      </c>
      <c r="AC606" t="s">
        <v>11735</v>
      </c>
      <c r="AD606" t="s">
        <v>11736</v>
      </c>
      <c r="AE606" t="s">
        <v>11737</v>
      </c>
      <c r="AF606" t="s">
        <v>74</v>
      </c>
      <c r="AG606">
        <v>61</v>
      </c>
      <c r="AH606">
        <v>50</v>
      </c>
      <c r="AI606">
        <v>51</v>
      </c>
      <c r="AJ606">
        <v>1</v>
      </c>
      <c r="AK606">
        <v>24</v>
      </c>
      <c r="AL606" t="s">
        <v>1829</v>
      </c>
      <c r="AM606" t="s">
        <v>679</v>
      </c>
      <c r="AN606" t="s">
        <v>1830</v>
      </c>
      <c r="AO606" t="s">
        <v>5107</v>
      </c>
      <c r="AP606" t="s">
        <v>5108</v>
      </c>
      <c r="AQ606" t="s">
        <v>74</v>
      </c>
      <c r="AR606" t="s">
        <v>5109</v>
      </c>
      <c r="AS606" t="s">
        <v>5110</v>
      </c>
      <c r="AT606" t="s">
        <v>11578</v>
      </c>
      <c r="AU606">
        <v>2016</v>
      </c>
      <c r="AV606">
        <v>176</v>
      </c>
      <c r="AW606" t="s">
        <v>74</v>
      </c>
      <c r="AX606" t="s">
        <v>74</v>
      </c>
      <c r="AY606" t="s">
        <v>74</v>
      </c>
      <c r="AZ606" t="s">
        <v>74</v>
      </c>
      <c r="BA606" t="s">
        <v>74</v>
      </c>
      <c r="BB606">
        <v>1</v>
      </c>
      <c r="BC606">
        <v>17</v>
      </c>
      <c r="BD606" t="s">
        <v>74</v>
      </c>
      <c r="BE606" t="s">
        <v>11738</v>
      </c>
      <c r="BF606" t="str">
        <f>HYPERLINK("http://dx.doi.org/10.1016/j.gca.2015.12.004","http://dx.doi.org/10.1016/j.gca.2015.12.004")</f>
        <v>http://dx.doi.org/10.1016/j.gca.2015.12.004</v>
      </c>
      <c r="BG606" t="s">
        <v>74</v>
      </c>
      <c r="BH606" t="s">
        <v>74</v>
      </c>
      <c r="BI606">
        <v>17</v>
      </c>
      <c r="BJ606" t="s">
        <v>727</v>
      </c>
      <c r="BK606" t="s">
        <v>102</v>
      </c>
      <c r="BL606" t="s">
        <v>727</v>
      </c>
      <c r="BM606" t="s">
        <v>11739</v>
      </c>
      <c r="BN606" t="s">
        <v>74</v>
      </c>
      <c r="BO606" t="s">
        <v>11740</v>
      </c>
      <c r="BP606" t="s">
        <v>74</v>
      </c>
      <c r="BQ606" t="s">
        <v>74</v>
      </c>
      <c r="BR606" t="s">
        <v>106</v>
      </c>
      <c r="BS606" t="s">
        <v>11741</v>
      </c>
      <c r="BT606" t="str">
        <f>HYPERLINK("https%3A%2F%2Fwww.webofscience.com%2Fwos%2Fwoscc%2Ffull-record%2FWOS:000370046400001","View Full Record in Web of Science")</f>
        <v>View Full Record in Web of Science</v>
      </c>
    </row>
    <row r="607" spans="1:72" x14ac:dyDescent="0.15">
      <c r="A607" t="s">
        <v>72</v>
      </c>
      <c r="B607" t="s">
        <v>11742</v>
      </c>
      <c r="C607" t="s">
        <v>74</v>
      </c>
      <c r="D607" t="s">
        <v>74</v>
      </c>
      <c r="E607" t="s">
        <v>74</v>
      </c>
      <c r="F607" t="s">
        <v>11743</v>
      </c>
      <c r="G607" t="s">
        <v>74</v>
      </c>
      <c r="H607" t="s">
        <v>74</v>
      </c>
      <c r="I607" t="s">
        <v>11744</v>
      </c>
      <c r="J607" t="s">
        <v>5097</v>
      </c>
      <c r="K607" t="s">
        <v>74</v>
      </c>
      <c r="L607" t="s">
        <v>74</v>
      </c>
      <c r="M607" t="s">
        <v>78</v>
      </c>
      <c r="N607" t="s">
        <v>79</v>
      </c>
      <c r="O607" t="s">
        <v>74</v>
      </c>
      <c r="P607" t="s">
        <v>74</v>
      </c>
      <c r="Q607" t="s">
        <v>74</v>
      </c>
      <c r="R607" t="s">
        <v>74</v>
      </c>
      <c r="S607" t="s">
        <v>74</v>
      </c>
      <c r="T607" t="s">
        <v>74</v>
      </c>
      <c r="U607" t="s">
        <v>11745</v>
      </c>
      <c r="V607" t="s">
        <v>11746</v>
      </c>
      <c r="W607" t="s">
        <v>11747</v>
      </c>
      <c r="X607" t="s">
        <v>11748</v>
      </c>
      <c r="Y607" t="s">
        <v>11749</v>
      </c>
      <c r="Z607" t="s">
        <v>11750</v>
      </c>
      <c r="AA607" t="s">
        <v>11751</v>
      </c>
      <c r="AB607" t="s">
        <v>11752</v>
      </c>
      <c r="AC607" t="s">
        <v>11753</v>
      </c>
      <c r="AD607" t="s">
        <v>11754</v>
      </c>
      <c r="AE607" t="s">
        <v>11755</v>
      </c>
      <c r="AF607" t="s">
        <v>74</v>
      </c>
      <c r="AG607">
        <v>90</v>
      </c>
      <c r="AH607">
        <v>41</v>
      </c>
      <c r="AI607">
        <v>46</v>
      </c>
      <c r="AJ607">
        <v>1</v>
      </c>
      <c r="AK607">
        <v>62</v>
      </c>
      <c r="AL607" t="s">
        <v>1829</v>
      </c>
      <c r="AM607" t="s">
        <v>679</v>
      </c>
      <c r="AN607" t="s">
        <v>1830</v>
      </c>
      <c r="AO607" t="s">
        <v>5107</v>
      </c>
      <c r="AP607" t="s">
        <v>5108</v>
      </c>
      <c r="AQ607" t="s">
        <v>74</v>
      </c>
      <c r="AR607" t="s">
        <v>5109</v>
      </c>
      <c r="AS607" t="s">
        <v>5110</v>
      </c>
      <c r="AT607" t="s">
        <v>11578</v>
      </c>
      <c r="AU607">
        <v>2016</v>
      </c>
      <c r="AV607">
        <v>176</v>
      </c>
      <c r="AW607" t="s">
        <v>74</v>
      </c>
      <c r="AX607" t="s">
        <v>74</v>
      </c>
      <c r="AY607" t="s">
        <v>74</v>
      </c>
      <c r="AZ607" t="s">
        <v>74</v>
      </c>
      <c r="BA607" t="s">
        <v>74</v>
      </c>
      <c r="BB607">
        <v>139</v>
      </c>
      <c r="BC607">
        <v>156</v>
      </c>
      <c r="BD607" t="s">
        <v>74</v>
      </c>
      <c r="BE607" t="s">
        <v>11756</v>
      </c>
      <c r="BF607" t="str">
        <f>HYPERLINK("http://dx.doi.org/10.1016/j.gca.2015.12.013","http://dx.doi.org/10.1016/j.gca.2015.12.013")</f>
        <v>http://dx.doi.org/10.1016/j.gca.2015.12.013</v>
      </c>
      <c r="BG607" t="s">
        <v>74</v>
      </c>
      <c r="BH607" t="s">
        <v>74</v>
      </c>
      <c r="BI607">
        <v>18</v>
      </c>
      <c r="BJ607" t="s">
        <v>727</v>
      </c>
      <c r="BK607" t="s">
        <v>102</v>
      </c>
      <c r="BL607" t="s">
        <v>727</v>
      </c>
      <c r="BM607" t="s">
        <v>11739</v>
      </c>
      <c r="BN607" t="s">
        <v>74</v>
      </c>
      <c r="BO607" t="s">
        <v>74</v>
      </c>
      <c r="BP607" t="s">
        <v>74</v>
      </c>
      <c r="BQ607" t="s">
        <v>74</v>
      </c>
      <c r="BR607" t="s">
        <v>106</v>
      </c>
      <c r="BS607" t="s">
        <v>11757</v>
      </c>
      <c r="BT607" t="str">
        <f>HYPERLINK("https%3A%2F%2Fwww.webofscience.com%2Fwos%2Fwoscc%2Ffull-record%2FWOS:000370046400008","View Full Record in Web of Science")</f>
        <v>View Full Record in Web of Science</v>
      </c>
    </row>
    <row r="608" spans="1:72" x14ac:dyDescent="0.15">
      <c r="A608" t="s">
        <v>72</v>
      </c>
      <c r="B608" t="s">
        <v>11758</v>
      </c>
      <c r="C608" t="s">
        <v>74</v>
      </c>
      <c r="D608" t="s">
        <v>74</v>
      </c>
      <c r="E608" t="s">
        <v>74</v>
      </c>
      <c r="F608" t="s">
        <v>11759</v>
      </c>
      <c r="G608" t="s">
        <v>74</v>
      </c>
      <c r="H608" t="s">
        <v>74</v>
      </c>
      <c r="I608" t="s">
        <v>11760</v>
      </c>
      <c r="J608" t="s">
        <v>3674</v>
      </c>
      <c r="K608" t="s">
        <v>74</v>
      </c>
      <c r="L608" t="s">
        <v>74</v>
      </c>
      <c r="M608" t="s">
        <v>78</v>
      </c>
      <c r="N608" t="s">
        <v>79</v>
      </c>
      <c r="O608" t="s">
        <v>74</v>
      </c>
      <c r="P608" t="s">
        <v>74</v>
      </c>
      <c r="Q608" t="s">
        <v>74</v>
      </c>
      <c r="R608" t="s">
        <v>74</v>
      </c>
      <c r="S608" t="s">
        <v>74</v>
      </c>
      <c r="T608" t="s">
        <v>74</v>
      </c>
      <c r="U608" t="s">
        <v>11761</v>
      </c>
      <c r="V608" t="s">
        <v>11762</v>
      </c>
      <c r="W608" t="s">
        <v>11763</v>
      </c>
      <c r="X608" t="s">
        <v>11764</v>
      </c>
      <c r="Y608" t="s">
        <v>11765</v>
      </c>
      <c r="Z608" t="s">
        <v>11766</v>
      </c>
      <c r="AA608" t="s">
        <v>11767</v>
      </c>
      <c r="AB608" t="s">
        <v>11768</v>
      </c>
      <c r="AC608" t="s">
        <v>11769</v>
      </c>
      <c r="AD608" t="s">
        <v>11770</v>
      </c>
      <c r="AE608" t="s">
        <v>11771</v>
      </c>
      <c r="AF608" t="s">
        <v>74</v>
      </c>
      <c r="AG608">
        <v>99</v>
      </c>
      <c r="AH608">
        <v>28</v>
      </c>
      <c r="AI608">
        <v>31</v>
      </c>
      <c r="AJ608">
        <v>1</v>
      </c>
      <c r="AK608">
        <v>66</v>
      </c>
      <c r="AL608" t="s">
        <v>3662</v>
      </c>
      <c r="AM608" t="s">
        <v>262</v>
      </c>
      <c r="AN608" t="s">
        <v>3663</v>
      </c>
      <c r="AO608" t="s">
        <v>3685</v>
      </c>
      <c r="AP608" t="s">
        <v>3686</v>
      </c>
      <c r="AQ608" t="s">
        <v>74</v>
      </c>
      <c r="AR608" t="s">
        <v>3687</v>
      </c>
      <c r="AS608" t="s">
        <v>3688</v>
      </c>
      <c r="AT608" t="s">
        <v>10046</v>
      </c>
      <c r="AU608">
        <v>2016</v>
      </c>
      <c r="AV608">
        <v>52</v>
      </c>
      <c r="AW608">
        <v>2</v>
      </c>
      <c r="AX608" t="s">
        <v>74</v>
      </c>
      <c r="AY608" t="s">
        <v>74</v>
      </c>
      <c r="AZ608" t="s">
        <v>74</v>
      </c>
      <c r="BA608" t="s">
        <v>74</v>
      </c>
      <c r="BB608">
        <v>176</v>
      </c>
      <c r="BC608">
        <v>203</v>
      </c>
      <c r="BD608" t="s">
        <v>74</v>
      </c>
      <c r="BE608" t="s">
        <v>11772</v>
      </c>
      <c r="BF608" t="str">
        <f>HYPERLINK("http://dx.doi.org/10.1017/S0032247415000637","http://dx.doi.org/10.1017/S0032247415000637")</f>
        <v>http://dx.doi.org/10.1017/S0032247415000637</v>
      </c>
      <c r="BG608" t="s">
        <v>74</v>
      </c>
      <c r="BH608" t="s">
        <v>74</v>
      </c>
      <c r="BI608">
        <v>28</v>
      </c>
      <c r="BJ608" t="s">
        <v>3690</v>
      </c>
      <c r="BK608" t="s">
        <v>102</v>
      </c>
      <c r="BL608" t="s">
        <v>465</v>
      </c>
      <c r="BM608" t="s">
        <v>11773</v>
      </c>
      <c r="BN608" t="s">
        <v>74</v>
      </c>
      <c r="BO608" t="s">
        <v>74</v>
      </c>
      <c r="BP608" t="s">
        <v>74</v>
      </c>
      <c r="BQ608" t="s">
        <v>74</v>
      </c>
      <c r="BR608" t="s">
        <v>106</v>
      </c>
      <c r="BS608" t="s">
        <v>11774</v>
      </c>
      <c r="BT608" t="str">
        <f>HYPERLINK("https%3A%2F%2Fwww.webofscience.com%2Fwos%2Fwoscc%2Ffull-record%2FWOS:000370039100006","View Full Record in Web of Science")</f>
        <v>View Full Record in Web of Science</v>
      </c>
    </row>
    <row r="609" spans="1:72" x14ac:dyDescent="0.15">
      <c r="A609" t="s">
        <v>72</v>
      </c>
      <c r="B609" t="s">
        <v>11775</v>
      </c>
      <c r="C609" t="s">
        <v>74</v>
      </c>
      <c r="D609" t="s">
        <v>74</v>
      </c>
      <c r="E609" t="s">
        <v>74</v>
      </c>
      <c r="F609" t="s">
        <v>11776</v>
      </c>
      <c r="G609" t="s">
        <v>74</v>
      </c>
      <c r="H609" t="s">
        <v>74</v>
      </c>
      <c r="I609" t="s">
        <v>11777</v>
      </c>
      <c r="J609" t="s">
        <v>3674</v>
      </c>
      <c r="K609" t="s">
        <v>74</v>
      </c>
      <c r="L609" t="s">
        <v>74</v>
      </c>
      <c r="M609" t="s">
        <v>78</v>
      </c>
      <c r="N609" t="s">
        <v>79</v>
      </c>
      <c r="O609" t="s">
        <v>74</v>
      </c>
      <c r="P609" t="s">
        <v>74</v>
      </c>
      <c r="Q609" t="s">
        <v>74</v>
      </c>
      <c r="R609" t="s">
        <v>74</v>
      </c>
      <c r="S609" t="s">
        <v>74</v>
      </c>
      <c r="T609" t="s">
        <v>74</v>
      </c>
      <c r="U609" t="s">
        <v>74</v>
      </c>
      <c r="V609" t="s">
        <v>11778</v>
      </c>
      <c r="W609" t="s">
        <v>11779</v>
      </c>
      <c r="X609" t="s">
        <v>10766</v>
      </c>
      <c r="Y609" t="s">
        <v>11780</v>
      </c>
      <c r="Z609" t="s">
        <v>11781</v>
      </c>
      <c r="AA609" t="s">
        <v>74</v>
      </c>
      <c r="AB609" t="s">
        <v>74</v>
      </c>
      <c r="AC609" t="s">
        <v>11782</v>
      </c>
      <c r="AD609" t="s">
        <v>11783</v>
      </c>
      <c r="AE609" t="s">
        <v>11784</v>
      </c>
      <c r="AF609" t="s">
        <v>74</v>
      </c>
      <c r="AG609">
        <v>6</v>
      </c>
      <c r="AH609">
        <v>7</v>
      </c>
      <c r="AI609">
        <v>10</v>
      </c>
      <c r="AJ609">
        <v>0</v>
      </c>
      <c r="AK609">
        <v>28</v>
      </c>
      <c r="AL609" t="s">
        <v>3662</v>
      </c>
      <c r="AM609" t="s">
        <v>262</v>
      </c>
      <c r="AN609" t="s">
        <v>3663</v>
      </c>
      <c r="AO609" t="s">
        <v>3685</v>
      </c>
      <c r="AP609" t="s">
        <v>3686</v>
      </c>
      <c r="AQ609" t="s">
        <v>74</v>
      </c>
      <c r="AR609" t="s">
        <v>3687</v>
      </c>
      <c r="AS609" t="s">
        <v>3688</v>
      </c>
      <c r="AT609" t="s">
        <v>10046</v>
      </c>
      <c r="AU609">
        <v>2016</v>
      </c>
      <c r="AV609">
        <v>52</v>
      </c>
      <c r="AW609">
        <v>2</v>
      </c>
      <c r="AX609" t="s">
        <v>74</v>
      </c>
      <c r="AY609" t="s">
        <v>74</v>
      </c>
      <c r="AZ609" t="s">
        <v>74</v>
      </c>
      <c r="BA609" t="s">
        <v>74</v>
      </c>
      <c r="BB609">
        <v>230</v>
      </c>
      <c r="BC609">
        <v>238</v>
      </c>
      <c r="BD609" t="s">
        <v>74</v>
      </c>
      <c r="BE609" t="s">
        <v>11785</v>
      </c>
      <c r="BF609" t="str">
        <f>HYPERLINK("http://dx.doi.org/10.1017/S0032247415000704","http://dx.doi.org/10.1017/S0032247415000704")</f>
        <v>http://dx.doi.org/10.1017/S0032247415000704</v>
      </c>
      <c r="BG609" t="s">
        <v>74</v>
      </c>
      <c r="BH609" t="s">
        <v>74</v>
      </c>
      <c r="BI609">
        <v>9</v>
      </c>
      <c r="BJ609" t="s">
        <v>3690</v>
      </c>
      <c r="BK609" t="s">
        <v>102</v>
      </c>
      <c r="BL609" t="s">
        <v>465</v>
      </c>
      <c r="BM609" t="s">
        <v>11773</v>
      </c>
      <c r="BN609" t="s">
        <v>74</v>
      </c>
      <c r="BO609" t="s">
        <v>74</v>
      </c>
      <c r="BP609" t="s">
        <v>74</v>
      </c>
      <c r="BQ609" t="s">
        <v>74</v>
      </c>
      <c r="BR609" t="s">
        <v>106</v>
      </c>
      <c r="BS609" t="s">
        <v>11786</v>
      </c>
      <c r="BT609" t="str">
        <f>HYPERLINK("https%3A%2F%2Fwww.webofscience.com%2Fwos%2Fwoscc%2Ffull-record%2FWOS:000370039100009","View Full Record in Web of Science")</f>
        <v>View Full Record in Web of Science</v>
      </c>
    </row>
    <row r="610" spans="1:72" x14ac:dyDescent="0.15">
      <c r="A610" t="s">
        <v>72</v>
      </c>
      <c r="B610" t="s">
        <v>11787</v>
      </c>
      <c r="C610" t="s">
        <v>74</v>
      </c>
      <c r="D610" t="s">
        <v>74</v>
      </c>
      <c r="E610" t="s">
        <v>74</v>
      </c>
      <c r="F610" t="s">
        <v>11788</v>
      </c>
      <c r="G610" t="s">
        <v>74</v>
      </c>
      <c r="H610" t="s">
        <v>74</v>
      </c>
      <c r="I610" t="s">
        <v>11789</v>
      </c>
      <c r="J610" t="s">
        <v>3674</v>
      </c>
      <c r="K610" t="s">
        <v>74</v>
      </c>
      <c r="L610" t="s">
        <v>74</v>
      </c>
      <c r="M610" t="s">
        <v>78</v>
      </c>
      <c r="N610" t="s">
        <v>79</v>
      </c>
      <c r="O610" t="s">
        <v>74</v>
      </c>
      <c r="P610" t="s">
        <v>74</v>
      </c>
      <c r="Q610" t="s">
        <v>74</v>
      </c>
      <c r="R610" t="s">
        <v>74</v>
      </c>
      <c r="S610" t="s">
        <v>74</v>
      </c>
      <c r="T610" t="s">
        <v>74</v>
      </c>
      <c r="U610" t="s">
        <v>11790</v>
      </c>
      <c r="V610" t="s">
        <v>11791</v>
      </c>
      <c r="W610" t="s">
        <v>11792</v>
      </c>
      <c r="X610" t="s">
        <v>11793</v>
      </c>
      <c r="Y610" t="s">
        <v>11794</v>
      </c>
      <c r="Z610" t="s">
        <v>11795</v>
      </c>
      <c r="AA610" t="s">
        <v>74</v>
      </c>
      <c r="AB610" t="s">
        <v>74</v>
      </c>
      <c r="AC610" t="s">
        <v>74</v>
      </c>
      <c r="AD610" t="s">
        <v>74</v>
      </c>
      <c r="AE610" t="s">
        <v>74</v>
      </c>
      <c r="AF610" t="s">
        <v>74</v>
      </c>
      <c r="AG610">
        <v>9</v>
      </c>
      <c r="AH610">
        <v>1</v>
      </c>
      <c r="AI610">
        <v>1</v>
      </c>
      <c r="AJ610">
        <v>0</v>
      </c>
      <c r="AK610">
        <v>11</v>
      </c>
      <c r="AL610" t="s">
        <v>3662</v>
      </c>
      <c r="AM610" t="s">
        <v>262</v>
      </c>
      <c r="AN610" t="s">
        <v>3663</v>
      </c>
      <c r="AO610" t="s">
        <v>3685</v>
      </c>
      <c r="AP610" t="s">
        <v>3686</v>
      </c>
      <c r="AQ610" t="s">
        <v>74</v>
      </c>
      <c r="AR610" t="s">
        <v>3687</v>
      </c>
      <c r="AS610" t="s">
        <v>3688</v>
      </c>
      <c r="AT610" t="s">
        <v>10046</v>
      </c>
      <c r="AU610">
        <v>2016</v>
      </c>
      <c r="AV610">
        <v>52</v>
      </c>
      <c r="AW610">
        <v>2</v>
      </c>
      <c r="AX610" t="s">
        <v>74</v>
      </c>
      <c r="AY610" t="s">
        <v>74</v>
      </c>
      <c r="AZ610" t="s">
        <v>74</v>
      </c>
      <c r="BA610" t="s">
        <v>74</v>
      </c>
      <c r="BB610">
        <v>239</v>
      </c>
      <c r="BC610">
        <v>248</v>
      </c>
      <c r="BD610" t="s">
        <v>74</v>
      </c>
      <c r="BE610" t="s">
        <v>11796</v>
      </c>
      <c r="BF610" t="str">
        <f>HYPERLINK("http://dx.doi.org/10.1017/S0032247415000716","http://dx.doi.org/10.1017/S0032247415000716")</f>
        <v>http://dx.doi.org/10.1017/S0032247415000716</v>
      </c>
      <c r="BG610" t="s">
        <v>74</v>
      </c>
      <c r="BH610" t="s">
        <v>74</v>
      </c>
      <c r="BI610">
        <v>10</v>
      </c>
      <c r="BJ610" t="s">
        <v>3690</v>
      </c>
      <c r="BK610" t="s">
        <v>102</v>
      </c>
      <c r="BL610" t="s">
        <v>465</v>
      </c>
      <c r="BM610" t="s">
        <v>11773</v>
      </c>
      <c r="BN610" t="s">
        <v>74</v>
      </c>
      <c r="BO610" t="s">
        <v>74</v>
      </c>
      <c r="BP610" t="s">
        <v>74</v>
      </c>
      <c r="BQ610" t="s">
        <v>74</v>
      </c>
      <c r="BR610" t="s">
        <v>106</v>
      </c>
      <c r="BS610" t="s">
        <v>11797</v>
      </c>
      <c r="BT610" t="str">
        <f>HYPERLINK("https%3A%2F%2Fwww.webofscience.com%2Fwos%2Fwoscc%2Ffull-record%2FWOS:000370039100010","View Full Record in Web of Science")</f>
        <v>View Full Record in Web of Science</v>
      </c>
    </row>
    <row r="611" spans="1:72" x14ac:dyDescent="0.15">
      <c r="A611" t="s">
        <v>72</v>
      </c>
      <c r="B611" t="s">
        <v>11798</v>
      </c>
      <c r="C611" t="s">
        <v>74</v>
      </c>
      <c r="D611" t="s">
        <v>74</v>
      </c>
      <c r="E611" t="s">
        <v>74</v>
      </c>
      <c r="F611" t="s">
        <v>11799</v>
      </c>
      <c r="G611" t="s">
        <v>74</v>
      </c>
      <c r="H611" t="s">
        <v>74</v>
      </c>
      <c r="I611" t="s">
        <v>11800</v>
      </c>
      <c r="J611" t="s">
        <v>11801</v>
      </c>
      <c r="K611" t="s">
        <v>74</v>
      </c>
      <c r="L611" t="s">
        <v>74</v>
      </c>
      <c r="M611" t="s">
        <v>78</v>
      </c>
      <c r="N611" t="s">
        <v>79</v>
      </c>
      <c r="O611" t="s">
        <v>74</v>
      </c>
      <c r="P611" t="s">
        <v>74</v>
      </c>
      <c r="Q611" t="s">
        <v>74</v>
      </c>
      <c r="R611" t="s">
        <v>74</v>
      </c>
      <c r="S611" t="s">
        <v>74</v>
      </c>
      <c r="T611" t="s">
        <v>11802</v>
      </c>
      <c r="U611" t="s">
        <v>11803</v>
      </c>
      <c r="V611" t="s">
        <v>11804</v>
      </c>
      <c r="W611" t="s">
        <v>11805</v>
      </c>
      <c r="X611" t="s">
        <v>11806</v>
      </c>
      <c r="Y611" t="s">
        <v>11807</v>
      </c>
      <c r="Z611" t="s">
        <v>11808</v>
      </c>
      <c r="AA611" t="s">
        <v>11809</v>
      </c>
      <c r="AB611" t="s">
        <v>11810</v>
      </c>
      <c r="AC611" t="s">
        <v>11811</v>
      </c>
      <c r="AD611" t="s">
        <v>11812</v>
      </c>
      <c r="AE611" t="s">
        <v>11813</v>
      </c>
      <c r="AF611" t="s">
        <v>74</v>
      </c>
      <c r="AG611">
        <v>25</v>
      </c>
      <c r="AH611">
        <v>8</v>
      </c>
      <c r="AI611">
        <v>9</v>
      </c>
      <c r="AJ611">
        <v>0</v>
      </c>
      <c r="AK611">
        <v>41</v>
      </c>
      <c r="AL611" t="s">
        <v>8564</v>
      </c>
      <c r="AM611" t="s">
        <v>2578</v>
      </c>
      <c r="AN611" t="s">
        <v>8565</v>
      </c>
      <c r="AO611" t="s">
        <v>11814</v>
      </c>
      <c r="AP611" t="s">
        <v>11815</v>
      </c>
      <c r="AQ611" t="s">
        <v>74</v>
      </c>
      <c r="AR611" t="s">
        <v>11816</v>
      </c>
      <c r="AS611" t="s">
        <v>11817</v>
      </c>
      <c r="AT611" t="s">
        <v>10046</v>
      </c>
      <c r="AU611">
        <v>2016</v>
      </c>
      <c r="AV611">
        <v>26</v>
      </c>
      <c r="AW611">
        <v>1</v>
      </c>
      <c r="AX611" t="s">
        <v>74</v>
      </c>
      <c r="AY611" t="s">
        <v>74</v>
      </c>
      <c r="AZ611" t="s">
        <v>74</v>
      </c>
      <c r="BA611" t="s">
        <v>74</v>
      </c>
      <c r="BB611">
        <v>151</v>
      </c>
      <c r="BC611">
        <v>168</v>
      </c>
      <c r="BD611" t="s">
        <v>74</v>
      </c>
      <c r="BE611" t="s">
        <v>11818</v>
      </c>
      <c r="BF611" t="str">
        <f>HYPERLINK("http://dx.doi.org/10.1007/s00006-015-0574-5","http://dx.doi.org/10.1007/s00006-015-0574-5")</f>
        <v>http://dx.doi.org/10.1007/s00006-015-0574-5</v>
      </c>
      <c r="BG611" t="s">
        <v>74</v>
      </c>
      <c r="BH611" t="s">
        <v>74</v>
      </c>
      <c r="BI611">
        <v>18</v>
      </c>
      <c r="BJ611" t="s">
        <v>11819</v>
      </c>
      <c r="BK611" t="s">
        <v>102</v>
      </c>
      <c r="BL611" t="s">
        <v>11820</v>
      </c>
      <c r="BM611" t="s">
        <v>11821</v>
      </c>
      <c r="BN611" t="s">
        <v>74</v>
      </c>
      <c r="BO611" t="s">
        <v>74</v>
      </c>
      <c r="BP611" t="s">
        <v>74</v>
      </c>
      <c r="BQ611" t="s">
        <v>74</v>
      </c>
      <c r="BR611" t="s">
        <v>106</v>
      </c>
      <c r="BS611" t="s">
        <v>11822</v>
      </c>
      <c r="BT611" t="str">
        <f>HYPERLINK("https%3A%2F%2Fwww.webofscience.com%2Fwos%2Fwoscc%2Ffull-record%2FWOS:000370339300011","View Full Record in Web of Science")</f>
        <v>View Full Record in Web of Science</v>
      </c>
    </row>
    <row r="612" spans="1:72" x14ac:dyDescent="0.15">
      <c r="A612" t="s">
        <v>72</v>
      </c>
      <c r="B612" t="s">
        <v>11823</v>
      </c>
      <c r="C612" t="s">
        <v>74</v>
      </c>
      <c r="D612" t="s">
        <v>74</v>
      </c>
      <c r="E612" t="s">
        <v>74</v>
      </c>
      <c r="F612" t="s">
        <v>11824</v>
      </c>
      <c r="G612" t="s">
        <v>74</v>
      </c>
      <c r="H612" t="s">
        <v>74</v>
      </c>
      <c r="I612" t="s">
        <v>11825</v>
      </c>
      <c r="J612" t="s">
        <v>11826</v>
      </c>
      <c r="K612" t="s">
        <v>74</v>
      </c>
      <c r="L612" t="s">
        <v>74</v>
      </c>
      <c r="M612" t="s">
        <v>78</v>
      </c>
      <c r="N612" t="s">
        <v>949</v>
      </c>
      <c r="O612" t="s">
        <v>74</v>
      </c>
      <c r="P612" t="s">
        <v>74</v>
      </c>
      <c r="Q612" t="s">
        <v>74</v>
      </c>
      <c r="R612" t="s">
        <v>74</v>
      </c>
      <c r="S612" t="s">
        <v>74</v>
      </c>
      <c r="T612" t="s">
        <v>11827</v>
      </c>
      <c r="U612" t="s">
        <v>11828</v>
      </c>
      <c r="V612" t="s">
        <v>11829</v>
      </c>
      <c r="W612" t="s">
        <v>11830</v>
      </c>
      <c r="X612" t="s">
        <v>11831</v>
      </c>
      <c r="Y612" t="s">
        <v>11832</v>
      </c>
      <c r="Z612" t="s">
        <v>11833</v>
      </c>
      <c r="AA612" t="s">
        <v>11834</v>
      </c>
      <c r="AB612" t="s">
        <v>11835</v>
      </c>
      <c r="AC612" t="s">
        <v>11836</v>
      </c>
      <c r="AD612" t="s">
        <v>11837</v>
      </c>
      <c r="AE612" t="s">
        <v>11838</v>
      </c>
      <c r="AF612" t="s">
        <v>74</v>
      </c>
      <c r="AG612">
        <v>76</v>
      </c>
      <c r="AH612">
        <v>54</v>
      </c>
      <c r="AI612">
        <v>63</v>
      </c>
      <c r="AJ612">
        <v>9</v>
      </c>
      <c r="AK612">
        <v>107</v>
      </c>
      <c r="AL612" t="s">
        <v>3709</v>
      </c>
      <c r="AM612" t="s">
        <v>3710</v>
      </c>
      <c r="AN612" t="s">
        <v>11839</v>
      </c>
      <c r="AO612" t="s">
        <v>11840</v>
      </c>
      <c r="AP612" t="s">
        <v>74</v>
      </c>
      <c r="AQ612" t="s">
        <v>74</v>
      </c>
      <c r="AR612" t="s">
        <v>11841</v>
      </c>
      <c r="AS612" t="s">
        <v>11842</v>
      </c>
      <c r="AT612" t="s">
        <v>11843</v>
      </c>
      <c r="AU612">
        <v>2016</v>
      </c>
      <c r="AV612">
        <v>7</v>
      </c>
      <c r="AW612" t="s">
        <v>1836</v>
      </c>
      <c r="AX612" t="s">
        <v>74</v>
      </c>
      <c r="AY612" t="s">
        <v>74</v>
      </c>
      <c r="AZ612" t="s">
        <v>74</v>
      </c>
      <c r="BA612" t="s">
        <v>74</v>
      </c>
      <c r="BB612">
        <v>82</v>
      </c>
      <c r="BC612">
        <v>89</v>
      </c>
      <c r="BD612" t="s">
        <v>74</v>
      </c>
      <c r="BE612" t="s">
        <v>11844</v>
      </c>
      <c r="BF612" t="str">
        <f>HYPERLINK("http://dx.doi.org/10.1016/j.accre.2016.06.002","http://dx.doi.org/10.1016/j.accre.2016.06.002")</f>
        <v>http://dx.doi.org/10.1016/j.accre.2016.06.002</v>
      </c>
      <c r="BG612" t="s">
        <v>74</v>
      </c>
      <c r="BH612" t="s">
        <v>74</v>
      </c>
      <c r="BI612">
        <v>8</v>
      </c>
      <c r="BJ612" t="s">
        <v>5371</v>
      </c>
      <c r="BK612" t="s">
        <v>967</v>
      </c>
      <c r="BL612" t="s">
        <v>4674</v>
      </c>
      <c r="BM612" t="s">
        <v>11845</v>
      </c>
      <c r="BN612" t="s">
        <v>74</v>
      </c>
      <c r="BO612" t="s">
        <v>495</v>
      </c>
      <c r="BP612" t="s">
        <v>74</v>
      </c>
      <c r="BQ612" t="s">
        <v>74</v>
      </c>
      <c r="BR612" t="s">
        <v>106</v>
      </c>
      <c r="BS612" t="s">
        <v>11846</v>
      </c>
      <c r="BT612" t="str">
        <f>HYPERLINK("https%3A%2F%2Fwww.webofscience.com%2Fwos%2Fwoscc%2Ffull-record%2FWOS:000413272100010","View Full Record in Web of Science")</f>
        <v>View Full Record in Web of Science</v>
      </c>
    </row>
    <row r="613" spans="1:72" x14ac:dyDescent="0.15">
      <c r="A613" t="s">
        <v>72</v>
      </c>
      <c r="B613" t="s">
        <v>11847</v>
      </c>
      <c r="C613" t="s">
        <v>74</v>
      </c>
      <c r="D613" t="s">
        <v>74</v>
      </c>
      <c r="E613" t="s">
        <v>74</v>
      </c>
      <c r="F613" t="s">
        <v>11848</v>
      </c>
      <c r="G613" t="s">
        <v>74</v>
      </c>
      <c r="H613" t="s">
        <v>74</v>
      </c>
      <c r="I613" t="s">
        <v>11849</v>
      </c>
      <c r="J613" t="s">
        <v>3301</v>
      </c>
      <c r="K613" t="s">
        <v>74</v>
      </c>
      <c r="L613" t="s">
        <v>74</v>
      </c>
      <c r="M613" t="s">
        <v>78</v>
      </c>
      <c r="N613" t="s">
        <v>949</v>
      </c>
      <c r="O613" t="s">
        <v>74</v>
      </c>
      <c r="P613" t="s">
        <v>74</v>
      </c>
      <c r="Q613" t="s">
        <v>74</v>
      </c>
      <c r="R613" t="s">
        <v>74</v>
      </c>
      <c r="S613" t="s">
        <v>74</v>
      </c>
      <c r="T613" t="s">
        <v>11850</v>
      </c>
      <c r="U613" t="s">
        <v>11851</v>
      </c>
      <c r="V613" t="s">
        <v>11852</v>
      </c>
      <c r="W613" t="s">
        <v>11853</v>
      </c>
      <c r="X613" t="s">
        <v>11854</v>
      </c>
      <c r="Y613" t="s">
        <v>11855</v>
      </c>
      <c r="Z613" t="s">
        <v>11856</v>
      </c>
      <c r="AA613" t="s">
        <v>11857</v>
      </c>
      <c r="AB613" t="s">
        <v>74</v>
      </c>
      <c r="AC613" t="s">
        <v>11858</v>
      </c>
      <c r="AD613" t="s">
        <v>11859</v>
      </c>
      <c r="AE613" t="s">
        <v>11860</v>
      </c>
      <c r="AF613" t="s">
        <v>74</v>
      </c>
      <c r="AG613">
        <v>111</v>
      </c>
      <c r="AH613">
        <v>58</v>
      </c>
      <c r="AI613">
        <v>66</v>
      </c>
      <c r="AJ613">
        <v>4</v>
      </c>
      <c r="AK613">
        <v>200</v>
      </c>
      <c r="AL613" t="s">
        <v>194</v>
      </c>
      <c r="AM613" t="s">
        <v>262</v>
      </c>
      <c r="AN613" t="s">
        <v>2836</v>
      </c>
      <c r="AO613" t="s">
        <v>3314</v>
      </c>
      <c r="AP613" t="s">
        <v>3315</v>
      </c>
      <c r="AQ613" t="s">
        <v>74</v>
      </c>
      <c r="AR613" t="s">
        <v>3316</v>
      </c>
      <c r="AS613" t="s">
        <v>3317</v>
      </c>
      <c r="AT613" t="s">
        <v>10046</v>
      </c>
      <c r="AU613">
        <v>2016</v>
      </c>
      <c r="AV613">
        <v>100</v>
      </c>
      <c r="AW613">
        <v>6</v>
      </c>
      <c r="AX613" t="s">
        <v>74</v>
      </c>
      <c r="AY613" t="s">
        <v>74</v>
      </c>
      <c r="AZ613" t="s">
        <v>74</v>
      </c>
      <c r="BA613" t="s">
        <v>74</v>
      </c>
      <c r="BB613">
        <v>2499</v>
      </c>
      <c r="BC613">
        <v>2510</v>
      </c>
      <c r="BD613" t="s">
        <v>74</v>
      </c>
      <c r="BE613" t="s">
        <v>11861</v>
      </c>
      <c r="BF613" t="str">
        <f>HYPERLINK("http://dx.doi.org/10.1007/s00253-016-7285-2","http://dx.doi.org/10.1007/s00253-016-7285-2")</f>
        <v>http://dx.doi.org/10.1007/s00253-016-7285-2</v>
      </c>
      <c r="BG613" t="s">
        <v>74</v>
      </c>
      <c r="BH613" t="s">
        <v>74</v>
      </c>
      <c r="BI613">
        <v>12</v>
      </c>
      <c r="BJ613" t="s">
        <v>1484</v>
      </c>
      <c r="BK613" t="s">
        <v>102</v>
      </c>
      <c r="BL613" t="s">
        <v>1484</v>
      </c>
      <c r="BM613" t="s">
        <v>11862</v>
      </c>
      <c r="BN613">
        <v>26780356</v>
      </c>
      <c r="BO613" t="s">
        <v>74</v>
      </c>
      <c r="BP613" t="s">
        <v>74</v>
      </c>
      <c r="BQ613" t="s">
        <v>74</v>
      </c>
      <c r="BR613" t="s">
        <v>106</v>
      </c>
      <c r="BS613" t="s">
        <v>11863</v>
      </c>
      <c r="BT613" t="str">
        <f>HYPERLINK("https%3A%2F%2Fwww.webofscience.com%2Fwos%2Fwoscc%2Ffull-record%2FWOS:000371244300001","View Full Record in Web of Science")</f>
        <v>View Full Record in Web of Science</v>
      </c>
    </row>
    <row r="614" spans="1:72" x14ac:dyDescent="0.15">
      <c r="A614" t="s">
        <v>72</v>
      </c>
      <c r="B614" t="s">
        <v>11864</v>
      </c>
      <c r="C614" t="s">
        <v>74</v>
      </c>
      <c r="D614" t="s">
        <v>74</v>
      </c>
      <c r="E614" t="s">
        <v>74</v>
      </c>
      <c r="F614" t="s">
        <v>11865</v>
      </c>
      <c r="G614" t="s">
        <v>74</v>
      </c>
      <c r="H614" t="s">
        <v>74</v>
      </c>
      <c r="I614" t="s">
        <v>11866</v>
      </c>
      <c r="J614" t="s">
        <v>11481</v>
      </c>
      <c r="K614" t="s">
        <v>74</v>
      </c>
      <c r="L614" t="s">
        <v>74</v>
      </c>
      <c r="M614" t="s">
        <v>78</v>
      </c>
      <c r="N614" t="s">
        <v>79</v>
      </c>
      <c r="O614" t="s">
        <v>74</v>
      </c>
      <c r="P614" t="s">
        <v>74</v>
      </c>
      <c r="Q614" t="s">
        <v>74</v>
      </c>
      <c r="R614" t="s">
        <v>74</v>
      </c>
      <c r="S614" t="s">
        <v>74</v>
      </c>
      <c r="T614" t="s">
        <v>11867</v>
      </c>
      <c r="U614" t="s">
        <v>11868</v>
      </c>
      <c r="V614" t="s">
        <v>11869</v>
      </c>
      <c r="W614" t="s">
        <v>11870</v>
      </c>
      <c r="X614" t="s">
        <v>11871</v>
      </c>
      <c r="Y614" t="s">
        <v>11872</v>
      </c>
      <c r="Z614" t="s">
        <v>11873</v>
      </c>
      <c r="AA614" t="s">
        <v>11874</v>
      </c>
      <c r="AB614" t="s">
        <v>11875</v>
      </c>
      <c r="AC614" t="s">
        <v>11876</v>
      </c>
      <c r="AD614" t="s">
        <v>11876</v>
      </c>
      <c r="AE614" t="s">
        <v>11877</v>
      </c>
      <c r="AF614" t="s">
        <v>74</v>
      </c>
      <c r="AG614">
        <v>56</v>
      </c>
      <c r="AH614">
        <v>35</v>
      </c>
      <c r="AI614">
        <v>38</v>
      </c>
      <c r="AJ614">
        <v>5</v>
      </c>
      <c r="AK614">
        <v>81</v>
      </c>
      <c r="AL614" t="s">
        <v>1829</v>
      </c>
      <c r="AM614" t="s">
        <v>679</v>
      </c>
      <c r="AN614" t="s">
        <v>1830</v>
      </c>
      <c r="AO614" t="s">
        <v>11494</v>
      </c>
      <c r="AP614" t="s">
        <v>11495</v>
      </c>
      <c r="AQ614" t="s">
        <v>74</v>
      </c>
      <c r="AR614" t="s">
        <v>11496</v>
      </c>
      <c r="AS614" t="s">
        <v>11497</v>
      </c>
      <c r="AT614" t="s">
        <v>10046</v>
      </c>
      <c r="AU614">
        <v>2016</v>
      </c>
      <c r="AV614">
        <v>129</v>
      </c>
      <c r="AW614" t="s">
        <v>74</v>
      </c>
      <c r="AX614" t="s">
        <v>74</v>
      </c>
      <c r="AY614" t="s">
        <v>74</v>
      </c>
      <c r="AZ614" t="s">
        <v>74</v>
      </c>
      <c r="BA614" t="s">
        <v>74</v>
      </c>
      <c r="BB614">
        <v>125</v>
      </c>
      <c r="BC614">
        <v>132</v>
      </c>
      <c r="BD614" t="s">
        <v>74</v>
      </c>
      <c r="BE614" t="s">
        <v>11878</v>
      </c>
      <c r="BF614" t="str">
        <f>HYPERLINK("http://dx.doi.org/10.1016/j.atmosenv.2016.01.023","http://dx.doi.org/10.1016/j.atmosenv.2016.01.023")</f>
        <v>http://dx.doi.org/10.1016/j.atmosenv.2016.01.023</v>
      </c>
      <c r="BG614" t="s">
        <v>74</v>
      </c>
      <c r="BH614" t="s">
        <v>74</v>
      </c>
      <c r="BI614">
        <v>8</v>
      </c>
      <c r="BJ614" t="s">
        <v>5371</v>
      </c>
      <c r="BK614" t="s">
        <v>102</v>
      </c>
      <c r="BL614" t="s">
        <v>4674</v>
      </c>
      <c r="BM614" t="s">
        <v>11499</v>
      </c>
      <c r="BN614" t="s">
        <v>74</v>
      </c>
      <c r="BO614" t="s">
        <v>74</v>
      </c>
      <c r="BP614" t="s">
        <v>74</v>
      </c>
      <c r="BQ614" t="s">
        <v>74</v>
      </c>
      <c r="BR614" t="s">
        <v>106</v>
      </c>
      <c r="BS614" t="s">
        <v>11879</v>
      </c>
      <c r="BT614" t="str">
        <f>HYPERLINK("https%3A%2F%2Fwww.webofscience.com%2Fwos%2Fwoscc%2Ffull-record%2FWOS:000370886000015","View Full Record in Web of Science")</f>
        <v>View Full Record in Web of Science</v>
      </c>
    </row>
    <row r="615" spans="1:72" x14ac:dyDescent="0.15">
      <c r="A615" t="s">
        <v>72</v>
      </c>
      <c r="B615" t="s">
        <v>11880</v>
      </c>
      <c r="C615" t="s">
        <v>74</v>
      </c>
      <c r="D615" t="s">
        <v>74</v>
      </c>
      <c r="E615" t="s">
        <v>74</v>
      </c>
      <c r="F615" t="s">
        <v>11881</v>
      </c>
      <c r="G615" t="s">
        <v>74</v>
      </c>
      <c r="H615" t="s">
        <v>74</v>
      </c>
      <c r="I615" t="s">
        <v>11882</v>
      </c>
      <c r="J615" t="s">
        <v>11883</v>
      </c>
      <c r="K615" t="s">
        <v>74</v>
      </c>
      <c r="L615" t="s">
        <v>74</v>
      </c>
      <c r="M615" t="s">
        <v>78</v>
      </c>
      <c r="N615" t="s">
        <v>949</v>
      </c>
      <c r="O615" t="s">
        <v>74</v>
      </c>
      <c r="P615" t="s">
        <v>74</v>
      </c>
      <c r="Q615" t="s">
        <v>74</v>
      </c>
      <c r="R615" t="s">
        <v>74</v>
      </c>
      <c r="S615" t="s">
        <v>74</v>
      </c>
      <c r="T615" t="s">
        <v>74</v>
      </c>
      <c r="U615" t="s">
        <v>11884</v>
      </c>
      <c r="V615" t="s">
        <v>11885</v>
      </c>
      <c r="W615" t="s">
        <v>11886</v>
      </c>
      <c r="X615" t="s">
        <v>11887</v>
      </c>
      <c r="Y615" t="s">
        <v>11888</v>
      </c>
      <c r="Z615" t="s">
        <v>11889</v>
      </c>
      <c r="AA615" t="s">
        <v>11890</v>
      </c>
      <c r="AB615" t="s">
        <v>11891</v>
      </c>
      <c r="AC615" t="s">
        <v>11892</v>
      </c>
      <c r="AD615" t="s">
        <v>11893</v>
      </c>
      <c r="AE615" t="s">
        <v>11894</v>
      </c>
      <c r="AF615" t="s">
        <v>74</v>
      </c>
      <c r="AG615">
        <v>159</v>
      </c>
      <c r="AH615">
        <v>26</v>
      </c>
      <c r="AI615">
        <v>28</v>
      </c>
      <c r="AJ615">
        <v>1</v>
      </c>
      <c r="AK615">
        <v>174</v>
      </c>
      <c r="AL615" t="s">
        <v>10196</v>
      </c>
      <c r="AM615" t="s">
        <v>2661</v>
      </c>
      <c r="AN615" t="s">
        <v>10197</v>
      </c>
      <c r="AO615" t="s">
        <v>11895</v>
      </c>
      <c r="AP615" t="s">
        <v>11896</v>
      </c>
      <c r="AQ615" t="s">
        <v>74</v>
      </c>
      <c r="AR615" t="s">
        <v>11883</v>
      </c>
      <c r="AS615" t="s">
        <v>11897</v>
      </c>
      <c r="AT615" t="s">
        <v>10046</v>
      </c>
      <c r="AU615">
        <v>2016</v>
      </c>
      <c r="AV615">
        <v>11</v>
      </c>
      <c r="AW615">
        <v>1</v>
      </c>
      <c r="AX615" t="s">
        <v>74</v>
      </c>
      <c r="AY615" t="s">
        <v>74</v>
      </c>
      <c r="AZ615" t="s">
        <v>74</v>
      </c>
      <c r="BA615" t="s">
        <v>74</v>
      </c>
      <c r="BB615" t="s">
        <v>74</v>
      </c>
      <c r="BC615" t="s">
        <v>74</v>
      </c>
      <c r="BD615">
        <v>18906</v>
      </c>
      <c r="BE615" t="s">
        <v>11898</v>
      </c>
      <c r="BF615" t="str">
        <f>HYPERLINK("http://dx.doi.org/10.1116/1.4939462","http://dx.doi.org/10.1116/1.4939462")</f>
        <v>http://dx.doi.org/10.1116/1.4939462</v>
      </c>
      <c r="BG615" t="s">
        <v>74</v>
      </c>
      <c r="BH615" t="s">
        <v>74</v>
      </c>
      <c r="BI615">
        <v>17</v>
      </c>
      <c r="BJ615" t="s">
        <v>11899</v>
      </c>
      <c r="BK615" t="s">
        <v>102</v>
      </c>
      <c r="BL615" t="s">
        <v>11900</v>
      </c>
      <c r="BM615" t="s">
        <v>11901</v>
      </c>
      <c r="BN615">
        <v>26787386</v>
      </c>
      <c r="BO615" t="s">
        <v>1143</v>
      </c>
      <c r="BP615" t="s">
        <v>74</v>
      </c>
      <c r="BQ615" t="s">
        <v>74</v>
      </c>
      <c r="BR615" t="s">
        <v>106</v>
      </c>
      <c r="BS615" t="s">
        <v>11902</v>
      </c>
      <c r="BT615" t="str">
        <f>HYPERLINK("https%3A%2F%2Fwww.webofscience.com%2Fwos%2Fwoscc%2Ffull-record%2FWOS:000374982200021","View Full Record in Web of Science")</f>
        <v>View Full Record in Web of Science</v>
      </c>
    </row>
    <row r="616" spans="1:72" x14ac:dyDescent="0.15">
      <c r="A616" t="s">
        <v>72</v>
      </c>
      <c r="B616" t="s">
        <v>11903</v>
      </c>
      <c r="C616" t="s">
        <v>74</v>
      </c>
      <c r="D616" t="s">
        <v>74</v>
      </c>
      <c r="E616" t="s">
        <v>74</v>
      </c>
      <c r="F616" t="s">
        <v>11904</v>
      </c>
      <c r="G616" t="s">
        <v>74</v>
      </c>
      <c r="H616" t="s">
        <v>74</v>
      </c>
      <c r="I616" t="s">
        <v>11905</v>
      </c>
      <c r="J616" t="s">
        <v>7790</v>
      </c>
      <c r="K616" t="s">
        <v>74</v>
      </c>
      <c r="L616" t="s">
        <v>74</v>
      </c>
      <c r="M616" t="s">
        <v>78</v>
      </c>
      <c r="N616" t="s">
        <v>79</v>
      </c>
      <c r="O616" t="s">
        <v>74</v>
      </c>
      <c r="P616" t="s">
        <v>74</v>
      </c>
      <c r="Q616" t="s">
        <v>74</v>
      </c>
      <c r="R616" t="s">
        <v>74</v>
      </c>
      <c r="S616" t="s">
        <v>74</v>
      </c>
      <c r="T616" t="s">
        <v>74</v>
      </c>
      <c r="U616" t="s">
        <v>11906</v>
      </c>
      <c r="V616" t="s">
        <v>11907</v>
      </c>
      <c r="W616" t="s">
        <v>11908</v>
      </c>
      <c r="X616" t="s">
        <v>11909</v>
      </c>
      <c r="Y616" t="s">
        <v>11910</v>
      </c>
      <c r="Z616" t="s">
        <v>11911</v>
      </c>
      <c r="AA616" t="s">
        <v>11912</v>
      </c>
      <c r="AB616" t="s">
        <v>11913</v>
      </c>
      <c r="AC616" t="s">
        <v>11914</v>
      </c>
      <c r="AD616" t="s">
        <v>11915</v>
      </c>
      <c r="AE616" t="s">
        <v>11916</v>
      </c>
      <c r="AF616" t="s">
        <v>74</v>
      </c>
      <c r="AG616">
        <v>135</v>
      </c>
      <c r="AH616">
        <v>140</v>
      </c>
      <c r="AI616">
        <v>146</v>
      </c>
      <c r="AJ616">
        <v>0</v>
      </c>
      <c r="AK616">
        <v>64</v>
      </c>
      <c r="AL616" t="s">
        <v>511</v>
      </c>
      <c r="AM616" t="s">
        <v>512</v>
      </c>
      <c r="AN616" t="s">
        <v>513</v>
      </c>
      <c r="AO616" t="s">
        <v>7797</v>
      </c>
      <c r="AP616" t="s">
        <v>7798</v>
      </c>
      <c r="AQ616" t="s">
        <v>74</v>
      </c>
      <c r="AR616" t="s">
        <v>7799</v>
      </c>
      <c r="AS616" t="s">
        <v>7800</v>
      </c>
      <c r="AT616" t="s">
        <v>10046</v>
      </c>
      <c r="AU616">
        <v>2016</v>
      </c>
      <c r="AV616">
        <v>97</v>
      </c>
      <c r="AW616">
        <v>3</v>
      </c>
      <c r="AX616" t="s">
        <v>74</v>
      </c>
      <c r="AY616" t="s">
        <v>74</v>
      </c>
      <c r="AZ616" t="s">
        <v>74</v>
      </c>
      <c r="BA616" t="s">
        <v>74</v>
      </c>
      <c r="BB616">
        <v>425</v>
      </c>
      <c r="BC616">
        <v>453</v>
      </c>
      <c r="BD616" t="s">
        <v>74</v>
      </c>
      <c r="BE616" t="s">
        <v>11917</v>
      </c>
      <c r="BF616" t="str">
        <f>HYPERLINK("http://dx.doi.org/10.1175/BAMS-D-14-00269.1","http://dx.doi.org/10.1175/BAMS-D-14-00269.1")</f>
        <v>http://dx.doi.org/10.1175/BAMS-D-14-00269.1</v>
      </c>
      <c r="BG616" t="s">
        <v>74</v>
      </c>
      <c r="BH616" t="s">
        <v>74</v>
      </c>
      <c r="BI616">
        <v>29</v>
      </c>
      <c r="BJ616" t="s">
        <v>1726</v>
      </c>
      <c r="BK616" t="s">
        <v>102</v>
      </c>
      <c r="BL616" t="s">
        <v>1726</v>
      </c>
      <c r="BM616" t="s">
        <v>11918</v>
      </c>
      <c r="BN616" t="s">
        <v>74</v>
      </c>
      <c r="BO616" t="s">
        <v>403</v>
      </c>
      <c r="BP616" t="s">
        <v>74</v>
      </c>
      <c r="BQ616" t="s">
        <v>74</v>
      </c>
      <c r="BR616" t="s">
        <v>106</v>
      </c>
      <c r="BS616" t="s">
        <v>11919</v>
      </c>
      <c r="BT616" t="str">
        <f>HYPERLINK("https%3A%2F%2Fwww.webofscience.com%2Fwos%2Fwoscc%2Ffull-record%2FWOS:000373803000001","View Full Record in Web of Science")</f>
        <v>View Full Record in Web of Science</v>
      </c>
    </row>
    <row r="617" spans="1:72" x14ac:dyDescent="0.15">
      <c r="A617" t="s">
        <v>72</v>
      </c>
      <c r="B617" t="s">
        <v>11920</v>
      </c>
      <c r="C617" t="s">
        <v>74</v>
      </c>
      <c r="D617" t="s">
        <v>74</v>
      </c>
      <c r="E617" t="s">
        <v>74</v>
      </c>
      <c r="F617" t="s">
        <v>11921</v>
      </c>
      <c r="G617" t="s">
        <v>74</v>
      </c>
      <c r="H617" t="s">
        <v>74</v>
      </c>
      <c r="I617" t="s">
        <v>11922</v>
      </c>
      <c r="J617" t="s">
        <v>7790</v>
      </c>
      <c r="K617" t="s">
        <v>74</v>
      </c>
      <c r="L617" t="s">
        <v>74</v>
      </c>
      <c r="M617" t="s">
        <v>78</v>
      </c>
      <c r="N617" t="s">
        <v>79</v>
      </c>
      <c r="O617" t="s">
        <v>74</v>
      </c>
      <c r="P617" t="s">
        <v>74</v>
      </c>
      <c r="Q617" t="s">
        <v>74</v>
      </c>
      <c r="R617" t="s">
        <v>74</v>
      </c>
      <c r="S617" t="s">
        <v>74</v>
      </c>
      <c r="T617" t="s">
        <v>74</v>
      </c>
      <c r="U617" t="s">
        <v>11923</v>
      </c>
      <c r="V617" t="s">
        <v>11924</v>
      </c>
      <c r="W617" t="s">
        <v>11925</v>
      </c>
      <c r="X617" t="s">
        <v>11926</v>
      </c>
      <c r="Y617" t="s">
        <v>11927</v>
      </c>
      <c r="Z617" t="s">
        <v>11928</v>
      </c>
      <c r="AA617" t="s">
        <v>11929</v>
      </c>
      <c r="AB617" t="s">
        <v>11930</v>
      </c>
      <c r="AC617" t="s">
        <v>11931</v>
      </c>
      <c r="AD617" t="s">
        <v>11932</v>
      </c>
      <c r="AE617" t="s">
        <v>11933</v>
      </c>
      <c r="AF617" t="s">
        <v>74</v>
      </c>
      <c r="AG617">
        <v>39</v>
      </c>
      <c r="AH617">
        <v>97</v>
      </c>
      <c r="AI617">
        <v>107</v>
      </c>
      <c r="AJ617">
        <v>3</v>
      </c>
      <c r="AK617">
        <v>42</v>
      </c>
      <c r="AL617" t="s">
        <v>511</v>
      </c>
      <c r="AM617" t="s">
        <v>512</v>
      </c>
      <c r="AN617" t="s">
        <v>513</v>
      </c>
      <c r="AO617" t="s">
        <v>7797</v>
      </c>
      <c r="AP617" t="s">
        <v>7798</v>
      </c>
      <c r="AQ617" t="s">
        <v>74</v>
      </c>
      <c r="AR617" t="s">
        <v>7799</v>
      </c>
      <c r="AS617" t="s">
        <v>7800</v>
      </c>
      <c r="AT617" t="s">
        <v>10046</v>
      </c>
      <c r="AU617">
        <v>2016</v>
      </c>
      <c r="AV617">
        <v>97</v>
      </c>
      <c r="AW617">
        <v>3</v>
      </c>
      <c r="AX617" t="s">
        <v>74</v>
      </c>
      <c r="AY617" t="s">
        <v>74</v>
      </c>
      <c r="AZ617" t="s">
        <v>74</v>
      </c>
      <c r="BA617" t="s">
        <v>74</v>
      </c>
      <c r="BB617">
        <v>455</v>
      </c>
      <c r="BC617">
        <v>466</v>
      </c>
      <c r="BD617" t="s">
        <v>74</v>
      </c>
      <c r="BE617" t="s">
        <v>11934</v>
      </c>
      <c r="BF617" t="str">
        <f>HYPERLINK("http://dx.doi.org/10.1175/BAMS-D-14-00194.1","http://dx.doi.org/10.1175/BAMS-D-14-00194.1")</f>
        <v>http://dx.doi.org/10.1175/BAMS-D-14-00194.1</v>
      </c>
      <c r="BG617" t="s">
        <v>74</v>
      </c>
      <c r="BH617" t="s">
        <v>74</v>
      </c>
      <c r="BI617">
        <v>12</v>
      </c>
      <c r="BJ617" t="s">
        <v>1726</v>
      </c>
      <c r="BK617" t="s">
        <v>102</v>
      </c>
      <c r="BL617" t="s">
        <v>1726</v>
      </c>
      <c r="BM617" t="s">
        <v>11935</v>
      </c>
      <c r="BN617" t="s">
        <v>74</v>
      </c>
      <c r="BO617" t="s">
        <v>203</v>
      </c>
      <c r="BP617" t="s">
        <v>74</v>
      </c>
      <c r="BQ617" t="s">
        <v>74</v>
      </c>
      <c r="BR617" t="s">
        <v>106</v>
      </c>
      <c r="BS617" t="s">
        <v>11936</v>
      </c>
      <c r="BT617" t="str">
        <f>HYPERLINK("https%3A%2F%2Fwww.webofscience.com%2Fwos%2Fwoscc%2Ffull-record%2FWOS:000373803200001","View Full Record in Web of Science")</f>
        <v>View Full Record in Web of Science</v>
      </c>
    </row>
    <row r="618" spans="1:72" x14ac:dyDescent="0.15">
      <c r="A618" t="s">
        <v>72</v>
      </c>
      <c r="B618" t="s">
        <v>11937</v>
      </c>
      <c r="C618" t="s">
        <v>74</v>
      </c>
      <c r="D618" t="s">
        <v>74</v>
      </c>
      <c r="E618" t="s">
        <v>74</v>
      </c>
      <c r="F618" t="s">
        <v>11938</v>
      </c>
      <c r="G618" t="s">
        <v>74</v>
      </c>
      <c r="H618" t="s">
        <v>74</v>
      </c>
      <c r="I618" t="s">
        <v>11939</v>
      </c>
      <c r="J618" t="s">
        <v>11522</v>
      </c>
      <c r="K618" t="s">
        <v>74</v>
      </c>
      <c r="L618" t="s">
        <v>74</v>
      </c>
      <c r="M618" t="s">
        <v>78</v>
      </c>
      <c r="N618" t="s">
        <v>79</v>
      </c>
      <c r="O618" t="s">
        <v>74</v>
      </c>
      <c r="P618" t="s">
        <v>74</v>
      </c>
      <c r="Q618" t="s">
        <v>74</v>
      </c>
      <c r="R618" t="s">
        <v>74</v>
      </c>
      <c r="S618" t="s">
        <v>74</v>
      </c>
      <c r="T618" t="s">
        <v>11940</v>
      </c>
      <c r="U618" t="s">
        <v>11941</v>
      </c>
      <c r="V618" t="s">
        <v>11942</v>
      </c>
      <c r="W618" t="s">
        <v>11943</v>
      </c>
      <c r="X618" t="s">
        <v>11944</v>
      </c>
      <c r="Y618" t="s">
        <v>11945</v>
      </c>
      <c r="Z618" t="s">
        <v>9583</v>
      </c>
      <c r="AA618" t="s">
        <v>11946</v>
      </c>
      <c r="AB618" t="s">
        <v>11947</v>
      </c>
      <c r="AC618" t="s">
        <v>11948</v>
      </c>
      <c r="AD618" t="s">
        <v>11949</v>
      </c>
      <c r="AE618" t="s">
        <v>11950</v>
      </c>
      <c r="AF618" t="s">
        <v>74</v>
      </c>
      <c r="AG618">
        <v>42</v>
      </c>
      <c r="AH618">
        <v>42</v>
      </c>
      <c r="AI618">
        <v>51</v>
      </c>
      <c r="AJ618">
        <v>5</v>
      </c>
      <c r="AK618">
        <v>111</v>
      </c>
      <c r="AL618" t="s">
        <v>1829</v>
      </c>
      <c r="AM618" t="s">
        <v>679</v>
      </c>
      <c r="AN618" t="s">
        <v>1830</v>
      </c>
      <c r="AO618" t="s">
        <v>11533</v>
      </c>
      <c r="AP618" t="s">
        <v>11534</v>
      </c>
      <c r="AQ618" t="s">
        <v>74</v>
      </c>
      <c r="AR618" t="s">
        <v>11522</v>
      </c>
      <c r="AS618" t="s">
        <v>11535</v>
      </c>
      <c r="AT618" t="s">
        <v>10046</v>
      </c>
      <c r="AU618">
        <v>2016</v>
      </c>
      <c r="AV618">
        <v>147</v>
      </c>
      <c r="AW618" t="s">
        <v>74</v>
      </c>
      <c r="AX618" t="s">
        <v>74</v>
      </c>
      <c r="AY618" t="s">
        <v>74</v>
      </c>
      <c r="AZ618" t="s">
        <v>74</v>
      </c>
      <c r="BA618" t="s">
        <v>74</v>
      </c>
      <c r="BB618">
        <v>368</v>
      </c>
      <c r="BC618">
        <v>375</v>
      </c>
      <c r="BD618" t="s">
        <v>74</v>
      </c>
      <c r="BE618" t="s">
        <v>11951</v>
      </c>
      <c r="BF618" t="str">
        <f>HYPERLINK("http://dx.doi.org/10.1016/j.chemosphere.2015.12.133","http://dx.doi.org/10.1016/j.chemosphere.2015.12.133")</f>
        <v>http://dx.doi.org/10.1016/j.chemosphere.2015.12.133</v>
      </c>
      <c r="BG618" t="s">
        <v>74</v>
      </c>
      <c r="BH618" t="s">
        <v>74</v>
      </c>
      <c r="BI618">
        <v>8</v>
      </c>
      <c r="BJ618" t="s">
        <v>464</v>
      </c>
      <c r="BK618" t="s">
        <v>102</v>
      </c>
      <c r="BL618" t="s">
        <v>465</v>
      </c>
      <c r="BM618" t="s">
        <v>11537</v>
      </c>
      <c r="BN618">
        <v>26774301</v>
      </c>
      <c r="BO618" t="s">
        <v>74</v>
      </c>
      <c r="BP618" t="s">
        <v>74</v>
      </c>
      <c r="BQ618" t="s">
        <v>74</v>
      </c>
      <c r="BR618" t="s">
        <v>106</v>
      </c>
      <c r="BS618" t="s">
        <v>11952</v>
      </c>
      <c r="BT618" t="str">
        <f>HYPERLINK("https%3A%2F%2Fwww.webofscience.com%2Fwos%2Fwoscc%2Ffull-record%2FWOS:000370836100047","View Full Record in Web of Science")</f>
        <v>View Full Record in Web of Science</v>
      </c>
    </row>
    <row r="619" spans="1:72" x14ac:dyDescent="0.15">
      <c r="A619" t="s">
        <v>72</v>
      </c>
      <c r="B619" t="s">
        <v>11953</v>
      </c>
      <c r="C619" t="s">
        <v>74</v>
      </c>
      <c r="D619" t="s">
        <v>74</v>
      </c>
      <c r="E619" t="s">
        <v>74</v>
      </c>
      <c r="F619" t="s">
        <v>11954</v>
      </c>
      <c r="G619" t="s">
        <v>74</v>
      </c>
      <c r="H619" t="s">
        <v>74</v>
      </c>
      <c r="I619" t="s">
        <v>11955</v>
      </c>
      <c r="J619" t="s">
        <v>7841</v>
      </c>
      <c r="K619" t="s">
        <v>74</v>
      </c>
      <c r="L619" t="s">
        <v>74</v>
      </c>
      <c r="M619" t="s">
        <v>78</v>
      </c>
      <c r="N619" t="s">
        <v>79</v>
      </c>
      <c r="O619" t="s">
        <v>74</v>
      </c>
      <c r="P619" t="s">
        <v>74</v>
      </c>
      <c r="Q619" t="s">
        <v>74</v>
      </c>
      <c r="R619" t="s">
        <v>74</v>
      </c>
      <c r="S619" t="s">
        <v>74</v>
      </c>
      <c r="T619" t="s">
        <v>11956</v>
      </c>
      <c r="U619" t="s">
        <v>11957</v>
      </c>
      <c r="V619" t="s">
        <v>11958</v>
      </c>
      <c r="W619" t="s">
        <v>11959</v>
      </c>
      <c r="X619" t="s">
        <v>11960</v>
      </c>
      <c r="Y619" t="s">
        <v>11961</v>
      </c>
      <c r="Z619" t="s">
        <v>11962</v>
      </c>
      <c r="AA619" t="s">
        <v>11963</v>
      </c>
      <c r="AB619" t="s">
        <v>11964</v>
      </c>
      <c r="AC619" t="s">
        <v>11965</v>
      </c>
      <c r="AD619" t="s">
        <v>11966</v>
      </c>
      <c r="AE619" t="s">
        <v>11967</v>
      </c>
      <c r="AF619" t="s">
        <v>74</v>
      </c>
      <c r="AG619">
        <v>96</v>
      </c>
      <c r="AH619">
        <v>44</v>
      </c>
      <c r="AI619">
        <v>48</v>
      </c>
      <c r="AJ619">
        <v>0</v>
      </c>
      <c r="AK619">
        <v>32</v>
      </c>
      <c r="AL619" t="s">
        <v>194</v>
      </c>
      <c r="AM619" t="s">
        <v>262</v>
      </c>
      <c r="AN619" t="s">
        <v>2836</v>
      </c>
      <c r="AO619" t="s">
        <v>7852</v>
      </c>
      <c r="AP619" t="s">
        <v>7853</v>
      </c>
      <c r="AQ619" t="s">
        <v>74</v>
      </c>
      <c r="AR619" t="s">
        <v>7854</v>
      </c>
      <c r="AS619" t="s">
        <v>7855</v>
      </c>
      <c r="AT619" t="s">
        <v>10046</v>
      </c>
      <c r="AU619">
        <v>2016</v>
      </c>
      <c r="AV619">
        <v>46</v>
      </c>
      <c r="AW619" t="s">
        <v>2240</v>
      </c>
      <c r="AX619" t="s">
        <v>74</v>
      </c>
      <c r="AY619" t="s">
        <v>74</v>
      </c>
      <c r="AZ619" t="s">
        <v>74</v>
      </c>
      <c r="BA619" t="s">
        <v>74</v>
      </c>
      <c r="BB619">
        <v>1563</v>
      </c>
      <c r="BC619">
        <v>1580</v>
      </c>
      <c r="BD619" t="s">
        <v>74</v>
      </c>
      <c r="BE619" t="s">
        <v>11968</v>
      </c>
      <c r="BF619" t="str">
        <f>HYPERLINK("http://dx.doi.org/10.1007/s00382-015-2662-6","http://dx.doi.org/10.1007/s00382-015-2662-6")</f>
        <v>http://dx.doi.org/10.1007/s00382-015-2662-6</v>
      </c>
      <c r="BG619" t="s">
        <v>74</v>
      </c>
      <c r="BH619" t="s">
        <v>74</v>
      </c>
      <c r="BI619">
        <v>18</v>
      </c>
      <c r="BJ619" t="s">
        <v>1726</v>
      </c>
      <c r="BK619" t="s">
        <v>102</v>
      </c>
      <c r="BL619" t="s">
        <v>1726</v>
      </c>
      <c r="BM619" t="s">
        <v>11969</v>
      </c>
      <c r="BN619" t="s">
        <v>74</v>
      </c>
      <c r="BO619" t="s">
        <v>74</v>
      </c>
      <c r="BP619" t="s">
        <v>74</v>
      </c>
      <c r="BQ619" t="s">
        <v>74</v>
      </c>
      <c r="BR619" t="s">
        <v>106</v>
      </c>
      <c r="BS619" t="s">
        <v>11970</v>
      </c>
      <c r="BT619" t="str">
        <f>HYPERLINK("https%3A%2F%2Fwww.webofscience.com%2Fwos%2Fwoscc%2Ffull-record%2FWOS:000371069900012","View Full Record in Web of Science")</f>
        <v>View Full Record in Web of Science</v>
      </c>
    </row>
    <row r="620" spans="1:72" x14ac:dyDescent="0.15">
      <c r="A620" t="s">
        <v>72</v>
      </c>
      <c r="B620" t="s">
        <v>11971</v>
      </c>
      <c r="C620" t="s">
        <v>74</v>
      </c>
      <c r="D620" t="s">
        <v>74</v>
      </c>
      <c r="E620" t="s">
        <v>74</v>
      </c>
      <c r="F620" t="s">
        <v>11972</v>
      </c>
      <c r="G620" t="s">
        <v>74</v>
      </c>
      <c r="H620" t="s">
        <v>74</v>
      </c>
      <c r="I620" t="s">
        <v>11973</v>
      </c>
      <c r="J620" t="s">
        <v>3891</v>
      </c>
      <c r="K620" t="s">
        <v>74</v>
      </c>
      <c r="L620" t="s">
        <v>74</v>
      </c>
      <c r="M620" t="s">
        <v>78</v>
      </c>
      <c r="N620" t="s">
        <v>79</v>
      </c>
      <c r="O620" t="s">
        <v>74</v>
      </c>
      <c r="P620" t="s">
        <v>74</v>
      </c>
      <c r="Q620" t="s">
        <v>74</v>
      </c>
      <c r="R620" t="s">
        <v>74</v>
      </c>
      <c r="S620" t="s">
        <v>74</v>
      </c>
      <c r="T620" t="s">
        <v>11974</v>
      </c>
      <c r="U620" t="s">
        <v>11975</v>
      </c>
      <c r="V620" t="s">
        <v>11976</v>
      </c>
      <c r="W620" t="s">
        <v>11977</v>
      </c>
      <c r="X620" t="s">
        <v>11978</v>
      </c>
      <c r="Y620" t="s">
        <v>11979</v>
      </c>
      <c r="Z620" t="s">
        <v>74</v>
      </c>
      <c r="AA620" t="s">
        <v>11980</v>
      </c>
      <c r="AB620" t="s">
        <v>11981</v>
      </c>
      <c r="AC620" t="s">
        <v>11982</v>
      </c>
      <c r="AD620" t="s">
        <v>11983</v>
      </c>
      <c r="AE620" t="s">
        <v>11984</v>
      </c>
      <c r="AF620" t="s">
        <v>74</v>
      </c>
      <c r="AG620">
        <v>107</v>
      </c>
      <c r="AH620">
        <v>31</v>
      </c>
      <c r="AI620">
        <v>35</v>
      </c>
      <c r="AJ620">
        <v>1</v>
      </c>
      <c r="AK620">
        <v>64</v>
      </c>
      <c r="AL620" t="s">
        <v>1829</v>
      </c>
      <c r="AM620" t="s">
        <v>679</v>
      </c>
      <c r="AN620" t="s">
        <v>1830</v>
      </c>
      <c r="AO620" t="s">
        <v>3902</v>
      </c>
      <c r="AP620" t="s">
        <v>3903</v>
      </c>
      <c r="AQ620" t="s">
        <v>74</v>
      </c>
      <c r="AR620" t="s">
        <v>3904</v>
      </c>
      <c r="AS620" t="s">
        <v>3905</v>
      </c>
      <c r="AT620" t="s">
        <v>10046</v>
      </c>
      <c r="AU620">
        <v>2016</v>
      </c>
      <c r="AV620">
        <v>109</v>
      </c>
      <c r="AW620" t="s">
        <v>74</v>
      </c>
      <c r="AX620" t="s">
        <v>74</v>
      </c>
      <c r="AY620" t="s">
        <v>74</v>
      </c>
      <c r="AZ620" t="s">
        <v>74</v>
      </c>
      <c r="BA620" t="s">
        <v>74</v>
      </c>
      <c r="BB620">
        <v>137</v>
      </c>
      <c r="BC620">
        <v>156</v>
      </c>
      <c r="BD620" t="s">
        <v>74</v>
      </c>
      <c r="BE620" t="s">
        <v>11985</v>
      </c>
      <c r="BF620" t="str">
        <f>HYPERLINK("http://dx.doi.org/10.1016/j.dsr.2015.12.002","http://dx.doi.org/10.1016/j.dsr.2015.12.002")</f>
        <v>http://dx.doi.org/10.1016/j.dsr.2015.12.002</v>
      </c>
      <c r="BG620" t="s">
        <v>74</v>
      </c>
      <c r="BH620" t="s">
        <v>74</v>
      </c>
      <c r="BI620">
        <v>20</v>
      </c>
      <c r="BJ620" t="s">
        <v>361</v>
      </c>
      <c r="BK620" t="s">
        <v>102</v>
      </c>
      <c r="BL620" t="s">
        <v>361</v>
      </c>
      <c r="BM620" t="s">
        <v>11986</v>
      </c>
      <c r="BN620" t="s">
        <v>74</v>
      </c>
      <c r="BO620" t="s">
        <v>203</v>
      </c>
      <c r="BP620" t="s">
        <v>74</v>
      </c>
      <c r="BQ620" t="s">
        <v>74</v>
      </c>
      <c r="BR620" t="s">
        <v>106</v>
      </c>
      <c r="BS620" t="s">
        <v>11987</v>
      </c>
      <c r="BT620" t="str">
        <f>HYPERLINK("https%3A%2F%2Fwww.webofscience.com%2Fwos%2Fwoscc%2Ffull-record%2FWOS:000371364300011","View Full Record in Web of Science")</f>
        <v>View Full Record in Web of Science</v>
      </c>
    </row>
    <row r="621" spans="1:72" x14ac:dyDescent="0.15">
      <c r="A621" t="s">
        <v>72</v>
      </c>
      <c r="B621" t="s">
        <v>11988</v>
      </c>
      <c r="C621" t="s">
        <v>74</v>
      </c>
      <c r="D621" t="s">
        <v>74</v>
      </c>
      <c r="E621" t="s">
        <v>74</v>
      </c>
      <c r="F621" t="s">
        <v>11989</v>
      </c>
      <c r="G621" t="s">
        <v>74</v>
      </c>
      <c r="H621" t="s">
        <v>74</v>
      </c>
      <c r="I621" t="s">
        <v>11990</v>
      </c>
      <c r="J621" t="s">
        <v>7977</v>
      </c>
      <c r="K621" t="s">
        <v>74</v>
      </c>
      <c r="L621" t="s">
        <v>74</v>
      </c>
      <c r="M621" t="s">
        <v>78</v>
      </c>
      <c r="N621" t="s">
        <v>79</v>
      </c>
      <c r="O621" t="s">
        <v>74</v>
      </c>
      <c r="P621" t="s">
        <v>74</v>
      </c>
      <c r="Q621" t="s">
        <v>74</v>
      </c>
      <c r="R621" t="s">
        <v>74</v>
      </c>
      <c r="S621" t="s">
        <v>74</v>
      </c>
      <c r="T621" t="s">
        <v>11991</v>
      </c>
      <c r="U621" t="s">
        <v>11992</v>
      </c>
      <c r="V621" t="s">
        <v>11993</v>
      </c>
      <c r="W621" t="s">
        <v>11994</v>
      </c>
      <c r="X621" t="s">
        <v>11995</v>
      </c>
      <c r="Y621" t="s">
        <v>11996</v>
      </c>
      <c r="Z621" t="s">
        <v>11997</v>
      </c>
      <c r="AA621" t="s">
        <v>11998</v>
      </c>
      <c r="AB621" t="s">
        <v>11999</v>
      </c>
      <c r="AC621" t="s">
        <v>12000</v>
      </c>
      <c r="AD621" t="s">
        <v>12001</v>
      </c>
      <c r="AE621" t="s">
        <v>12002</v>
      </c>
      <c r="AF621" t="s">
        <v>74</v>
      </c>
      <c r="AG621">
        <v>127</v>
      </c>
      <c r="AH621">
        <v>84</v>
      </c>
      <c r="AI621">
        <v>93</v>
      </c>
      <c r="AJ621">
        <v>2</v>
      </c>
      <c r="AK621">
        <v>68</v>
      </c>
      <c r="AL621" t="s">
        <v>582</v>
      </c>
      <c r="AM621" t="s">
        <v>583</v>
      </c>
      <c r="AN621" t="s">
        <v>584</v>
      </c>
      <c r="AO621" t="s">
        <v>7990</v>
      </c>
      <c r="AP621" t="s">
        <v>7991</v>
      </c>
      <c r="AQ621" t="s">
        <v>74</v>
      </c>
      <c r="AR621" t="s">
        <v>7992</v>
      </c>
      <c r="AS621" t="s">
        <v>7993</v>
      </c>
      <c r="AT621" t="s">
        <v>10046</v>
      </c>
      <c r="AU621">
        <v>2016</v>
      </c>
      <c r="AV621">
        <v>154</v>
      </c>
      <c r="AW621" t="s">
        <v>74</v>
      </c>
      <c r="AX621" t="s">
        <v>74</v>
      </c>
      <c r="AY621" t="s">
        <v>74</v>
      </c>
      <c r="AZ621" t="s">
        <v>74</v>
      </c>
      <c r="BA621" t="s">
        <v>74</v>
      </c>
      <c r="BB621">
        <v>138</v>
      </c>
      <c r="BC621">
        <v>173</v>
      </c>
      <c r="BD621" t="s">
        <v>74</v>
      </c>
      <c r="BE621" t="s">
        <v>12003</v>
      </c>
      <c r="BF621" t="str">
        <f>HYPERLINK("http://dx.doi.org/10.1016/j.earscirev.2015.11.015","http://dx.doi.org/10.1016/j.earscirev.2015.11.015")</f>
        <v>http://dx.doi.org/10.1016/j.earscirev.2015.11.015</v>
      </c>
      <c r="BG621" t="s">
        <v>74</v>
      </c>
      <c r="BH621" t="s">
        <v>74</v>
      </c>
      <c r="BI621">
        <v>36</v>
      </c>
      <c r="BJ621" t="s">
        <v>269</v>
      </c>
      <c r="BK621" t="s">
        <v>102</v>
      </c>
      <c r="BL621" t="s">
        <v>270</v>
      </c>
      <c r="BM621" t="s">
        <v>12004</v>
      </c>
      <c r="BN621" t="s">
        <v>74</v>
      </c>
      <c r="BO621" t="s">
        <v>74</v>
      </c>
      <c r="BP621" t="s">
        <v>74</v>
      </c>
      <c r="BQ621" t="s">
        <v>74</v>
      </c>
      <c r="BR621" t="s">
        <v>106</v>
      </c>
      <c r="BS621" t="s">
        <v>12005</v>
      </c>
      <c r="BT621" t="str">
        <f>HYPERLINK("https%3A%2F%2Fwww.webofscience.com%2Fwos%2Fwoscc%2Ffull-record%2FWOS:000372943900007","View Full Record in Web of Science")</f>
        <v>View Full Record in Web of Science</v>
      </c>
    </row>
    <row r="622" spans="1:72" x14ac:dyDescent="0.15">
      <c r="A622" t="s">
        <v>72</v>
      </c>
      <c r="B622" t="s">
        <v>12006</v>
      </c>
      <c r="C622" t="s">
        <v>74</v>
      </c>
      <c r="D622" t="s">
        <v>74</v>
      </c>
      <c r="E622" t="s">
        <v>74</v>
      </c>
      <c r="F622" t="s">
        <v>12007</v>
      </c>
      <c r="G622" t="s">
        <v>74</v>
      </c>
      <c r="H622" t="s">
        <v>74</v>
      </c>
      <c r="I622" t="s">
        <v>12008</v>
      </c>
      <c r="J622" t="s">
        <v>11283</v>
      </c>
      <c r="K622" t="s">
        <v>74</v>
      </c>
      <c r="L622" t="s">
        <v>74</v>
      </c>
      <c r="M622" t="s">
        <v>78</v>
      </c>
      <c r="N622" t="s">
        <v>79</v>
      </c>
      <c r="O622" t="s">
        <v>74</v>
      </c>
      <c r="P622" t="s">
        <v>74</v>
      </c>
      <c r="Q622" t="s">
        <v>74</v>
      </c>
      <c r="R622" t="s">
        <v>74</v>
      </c>
      <c r="S622" t="s">
        <v>74</v>
      </c>
      <c r="T622" t="s">
        <v>12009</v>
      </c>
      <c r="U622" t="s">
        <v>12010</v>
      </c>
      <c r="V622" t="s">
        <v>12011</v>
      </c>
      <c r="W622" t="s">
        <v>12012</v>
      </c>
      <c r="X622" t="s">
        <v>12013</v>
      </c>
      <c r="Y622" t="s">
        <v>12014</v>
      </c>
      <c r="Z622" t="s">
        <v>12015</v>
      </c>
      <c r="AA622" t="s">
        <v>12016</v>
      </c>
      <c r="AB622" t="s">
        <v>12017</v>
      </c>
      <c r="AC622" t="s">
        <v>12018</v>
      </c>
      <c r="AD622" t="s">
        <v>12019</v>
      </c>
      <c r="AE622" t="s">
        <v>12020</v>
      </c>
      <c r="AF622" t="s">
        <v>74</v>
      </c>
      <c r="AG622">
        <v>121</v>
      </c>
      <c r="AH622">
        <v>36</v>
      </c>
      <c r="AI622">
        <v>42</v>
      </c>
      <c r="AJ622">
        <v>3</v>
      </c>
      <c r="AK622">
        <v>52</v>
      </c>
      <c r="AL622" t="s">
        <v>124</v>
      </c>
      <c r="AM622" t="s">
        <v>125</v>
      </c>
      <c r="AN622" t="s">
        <v>126</v>
      </c>
      <c r="AO622" t="s">
        <v>11295</v>
      </c>
      <c r="AP622" t="s">
        <v>74</v>
      </c>
      <c r="AQ622" t="s">
        <v>74</v>
      </c>
      <c r="AR622" t="s">
        <v>11296</v>
      </c>
      <c r="AS622" t="s">
        <v>11297</v>
      </c>
      <c r="AT622" t="s">
        <v>10046</v>
      </c>
      <c r="AU622">
        <v>2016</v>
      </c>
      <c r="AV622">
        <v>6</v>
      </c>
      <c r="AW622">
        <v>6</v>
      </c>
      <c r="AX622" t="s">
        <v>74</v>
      </c>
      <c r="AY622" t="s">
        <v>74</v>
      </c>
      <c r="AZ622" t="s">
        <v>74</v>
      </c>
      <c r="BA622" t="s">
        <v>74</v>
      </c>
      <c r="BB622">
        <v>1834</v>
      </c>
      <c r="BC622">
        <v>1853</v>
      </c>
      <c r="BD622" t="s">
        <v>74</v>
      </c>
      <c r="BE622" t="s">
        <v>12021</v>
      </c>
      <c r="BF622" t="str">
        <f>HYPERLINK("http://dx.doi.org/10.1002/ece3.1929","http://dx.doi.org/10.1002/ece3.1929")</f>
        <v>http://dx.doi.org/10.1002/ece3.1929</v>
      </c>
      <c r="BG622" t="s">
        <v>74</v>
      </c>
      <c r="BH622" t="s">
        <v>74</v>
      </c>
      <c r="BI622">
        <v>20</v>
      </c>
      <c r="BJ622" t="s">
        <v>7663</v>
      </c>
      <c r="BK622" t="s">
        <v>102</v>
      </c>
      <c r="BL622" t="s">
        <v>7664</v>
      </c>
      <c r="BM622" t="s">
        <v>12022</v>
      </c>
      <c r="BN622">
        <v>26933489</v>
      </c>
      <c r="BO622" t="s">
        <v>12023</v>
      </c>
      <c r="BP622" t="s">
        <v>74</v>
      </c>
      <c r="BQ622" t="s">
        <v>74</v>
      </c>
      <c r="BR622" t="s">
        <v>106</v>
      </c>
      <c r="BS622" t="s">
        <v>12024</v>
      </c>
      <c r="BT622" t="str">
        <f>HYPERLINK("https%3A%2F%2Fwww.webofscience.com%2Fwos%2Fwoscc%2Ffull-record%2FWOS:000372488300023","View Full Record in Web of Science")</f>
        <v>View Full Record in Web of Science</v>
      </c>
    </row>
    <row r="623" spans="1:72" x14ac:dyDescent="0.15">
      <c r="A623" t="s">
        <v>72</v>
      </c>
      <c r="B623" t="s">
        <v>12025</v>
      </c>
      <c r="C623" t="s">
        <v>74</v>
      </c>
      <c r="D623" t="s">
        <v>74</v>
      </c>
      <c r="E623" t="s">
        <v>74</v>
      </c>
      <c r="F623" t="s">
        <v>12026</v>
      </c>
      <c r="G623" t="s">
        <v>74</v>
      </c>
      <c r="H623" t="s">
        <v>74</v>
      </c>
      <c r="I623" t="s">
        <v>12027</v>
      </c>
      <c r="J623" t="s">
        <v>12028</v>
      </c>
      <c r="K623" t="s">
        <v>74</v>
      </c>
      <c r="L623" t="s">
        <v>74</v>
      </c>
      <c r="M623" t="s">
        <v>78</v>
      </c>
      <c r="N623" t="s">
        <v>79</v>
      </c>
      <c r="O623" t="s">
        <v>74</v>
      </c>
      <c r="P623" t="s">
        <v>74</v>
      </c>
      <c r="Q623" t="s">
        <v>74</v>
      </c>
      <c r="R623" t="s">
        <v>74</v>
      </c>
      <c r="S623" t="s">
        <v>74</v>
      </c>
      <c r="T623" t="s">
        <v>12029</v>
      </c>
      <c r="U623" t="s">
        <v>12030</v>
      </c>
      <c r="V623" t="s">
        <v>12031</v>
      </c>
      <c r="W623" t="s">
        <v>12032</v>
      </c>
      <c r="X623" t="s">
        <v>12033</v>
      </c>
      <c r="Y623" t="s">
        <v>12034</v>
      </c>
      <c r="Z623" t="s">
        <v>12035</v>
      </c>
      <c r="AA623" t="s">
        <v>12036</v>
      </c>
      <c r="AB623" t="s">
        <v>12037</v>
      </c>
      <c r="AC623" t="s">
        <v>12038</v>
      </c>
      <c r="AD623" t="s">
        <v>12039</v>
      </c>
      <c r="AE623" t="s">
        <v>12040</v>
      </c>
      <c r="AF623" t="s">
        <v>74</v>
      </c>
      <c r="AG623">
        <v>109</v>
      </c>
      <c r="AH623">
        <v>47</v>
      </c>
      <c r="AI623">
        <v>49</v>
      </c>
      <c r="AJ623">
        <v>2</v>
      </c>
      <c r="AK623">
        <v>70</v>
      </c>
      <c r="AL623" t="s">
        <v>194</v>
      </c>
      <c r="AM623" t="s">
        <v>262</v>
      </c>
      <c r="AN623" t="s">
        <v>2836</v>
      </c>
      <c r="AO623" t="s">
        <v>12041</v>
      </c>
      <c r="AP623" t="s">
        <v>12042</v>
      </c>
      <c r="AQ623" t="s">
        <v>74</v>
      </c>
      <c r="AR623" t="s">
        <v>12028</v>
      </c>
      <c r="AS623" t="s">
        <v>12043</v>
      </c>
      <c r="AT623" t="s">
        <v>10046</v>
      </c>
      <c r="AU623">
        <v>2016</v>
      </c>
      <c r="AV623">
        <v>19</v>
      </c>
      <c r="AW623">
        <v>2</v>
      </c>
      <c r="AX623" t="s">
        <v>74</v>
      </c>
      <c r="AY623" t="s">
        <v>74</v>
      </c>
      <c r="AZ623" t="s">
        <v>74</v>
      </c>
      <c r="BA623" t="s">
        <v>74</v>
      </c>
      <c r="BB623">
        <v>187</v>
      </c>
      <c r="BC623">
        <v>219</v>
      </c>
      <c r="BD623" t="s">
        <v>74</v>
      </c>
      <c r="BE623" t="s">
        <v>12044</v>
      </c>
      <c r="BF623" t="str">
        <f>HYPERLINK("http://dx.doi.org/10.1007/s10021-015-9925-2","http://dx.doi.org/10.1007/s10021-015-9925-2")</f>
        <v>http://dx.doi.org/10.1007/s10021-015-9925-2</v>
      </c>
      <c r="BG623" t="s">
        <v>74</v>
      </c>
      <c r="BH623" t="s">
        <v>74</v>
      </c>
      <c r="BI623">
        <v>33</v>
      </c>
      <c r="BJ623" t="s">
        <v>4041</v>
      </c>
      <c r="BK623" t="s">
        <v>102</v>
      </c>
      <c r="BL623" t="s">
        <v>465</v>
      </c>
      <c r="BM623" t="s">
        <v>12045</v>
      </c>
      <c r="BN623" t="s">
        <v>74</v>
      </c>
      <c r="BO623" t="s">
        <v>74</v>
      </c>
      <c r="BP623" t="s">
        <v>74</v>
      </c>
      <c r="BQ623" t="s">
        <v>74</v>
      </c>
      <c r="BR623" t="s">
        <v>106</v>
      </c>
      <c r="BS623" t="s">
        <v>12046</v>
      </c>
      <c r="BT623" t="str">
        <f>HYPERLINK("https%3A%2F%2Fwww.webofscience.com%2Fwos%2Fwoscc%2Ffull-record%2FWOS:000371797400001","View Full Record in Web of Science")</f>
        <v>View Full Record in Web of Science</v>
      </c>
    </row>
    <row r="624" spans="1:72" x14ac:dyDescent="0.15">
      <c r="A624" t="s">
        <v>72</v>
      </c>
      <c r="B624" t="s">
        <v>12047</v>
      </c>
      <c r="C624" t="s">
        <v>74</v>
      </c>
      <c r="D624" t="s">
        <v>74</v>
      </c>
      <c r="E624" t="s">
        <v>74</v>
      </c>
      <c r="F624" t="s">
        <v>12048</v>
      </c>
      <c r="G624" t="s">
        <v>74</v>
      </c>
      <c r="H624" t="s">
        <v>74</v>
      </c>
      <c r="I624" t="s">
        <v>12049</v>
      </c>
      <c r="J624" t="s">
        <v>12028</v>
      </c>
      <c r="K624" t="s">
        <v>74</v>
      </c>
      <c r="L624" t="s">
        <v>74</v>
      </c>
      <c r="M624" t="s">
        <v>78</v>
      </c>
      <c r="N624" t="s">
        <v>79</v>
      </c>
      <c r="O624" t="s">
        <v>74</v>
      </c>
      <c r="P624" t="s">
        <v>74</v>
      </c>
      <c r="Q624" t="s">
        <v>74</v>
      </c>
      <c r="R624" t="s">
        <v>74</v>
      </c>
      <c r="S624" t="s">
        <v>74</v>
      </c>
      <c r="T624" t="s">
        <v>12050</v>
      </c>
      <c r="U624" t="s">
        <v>12051</v>
      </c>
      <c r="V624" t="s">
        <v>12052</v>
      </c>
      <c r="W624" t="s">
        <v>12053</v>
      </c>
      <c r="X624" t="s">
        <v>12054</v>
      </c>
      <c r="Y624" t="s">
        <v>12055</v>
      </c>
      <c r="Z624" t="s">
        <v>12056</v>
      </c>
      <c r="AA624" t="s">
        <v>12057</v>
      </c>
      <c r="AB624" t="s">
        <v>12058</v>
      </c>
      <c r="AC624" t="s">
        <v>12059</v>
      </c>
      <c r="AD624" t="s">
        <v>12060</v>
      </c>
      <c r="AE624" t="s">
        <v>12061</v>
      </c>
      <c r="AF624" t="s">
        <v>74</v>
      </c>
      <c r="AG624">
        <v>73</v>
      </c>
      <c r="AH624">
        <v>41</v>
      </c>
      <c r="AI624">
        <v>43</v>
      </c>
      <c r="AJ624">
        <v>5</v>
      </c>
      <c r="AK624">
        <v>58</v>
      </c>
      <c r="AL624" t="s">
        <v>194</v>
      </c>
      <c r="AM624" t="s">
        <v>262</v>
      </c>
      <c r="AN624" t="s">
        <v>2836</v>
      </c>
      <c r="AO624" t="s">
        <v>12041</v>
      </c>
      <c r="AP624" t="s">
        <v>12042</v>
      </c>
      <c r="AQ624" t="s">
        <v>74</v>
      </c>
      <c r="AR624" t="s">
        <v>12028</v>
      </c>
      <c r="AS624" t="s">
        <v>12043</v>
      </c>
      <c r="AT624" t="s">
        <v>10046</v>
      </c>
      <c r="AU624">
        <v>2016</v>
      </c>
      <c r="AV624">
        <v>19</v>
      </c>
      <c r="AW624">
        <v>2</v>
      </c>
      <c r="AX624" t="s">
        <v>74</v>
      </c>
      <c r="AY624" t="s">
        <v>74</v>
      </c>
      <c r="AZ624" t="s">
        <v>74</v>
      </c>
      <c r="BA624" t="s">
        <v>74</v>
      </c>
      <c r="BB624">
        <v>220</v>
      </c>
      <c r="BC624">
        <v>247</v>
      </c>
      <c r="BD624" t="s">
        <v>74</v>
      </c>
      <c r="BE624" t="s">
        <v>12062</v>
      </c>
      <c r="BF624" t="str">
        <f>HYPERLINK("http://dx.doi.org/10.1007/s10021-015-9926-1","http://dx.doi.org/10.1007/s10021-015-9926-1")</f>
        <v>http://dx.doi.org/10.1007/s10021-015-9926-1</v>
      </c>
      <c r="BG624" t="s">
        <v>74</v>
      </c>
      <c r="BH624" t="s">
        <v>74</v>
      </c>
      <c r="BI624">
        <v>28</v>
      </c>
      <c r="BJ624" t="s">
        <v>4041</v>
      </c>
      <c r="BK624" t="s">
        <v>102</v>
      </c>
      <c r="BL624" t="s">
        <v>465</v>
      </c>
      <c r="BM624" t="s">
        <v>12045</v>
      </c>
      <c r="BN624" t="s">
        <v>74</v>
      </c>
      <c r="BO624" t="s">
        <v>380</v>
      </c>
      <c r="BP624" t="s">
        <v>74</v>
      </c>
      <c r="BQ624" t="s">
        <v>74</v>
      </c>
      <c r="BR624" t="s">
        <v>106</v>
      </c>
      <c r="BS624" t="s">
        <v>12063</v>
      </c>
      <c r="BT624" t="str">
        <f>HYPERLINK("https%3A%2F%2Fwww.webofscience.com%2Fwos%2Fwoscc%2Ffull-record%2FWOS:000371797400002","View Full Record in Web of Science")</f>
        <v>View Full Record in Web of Science</v>
      </c>
    </row>
    <row r="625" spans="1:72" x14ac:dyDescent="0.15">
      <c r="A625" t="s">
        <v>72</v>
      </c>
      <c r="B625" t="s">
        <v>12064</v>
      </c>
      <c r="C625" t="s">
        <v>74</v>
      </c>
      <c r="D625" t="s">
        <v>74</v>
      </c>
      <c r="E625" t="s">
        <v>74</v>
      </c>
      <c r="F625" t="s">
        <v>12065</v>
      </c>
      <c r="G625" t="s">
        <v>74</v>
      </c>
      <c r="H625" t="s">
        <v>74</v>
      </c>
      <c r="I625" t="s">
        <v>12066</v>
      </c>
      <c r="J625" t="s">
        <v>12067</v>
      </c>
      <c r="K625" t="s">
        <v>74</v>
      </c>
      <c r="L625" t="s">
        <v>74</v>
      </c>
      <c r="M625" t="s">
        <v>78</v>
      </c>
      <c r="N625" t="s">
        <v>79</v>
      </c>
      <c r="O625" t="s">
        <v>74</v>
      </c>
      <c r="P625" t="s">
        <v>74</v>
      </c>
      <c r="Q625" t="s">
        <v>74</v>
      </c>
      <c r="R625" t="s">
        <v>74</v>
      </c>
      <c r="S625" t="s">
        <v>74</v>
      </c>
      <c r="T625" t="s">
        <v>12068</v>
      </c>
      <c r="U625" t="s">
        <v>12069</v>
      </c>
      <c r="V625" t="s">
        <v>12070</v>
      </c>
      <c r="W625" t="s">
        <v>12071</v>
      </c>
      <c r="X625" t="s">
        <v>12072</v>
      </c>
      <c r="Y625" t="s">
        <v>12073</v>
      </c>
      <c r="Z625" t="s">
        <v>12074</v>
      </c>
      <c r="AA625" t="s">
        <v>12075</v>
      </c>
      <c r="AB625" t="s">
        <v>12076</v>
      </c>
      <c r="AC625" t="s">
        <v>12077</v>
      </c>
      <c r="AD625" t="s">
        <v>12078</v>
      </c>
      <c r="AE625" t="s">
        <v>12079</v>
      </c>
      <c r="AF625" t="s">
        <v>74</v>
      </c>
      <c r="AG625">
        <v>38</v>
      </c>
      <c r="AH625">
        <v>15</v>
      </c>
      <c r="AI625">
        <v>15</v>
      </c>
      <c r="AJ625">
        <v>4</v>
      </c>
      <c r="AK625">
        <v>40</v>
      </c>
      <c r="AL625" t="s">
        <v>194</v>
      </c>
      <c r="AM625" t="s">
        <v>195</v>
      </c>
      <c r="AN625" t="s">
        <v>196</v>
      </c>
      <c r="AO625" t="s">
        <v>12080</v>
      </c>
      <c r="AP625" t="s">
        <v>12081</v>
      </c>
      <c r="AQ625" t="s">
        <v>74</v>
      </c>
      <c r="AR625" t="s">
        <v>12082</v>
      </c>
      <c r="AS625" t="s">
        <v>12083</v>
      </c>
      <c r="AT625" t="s">
        <v>10046</v>
      </c>
      <c r="AU625">
        <v>2016</v>
      </c>
      <c r="AV625">
        <v>188</v>
      </c>
      <c r="AW625">
        <v>3</v>
      </c>
      <c r="AX625" t="s">
        <v>74</v>
      </c>
      <c r="AY625" t="s">
        <v>74</v>
      </c>
      <c r="AZ625" t="s">
        <v>74</v>
      </c>
      <c r="BA625" t="s">
        <v>74</v>
      </c>
      <c r="BB625" t="s">
        <v>74</v>
      </c>
      <c r="BC625" t="s">
        <v>74</v>
      </c>
      <c r="BD625">
        <v>167</v>
      </c>
      <c r="BE625" t="s">
        <v>12084</v>
      </c>
      <c r="BF625" t="str">
        <f>HYPERLINK("http://dx.doi.org/10.1007/s10661-016-5172-z","http://dx.doi.org/10.1007/s10661-016-5172-z")</f>
        <v>http://dx.doi.org/10.1007/s10661-016-5172-z</v>
      </c>
      <c r="BG625" t="s">
        <v>74</v>
      </c>
      <c r="BH625" t="s">
        <v>74</v>
      </c>
      <c r="BI625">
        <v>16</v>
      </c>
      <c r="BJ625" t="s">
        <v>464</v>
      </c>
      <c r="BK625" t="s">
        <v>102</v>
      </c>
      <c r="BL625" t="s">
        <v>465</v>
      </c>
      <c r="BM625" t="s">
        <v>12085</v>
      </c>
      <c r="BN625">
        <v>26884354</v>
      </c>
      <c r="BO625" t="s">
        <v>74</v>
      </c>
      <c r="BP625" t="s">
        <v>74</v>
      </c>
      <c r="BQ625" t="s">
        <v>74</v>
      </c>
      <c r="BR625" t="s">
        <v>106</v>
      </c>
      <c r="BS625" t="s">
        <v>12086</v>
      </c>
      <c r="BT625" t="str">
        <f>HYPERLINK("https%3A%2F%2Fwww.webofscience.com%2Fwos%2Fwoscc%2Ffull-record%2FWOS:000371067600019","View Full Record in Web of Science")</f>
        <v>View Full Record in Web of Science</v>
      </c>
    </row>
    <row r="626" spans="1:72" x14ac:dyDescent="0.15">
      <c r="A626" t="s">
        <v>72</v>
      </c>
      <c r="B626" t="s">
        <v>12087</v>
      </c>
      <c r="C626" t="s">
        <v>74</v>
      </c>
      <c r="D626" t="s">
        <v>74</v>
      </c>
      <c r="E626" t="s">
        <v>74</v>
      </c>
      <c r="F626" t="s">
        <v>12088</v>
      </c>
      <c r="G626" t="s">
        <v>74</v>
      </c>
      <c r="H626" t="s">
        <v>74</v>
      </c>
      <c r="I626" t="s">
        <v>12089</v>
      </c>
      <c r="J626" t="s">
        <v>12090</v>
      </c>
      <c r="K626" t="s">
        <v>74</v>
      </c>
      <c r="L626" t="s">
        <v>74</v>
      </c>
      <c r="M626" t="s">
        <v>78</v>
      </c>
      <c r="N626" t="s">
        <v>79</v>
      </c>
      <c r="O626" t="s">
        <v>74</v>
      </c>
      <c r="P626" t="s">
        <v>74</v>
      </c>
      <c r="Q626" t="s">
        <v>74</v>
      </c>
      <c r="R626" t="s">
        <v>74</v>
      </c>
      <c r="S626" t="s">
        <v>74</v>
      </c>
      <c r="T626" t="s">
        <v>12091</v>
      </c>
      <c r="U626" t="s">
        <v>12092</v>
      </c>
      <c r="V626" t="s">
        <v>12093</v>
      </c>
      <c r="W626" t="s">
        <v>12094</v>
      </c>
      <c r="X626" t="s">
        <v>12095</v>
      </c>
      <c r="Y626" t="s">
        <v>12096</v>
      </c>
      <c r="Z626" t="s">
        <v>12097</v>
      </c>
      <c r="AA626" t="s">
        <v>12098</v>
      </c>
      <c r="AB626" t="s">
        <v>12099</v>
      </c>
      <c r="AC626" t="s">
        <v>12100</v>
      </c>
      <c r="AD626" t="s">
        <v>12101</v>
      </c>
      <c r="AE626" t="s">
        <v>12102</v>
      </c>
      <c r="AF626" t="s">
        <v>74</v>
      </c>
      <c r="AG626">
        <v>38</v>
      </c>
      <c r="AH626">
        <v>439</v>
      </c>
      <c r="AI626">
        <v>509</v>
      </c>
      <c r="AJ626">
        <v>17</v>
      </c>
      <c r="AK626">
        <v>325</v>
      </c>
      <c r="AL626" t="s">
        <v>2577</v>
      </c>
      <c r="AM626" t="s">
        <v>2578</v>
      </c>
      <c r="AN626" t="s">
        <v>2579</v>
      </c>
      <c r="AO626" t="s">
        <v>12103</v>
      </c>
      <c r="AP626" t="s">
        <v>74</v>
      </c>
      <c r="AQ626" t="s">
        <v>74</v>
      </c>
      <c r="AR626" t="s">
        <v>12090</v>
      </c>
      <c r="AS626" t="s">
        <v>12104</v>
      </c>
      <c r="AT626" t="s">
        <v>10046</v>
      </c>
      <c r="AU626">
        <v>2016</v>
      </c>
      <c r="AV626">
        <v>7</v>
      </c>
      <c r="AW626">
        <v>3</v>
      </c>
      <c r="AX626" t="s">
        <v>74</v>
      </c>
      <c r="AY626" t="s">
        <v>74</v>
      </c>
      <c r="AZ626" t="s">
        <v>74</v>
      </c>
      <c r="BA626" t="s">
        <v>74</v>
      </c>
      <c r="BB626" t="s">
        <v>74</v>
      </c>
      <c r="BC626" t="s">
        <v>74</v>
      </c>
      <c r="BD626" t="s">
        <v>74</v>
      </c>
      <c r="BE626" t="s">
        <v>12105</v>
      </c>
      <c r="BF626" t="str">
        <f>HYPERLINK("http://dx.doi.org/10.3390/f7030062","http://dx.doi.org/10.3390/f7030062")</f>
        <v>http://dx.doi.org/10.3390/f7030062</v>
      </c>
      <c r="BG626" t="s">
        <v>74</v>
      </c>
      <c r="BH626" t="s">
        <v>74</v>
      </c>
      <c r="BI626">
        <v>16</v>
      </c>
      <c r="BJ626" t="s">
        <v>12106</v>
      </c>
      <c r="BK626" t="s">
        <v>102</v>
      </c>
      <c r="BL626" t="s">
        <v>12106</v>
      </c>
      <c r="BM626" t="s">
        <v>12107</v>
      </c>
      <c r="BN626" t="s">
        <v>74</v>
      </c>
      <c r="BO626" t="s">
        <v>12108</v>
      </c>
      <c r="BP626" t="s">
        <v>1046</v>
      </c>
      <c r="BQ626" t="s">
        <v>1047</v>
      </c>
      <c r="BR626" t="s">
        <v>106</v>
      </c>
      <c r="BS626" t="s">
        <v>12109</v>
      </c>
      <c r="BT626" t="str">
        <f>HYPERLINK("https%3A%2F%2Fwww.webofscience.com%2Fwos%2Fwoscc%2Ffull-record%2FWOS:000373700800018","View Full Record in Web of Science")</f>
        <v>View Full Record in Web of Science</v>
      </c>
    </row>
    <row r="627" spans="1:72" x14ac:dyDescent="0.15">
      <c r="A627" t="s">
        <v>72</v>
      </c>
      <c r="B627" t="s">
        <v>12110</v>
      </c>
      <c r="C627" t="s">
        <v>74</v>
      </c>
      <c r="D627" t="s">
        <v>74</v>
      </c>
      <c r="E627" t="s">
        <v>74</v>
      </c>
      <c r="F627" t="s">
        <v>12111</v>
      </c>
      <c r="G627" t="s">
        <v>74</v>
      </c>
      <c r="H627" t="s">
        <v>74</v>
      </c>
      <c r="I627" t="s">
        <v>12112</v>
      </c>
      <c r="J627" t="s">
        <v>12113</v>
      </c>
      <c r="K627" t="s">
        <v>74</v>
      </c>
      <c r="L627" t="s">
        <v>74</v>
      </c>
      <c r="M627" t="s">
        <v>78</v>
      </c>
      <c r="N627" t="s">
        <v>573</v>
      </c>
      <c r="O627" t="s">
        <v>74</v>
      </c>
      <c r="P627" t="s">
        <v>74</v>
      </c>
      <c r="Q627" t="s">
        <v>74</v>
      </c>
      <c r="R627" t="s">
        <v>74</v>
      </c>
      <c r="S627" t="s">
        <v>74</v>
      </c>
      <c r="T627" t="s">
        <v>12114</v>
      </c>
      <c r="U627" t="s">
        <v>74</v>
      </c>
      <c r="V627" t="s">
        <v>74</v>
      </c>
      <c r="W627" t="s">
        <v>12115</v>
      </c>
      <c r="X627" t="s">
        <v>1057</v>
      </c>
      <c r="Y627" t="s">
        <v>12116</v>
      </c>
      <c r="Z627" t="s">
        <v>5725</v>
      </c>
      <c r="AA627" t="s">
        <v>5726</v>
      </c>
      <c r="AB627" t="s">
        <v>5727</v>
      </c>
      <c r="AC627" t="s">
        <v>74</v>
      </c>
      <c r="AD627" t="s">
        <v>74</v>
      </c>
      <c r="AE627" t="s">
        <v>74</v>
      </c>
      <c r="AF627" t="s">
        <v>74</v>
      </c>
      <c r="AG627">
        <v>9</v>
      </c>
      <c r="AH627">
        <v>4</v>
      </c>
      <c r="AI627">
        <v>4</v>
      </c>
      <c r="AJ627">
        <v>0</v>
      </c>
      <c r="AK627">
        <v>10</v>
      </c>
      <c r="AL627" t="s">
        <v>12117</v>
      </c>
      <c r="AM627" t="s">
        <v>773</v>
      </c>
      <c r="AN627" t="s">
        <v>12118</v>
      </c>
      <c r="AO627" t="s">
        <v>12119</v>
      </c>
      <c r="AP627" t="s">
        <v>74</v>
      </c>
      <c r="AQ627" t="s">
        <v>74</v>
      </c>
      <c r="AR627" t="s">
        <v>12120</v>
      </c>
      <c r="AS627" t="s">
        <v>12121</v>
      </c>
      <c r="AT627" t="s">
        <v>10046</v>
      </c>
      <c r="AU627">
        <v>2016</v>
      </c>
      <c r="AV627">
        <v>2</v>
      </c>
      <c r="AW627">
        <v>1</v>
      </c>
      <c r="AX627" t="s">
        <v>74</v>
      </c>
      <c r="AY627" t="s">
        <v>74</v>
      </c>
      <c r="AZ627" t="s">
        <v>74</v>
      </c>
      <c r="BA627" t="s">
        <v>74</v>
      </c>
      <c r="BB627" t="s">
        <v>74</v>
      </c>
      <c r="BC627" t="s">
        <v>74</v>
      </c>
      <c r="BD627" t="s">
        <v>12122</v>
      </c>
      <c r="BE627" t="s">
        <v>12123</v>
      </c>
      <c r="BF627" t="str">
        <f>HYPERLINK("http://dx.doi.org/10.4155/fso.15.91","http://dx.doi.org/10.4155/fso.15.91")</f>
        <v>http://dx.doi.org/10.4155/fso.15.91</v>
      </c>
      <c r="BG627" t="s">
        <v>74</v>
      </c>
      <c r="BH627" t="s">
        <v>74</v>
      </c>
      <c r="BI627">
        <v>3</v>
      </c>
      <c r="BJ627" t="s">
        <v>12124</v>
      </c>
      <c r="BK627" t="s">
        <v>967</v>
      </c>
      <c r="BL627" t="s">
        <v>12125</v>
      </c>
      <c r="BM627" t="s">
        <v>12126</v>
      </c>
      <c r="BN627">
        <v>28031941</v>
      </c>
      <c r="BO627" t="s">
        <v>993</v>
      </c>
      <c r="BP627" t="s">
        <v>74</v>
      </c>
      <c r="BQ627" t="s">
        <v>74</v>
      </c>
      <c r="BR627" t="s">
        <v>106</v>
      </c>
      <c r="BS627" t="s">
        <v>12127</v>
      </c>
      <c r="BT627" t="str">
        <f>HYPERLINK("https%3A%2F%2Fwww.webofscience.com%2Fwos%2Fwoscc%2Ffull-record%2FWOS:000387098600010","View Full Record in Web of Science")</f>
        <v>View Full Record in Web of Science</v>
      </c>
    </row>
    <row r="628" spans="1:72" x14ac:dyDescent="0.15">
      <c r="A628" t="s">
        <v>72</v>
      </c>
      <c r="B628" t="s">
        <v>12128</v>
      </c>
      <c r="C628" t="s">
        <v>74</v>
      </c>
      <c r="D628" t="s">
        <v>74</v>
      </c>
      <c r="E628" t="s">
        <v>74</v>
      </c>
      <c r="F628" t="s">
        <v>12129</v>
      </c>
      <c r="G628" t="s">
        <v>74</v>
      </c>
      <c r="H628" t="s">
        <v>74</v>
      </c>
      <c r="I628" t="s">
        <v>12130</v>
      </c>
      <c r="J628" t="s">
        <v>8153</v>
      </c>
      <c r="K628" t="s">
        <v>74</v>
      </c>
      <c r="L628" t="s">
        <v>74</v>
      </c>
      <c r="M628" t="s">
        <v>78</v>
      </c>
      <c r="N628" t="s">
        <v>79</v>
      </c>
      <c r="O628" t="s">
        <v>74</v>
      </c>
      <c r="P628" t="s">
        <v>74</v>
      </c>
      <c r="Q628" t="s">
        <v>74</v>
      </c>
      <c r="R628" t="s">
        <v>74</v>
      </c>
      <c r="S628" t="s">
        <v>74</v>
      </c>
      <c r="T628" t="s">
        <v>12131</v>
      </c>
      <c r="U628" t="s">
        <v>12132</v>
      </c>
      <c r="V628" t="s">
        <v>12133</v>
      </c>
      <c r="W628" t="s">
        <v>12134</v>
      </c>
      <c r="X628" t="s">
        <v>12135</v>
      </c>
      <c r="Y628" t="s">
        <v>12136</v>
      </c>
      <c r="Z628" t="s">
        <v>8160</v>
      </c>
      <c r="AA628" t="s">
        <v>12137</v>
      </c>
      <c r="AB628" t="s">
        <v>12138</v>
      </c>
      <c r="AC628" t="s">
        <v>12139</v>
      </c>
      <c r="AD628" t="s">
        <v>12140</v>
      </c>
      <c r="AE628" t="s">
        <v>12141</v>
      </c>
      <c r="AF628" t="s">
        <v>74</v>
      </c>
      <c r="AG628">
        <v>179</v>
      </c>
      <c r="AH628">
        <v>49</v>
      </c>
      <c r="AI628">
        <v>50</v>
      </c>
      <c r="AJ628">
        <v>0</v>
      </c>
      <c r="AK628">
        <v>26</v>
      </c>
      <c r="AL628" t="s">
        <v>240</v>
      </c>
      <c r="AM628" t="s">
        <v>241</v>
      </c>
      <c r="AN628" t="s">
        <v>242</v>
      </c>
      <c r="AO628" t="s">
        <v>8166</v>
      </c>
      <c r="AP628" t="s">
        <v>8167</v>
      </c>
      <c r="AQ628" t="s">
        <v>74</v>
      </c>
      <c r="AR628" t="s">
        <v>8168</v>
      </c>
      <c r="AS628" t="s">
        <v>8169</v>
      </c>
      <c r="AT628" t="s">
        <v>11578</v>
      </c>
      <c r="AU628">
        <v>2016</v>
      </c>
      <c r="AV628">
        <v>228</v>
      </c>
      <c r="AW628" t="s">
        <v>74</v>
      </c>
      <c r="AX628" t="s">
        <v>74</v>
      </c>
      <c r="AY628" t="s">
        <v>74</v>
      </c>
      <c r="AZ628" t="s">
        <v>74</v>
      </c>
      <c r="BA628" t="s">
        <v>74</v>
      </c>
      <c r="BB628">
        <v>111</v>
      </c>
      <c r="BC628">
        <v>127</v>
      </c>
      <c r="BD628" t="s">
        <v>74</v>
      </c>
      <c r="BE628" t="s">
        <v>12142</v>
      </c>
      <c r="BF628" t="str">
        <f>HYPERLINK("http://dx.doi.org/10.1016/j.ygcen.2016.02.001","http://dx.doi.org/10.1016/j.ygcen.2016.02.001")</f>
        <v>http://dx.doi.org/10.1016/j.ygcen.2016.02.001</v>
      </c>
      <c r="BG628" t="s">
        <v>74</v>
      </c>
      <c r="BH628" t="s">
        <v>74</v>
      </c>
      <c r="BI628">
        <v>17</v>
      </c>
      <c r="BJ628" t="s">
        <v>8171</v>
      </c>
      <c r="BK628" t="s">
        <v>102</v>
      </c>
      <c r="BL628" t="s">
        <v>8171</v>
      </c>
      <c r="BM628" t="s">
        <v>12143</v>
      </c>
      <c r="BN628">
        <v>26850661</v>
      </c>
      <c r="BO628" t="s">
        <v>74</v>
      </c>
      <c r="BP628" t="s">
        <v>74</v>
      </c>
      <c r="BQ628" t="s">
        <v>74</v>
      </c>
      <c r="BR628" t="s">
        <v>106</v>
      </c>
      <c r="BS628" t="s">
        <v>12144</v>
      </c>
      <c r="BT628" t="str">
        <f>HYPERLINK("https%3A%2F%2Fwww.webofscience.com%2Fwos%2Fwoscc%2Ffull-record%2FWOS:000372681400014","View Full Record in Web of Science")</f>
        <v>View Full Record in Web of Science</v>
      </c>
    </row>
    <row r="629" spans="1:72" x14ac:dyDescent="0.15">
      <c r="A629" t="s">
        <v>72</v>
      </c>
      <c r="B629" t="s">
        <v>12145</v>
      </c>
      <c r="C629" t="s">
        <v>74</v>
      </c>
      <c r="D629" t="s">
        <v>74</v>
      </c>
      <c r="E629" t="s">
        <v>74</v>
      </c>
      <c r="F629" t="s">
        <v>12146</v>
      </c>
      <c r="G629" t="s">
        <v>74</v>
      </c>
      <c r="H629" t="s">
        <v>74</v>
      </c>
      <c r="I629" t="s">
        <v>12147</v>
      </c>
      <c r="J629" t="s">
        <v>6103</v>
      </c>
      <c r="K629" t="s">
        <v>74</v>
      </c>
      <c r="L629" t="s">
        <v>74</v>
      </c>
      <c r="M629" t="s">
        <v>78</v>
      </c>
      <c r="N629" t="s">
        <v>79</v>
      </c>
      <c r="O629" t="s">
        <v>74</v>
      </c>
      <c r="P629" t="s">
        <v>74</v>
      </c>
      <c r="Q629" t="s">
        <v>74</v>
      </c>
      <c r="R629" t="s">
        <v>74</v>
      </c>
      <c r="S629" t="s">
        <v>74</v>
      </c>
      <c r="T629" t="s">
        <v>12148</v>
      </c>
      <c r="U629" t="s">
        <v>12149</v>
      </c>
      <c r="V629" t="s">
        <v>12150</v>
      </c>
      <c r="W629" t="s">
        <v>12151</v>
      </c>
      <c r="X629" t="s">
        <v>12152</v>
      </c>
      <c r="Y629" t="s">
        <v>12153</v>
      </c>
      <c r="Z629" t="s">
        <v>12154</v>
      </c>
      <c r="AA629" t="s">
        <v>12155</v>
      </c>
      <c r="AB629" t="s">
        <v>12156</v>
      </c>
      <c r="AC629" t="s">
        <v>12157</v>
      </c>
      <c r="AD629" t="s">
        <v>12158</v>
      </c>
      <c r="AE629" t="s">
        <v>12159</v>
      </c>
      <c r="AF629" t="s">
        <v>74</v>
      </c>
      <c r="AG629">
        <v>111</v>
      </c>
      <c r="AH629">
        <v>19</v>
      </c>
      <c r="AI629">
        <v>21</v>
      </c>
      <c r="AJ629">
        <v>1</v>
      </c>
      <c r="AK629">
        <v>35</v>
      </c>
      <c r="AL629" t="s">
        <v>92</v>
      </c>
      <c r="AM629" t="s">
        <v>93</v>
      </c>
      <c r="AN629" t="s">
        <v>94</v>
      </c>
      <c r="AO629" t="s">
        <v>74</v>
      </c>
      <c r="AP629" t="s">
        <v>6115</v>
      </c>
      <c r="AQ629" t="s">
        <v>74</v>
      </c>
      <c r="AR629" t="s">
        <v>6116</v>
      </c>
      <c r="AS629" t="s">
        <v>6117</v>
      </c>
      <c r="AT629" t="s">
        <v>10046</v>
      </c>
      <c r="AU629">
        <v>2016</v>
      </c>
      <c r="AV629">
        <v>17</v>
      </c>
      <c r="AW629">
        <v>3</v>
      </c>
      <c r="AX629" t="s">
        <v>74</v>
      </c>
      <c r="AY629" t="s">
        <v>74</v>
      </c>
      <c r="AZ629" t="s">
        <v>74</v>
      </c>
      <c r="BA629" t="s">
        <v>74</v>
      </c>
      <c r="BB629">
        <v>679</v>
      </c>
      <c r="BC629">
        <v>698</v>
      </c>
      <c r="BD629" t="s">
        <v>74</v>
      </c>
      <c r="BE629" t="s">
        <v>12160</v>
      </c>
      <c r="BF629" t="str">
        <f>HYPERLINK("http://dx.doi.org/10.1002/2015GC006218","http://dx.doi.org/10.1002/2015GC006218")</f>
        <v>http://dx.doi.org/10.1002/2015GC006218</v>
      </c>
      <c r="BG629" t="s">
        <v>74</v>
      </c>
      <c r="BH629" t="s">
        <v>74</v>
      </c>
      <c r="BI629">
        <v>20</v>
      </c>
      <c r="BJ629" t="s">
        <v>727</v>
      </c>
      <c r="BK629" t="s">
        <v>102</v>
      </c>
      <c r="BL629" t="s">
        <v>727</v>
      </c>
      <c r="BM629" t="s">
        <v>12161</v>
      </c>
      <c r="BN629" t="s">
        <v>74</v>
      </c>
      <c r="BO629" t="s">
        <v>363</v>
      </c>
      <c r="BP629" t="s">
        <v>74</v>
      </c>
      <c r="BQ629" t="s">
        <v>74</v>
      </c>
      <c r="BR629" t="s">
        <v>106</v>
      </c>
      <c r="BS629" t="s">
        <v>12162</v>
      </c>
      <c r="BT629" t="str">
        <f>HYPERLINK("https%3A%2F%2Fwww.webofscience.com%2Fwos%2Fwoscc%2Ffull-record%2FWOS:000375144700003","View Full Record in Web of Science")</f>
        <v>View Full Record in Web of Science</v>
      </c>
    </row>
    <row r="630" spans="1:72" x14ac:dyDescent="0.15">
      <c r="A630" t="s">
        <v>72</v>
      </c>
      <c r="B630" t="s">
        <v>12163</v>
      </c>
      <c r="C630" t="s">
        <v>74</v>
      </c>
      <c r="D630" t="s">
        <v>74</v>
      </c>
      <c r="E630" t="s">
        <v>74</v>
      </c>
      <c r="F630" t="s">
        <v>12164</v>
      </c>
      <c r="G630" t="s">
        <v>74</v>
      </c>
      <c r="H630" t="s">
        <v>74</v>
      </c>
      <c r="I630" t="s">
        <v>12165</v>
      </c>
      <c r="J630" t="s">
        <v>3351</v>
      </c>
      <c r="K630" t="s">
        <v>74</v>
      </c>
      <c r="L630" t="s">
        <v>74</v>
      </c>
      <c r="M630" t="s">
        <v>78</v>
      </c>
      <c r="N630" t="s">
        <v>79</v>
      </c>
      <c r="O630" t="s">
        <v>74</v>
      </c>
      <c r="P630" t="s">
        <v>74</v>
      </c>
      <c r="Q630" t="s">
        <v>74</v>
      </c>
      <c r="R630" t="s">
        <v>74</v>
      </c>
      <c r="S630" t="s">
        <v>74</v>
      </c>
      <c r="T630" t="s">
        <v>12166</v>
      </c>
      <c r="U630" t="s">
        <v>12167</v>
      </c>
      <c r="V630" t="s">
        <v>12168</v>
      </c>
      <c r="W630" t="s">
        <v>12169</v>
      </c>
      <c r="X630" t="s">
        <v>12170</v>
      </c>
      <c r="Y630" t="s">
        <v>12171</v>
      </c>
      <c r="Z630" t="s">
        <v>12172</v>
      </c>
      <c r="AA630" t="s">
        <v>12173</v>
      </c>
      <c r="AB630" t="s">
        <v>12174</v>
      </c>
      <c r="AC630" t="s">
        <v>12175</v>
      </c>
      <c r="AD630" t="s">
        <v>12176</v>
      </c>
      <c r="AE630" t="s">
        <v>12177</v>
      </c>
      <c r="AF630" t="s">
        <v>74</v>
      </c>
      <c r="AG630">
        <v>104</v>
      </c>
      <c r="AH630">
        <v>14</v>
      </c>
      <c r="AI630">
        <v>14</v>
      </c>
      <c r="AJ630">
        <v>1</v>
      </c>
      <c r="AK630">
        <v>10</v>
      </c>
      <c r="AL630" t="s">
        <v>1657</v>
      </c>
      <c r="AM630" t="s">
        <v>679</v>
      </c>
      <c r="AN630" t="s">
        <v>1658</v>
      </c>
      <c r="AO630" t="s">
        <v>3364</v>
      </c>
      <c r="AP630" t="s">
        <v>3365</v>
      </c>
      <c r="AQ630" t="s">
        <v>74</v>
      </c>
      <c r="AR630" t="s">
        <v>3366</v>
      </c>
      <c r="AS630" t="s">
        <v>3367</v>
      </c>
      <c r="AT630" t="s">
        <v>10046</v>
      </c>
      <c r="AU630">
        <v>2016</v>
      </c>
      <c r="AV630">
        <v>204</v>
      </c>
      <c r="AW630">
        <v>3</v>
      </c>
      <c r="AX630" t="s">
        <v>74</v>
      </c>
      <c r="AY630" t="s">
        <v>74</v>
      </c>
      <c r="AZ630" t="s">
        <v>74</v>
      </c>
      <c r="BA630" t="s">
        <v>74</v>
      </c>
      <c r="BB630">
        <v>1579</v>
      </c>
      <c r="BC630">
        <v>1600</v>
      </c>
      <c r="BD630" t="s">
        <v>74</v>
      </c>
      <c r="BE630" t="s">
        <v>12178</v>
      </c>
      <c r="BF630" t="str">
        <f>HYPERLINK("http://dx.doi.org/10.1093/gji/ggv539","http://dx.doi.org/10.1093/gji/ggv539")</f>
        <v>http://dx.doi.org/10.1093/gji/ggv539</v>
      </c>
      <c r="BG630" t="s">
        <v>74</v>
      </c>
      <c r="BH630" t="s">
        <v>74</v>
      </c>
      <c r="BI630">
        <v>22</v>
      </c>
      <c r="BJ630" t="s">
        <v>727</v>
      </c>
      <c r="BK630" t="s">
        <v>102</v>
      </c>
      <c r="BL630" t="s">
        <v>727</v>
      </c>
      <c r="BM630" t="s">
        <v>10528</v>
      </c>
      <c r="BN630" t="s">
        <v>74</v>
      </c>
      <c r="BO630" t="s">
        <v>3370</v>
      </c>
      <c r="BP630" t="s">
        <v>74</v>
      </c>
      <c r="BQ630" t="s">
        <v>74</v>
      </c>
      <c r="BR630" t="s">
        <v>106</v>
      </c>
      <c r="BS630" t="s">
        <v>12179</v>
      </c>
      <c r="BT630" t="str">
        <f>HYPERLINK("https%3A%2F%2Fwww.webofscience.com%2Fwos%2Fwoscc%2Ffull-record%2FWOS:000373719100013","View Full Record in Web of Science")</f>
        <v>View Full Record in Web of Science</v>
      </c>
    </row>
    <row r="631" spans="1:72" x14ac:dyDescent="0.15">
      <c r="A631" t="s">
        <v>72</v>
      </c>
      <c r="B631" t="s">
        <v>12180</v>
      </c>
      <c r="C631" t="s">
        <v>74</v>
      </c>
      <c r="D631" t="s">
        <v>74</v>
      </c>
      <c r="E631" t="s">
        <v>74</v>
      </c>
      <c r="F631" t="s">
        <v>12181</v>
      </c>
      <c r="G631" t="s">
        <v>74</v>
      </c>
      <c r="H631" t="s">
        <v>74</v>
      </c>
      <c r="I631" t="s">
        <v>12182</v>
      </c>
      <c r="J631" t="s">
        <v>12183</v>
      </c>
      <c r="K631" t="s">
        <v>74</v>
      </c>
      <c r="L631" t="s">
        <v>74</v>
      </c>
      <c r="M631" t="s">
        <v>78</v>
      </c>
      <c r="N631" t="s">
        <v>79</v>
      </c>
      <c r="O631" t="s">
        <v>74</v>
      </c>
      <c r="P631" t="s">
        <v>74</v>
      </c>
      <c r="Q631" t="s">
        <v>74</v>
      </c>
      <c r="R631" t="s">
        <v>74</v>
      </c>
      <c r="S631" t="s">
        <v>74</v>
      </c>
      <c r="T631" t="s">
        <v>74</v>
      </c>
      <c r="U631" t="s">
        <v>74</v>
      </c>
      <c r="V631" t="s">
        <v>12184</v>
      </c>
      <c r="W631" t="s">
        <v>12185</v>
      </c>
      <c r="X631" t="s">
        <v>12186</v>
      </c>
      <c r="Y631" t="s">
        <v>12187</v>
      </c>
      <c r="Z631" t="s">
        <v>12188</v>
      </c>
      <c r="AA631" t="s">
        <v>12189</v>
      </c>
      <c r="AB631" t="s">
        <v>12190</v>
      </c>
      <c r="AC631" t="s">
        <v>12191</v>
      </c>
      <c r="AD631" t="s">
        <v>12192</v>
      </c>
      <c r="AE631" t="s">
        <v>12193</v>
      </c>
      <c r="AF631" t="s">
        <v>74</v>
      </c>
      <c r="AG631">
        <v>0</v>
      </c>
      <c r="AH631">
        <v>17</v>
      </c>
      <c r="AI631">
        <v>18</v>
      </c>
      <c r="AJ631">
        <v>2</v>
      </c>
      <c r="AK631">
        <v>26</v>
      </c>
      <c r="AL631" t="s">
        <v>12194</v>
      </c>
      <c r="AM631" t="s">
        <v>3710</v>
      </c>
      <c r="AN631" t="s">
        <v>12195</v>
      </c>
      <c r="AO631" t="s">
        <v>12196</v>
      </c>
      <c r="AP631" t="s">
        <v>74</v>
      </c>
      <c r="AQ631" t="s">
        <v>74</v>
      </c>
      <c r="AR631" t="s">
        <v>12197</v>
      </c>
      <c r="AS631" t="s">
        <v>12198</v>
      </c>
      <c r="AT631" t="s">
        <v>10046</v>
      </c>
      <c r="AU631">
        <v>2016</v>
      </c>
      <c r="AV631">
        <v>7</v>
      </c>
      <c r="AW631">
        <v>2</v>
      </c>
      <c r="AX631" t="s">
        <v>74</v>
      </c>
      <c r="AY631" t="s">
        <v>74</v>
      </c>
      <c r="AZ631" t="s">
        <v>589</v>
      </c>
      <c r="BA631" t="s">
        <v>74</v>
      </c>
      <c r="BB631">
        <v>253</v>
      </c>
      <c r="BC631">
        <v>264</v>
      </c>
      <c r="BD631" t="s">
        <v>74</v>
      </c>
      <c r="BE631" t="s">
        <v>12199</v>
      </c>
      <c r="BF631" t="str">
        <f>HYPERLINK("http://dx.doi.org/10.1016/j.gsf.2015.05.001","http://dx.doi.org/10.1016/j.gsf.2015.05.001")</f>
        <v>http://dx.doi.org/10.1016/j.gsf.2015.05.001</v>
      </c>
      <c r="BG631" t="s">
        <v>74</v>
      </c>
      <c r="BH631" t="s">
        <v>74</v>
      </c>
      <c r="BI631">
        <v>12</v>
      </c>
      <c r="BJ631" t="s">
        <v>269</v>
      </c>
      <c r="BK631" t="s">
        <v>102</v>
      </c>
      <c r="BL631" t="s">
        <v>270</v>
      </c>
      <c r="BM631" t="s">
        <v>12200</v>
      </c>
      <c r="BN631" t="s">
        <v>74</v>
      </c>
      <c r="BO631" t="s">
        <v>495</v>
      </c>
      <c r="BP631" t="s">
        <v>74</v>
      </c>
      <c r="BQ631" t="s">
        <v>74</v>
      </c>
      <c r="BR631" t="s">
        <v>106</v>
      </c>
      <c r="BS631" t="s">
        <v>12201</v>
      </c>
      <c r="BT631" t="str">
        <f>HYPERLINK("https%3A%2F%2Fwww.webofscience.com%2Fwos%2Fwoscc%2Ffull-record%2FWOS:000370603300010","View Full Record in Web of Science")</f>
        <v>View Full Record in Web of Science</v>
      </c>
    </row>
    <row r="632" spans="1:72" x14ac:dyDescent="0.15">
      <c r="A632" t="s">
        <v>72</v>
      </c>
      <c r="B632" t="s">
        <v>12202</v>
      </c>
      <c r="C632" t="s">
        <v>74</v>
      </c>
      <c r="D632" t="s">
        <v>74</v>
      </c>
      <c r="E632" t="s">
        <v>74</v>
      </c>
      <c r="F632" t="s">
        <v>12203</v>
      </c>
      <c r="G632" t="s">
        <v>74</v>
      </c>
      <c r="H632" t="s">
        <v>74</v>
      </c>
      <c r="I632" t="s">
        <v>12204</v>
      </c>
      <c r="J632" t="s">
        <v>111</v>
      </c>
      <c r="K632" t="s">
        <v>74</v>
      </c>
      <c r="L632" t="s">
        <v>74</v>
      </c>
      <c r="M632" t="s">
        <v>78</v>
      </c>
      <c r="N632" t="s">
        <v>79</v>
      </c>
      <c r="O632" t="s">
        <v>74</v>
      </c>
      <c r="P632" t="s">
        <v>74</v>
      </c>
      <c r="Q632" t="s">
        <v>74</v>
      </c>
      <c r="R632" t="s">
        <v>74</v>
      </c>
      <c r="S632" t="s">
        <v>74</v>
      </c>
      <c r="T632" t="s">
        <v>12205</v>
      </c>
      <c r="U632" t="s">
        <v>12206</v>
      </c>
      <c r="V632" t="s">
        <v>12207</v>
      </c>
      <c r="W632" t="s">
        <v>12208</v>
      </c>
      <c r="X632" t="s">
        <v>12209</v>
      </c>
      <c r="Y632" t="s">
        <v>12210</v>
      </c>
      <c r="Z632" t="s">
        <v>5298</v>
      </c>
      <c r="AA632" t="s">
        <v>74</v>
      </c>
      <c r="AB632" t="s">
        <v>12211</v>
      </c>
      <c r="AC632" t="s">
        <v>12212</v>
      </c>
      <c r="AD632" t="s">
        <v>12213</v>
      </c>
      <c r="AE632" t="s">
        <v>12214</v>
      </c>
      <c r="AF632" t="s">
        <v>74</v>
      </c>
      <c r="AG632">
        <v>45</v>
      </c>
      <c r="AH632">
        <v>27</v>
      </c>
      <c r="AI632">
        <v>27</v>
      </c>
      <c r="AJ632">
        <v>0</v>
      </c>
      <c r="AK632">
        <v>54</v>
      </c>
      <c r="AL632" t="s">
        <v>124</v>
      </c>
      <c r="AM632" t="s">
        <v>125</v>
      </c>
      <c r="AN632" t="s">
        <v>126</v>
      </c>
      <c r="AO632" t="s">
        <v>127</v>
      </c>
      <c r="AP632" t="s">
        <v>128</v>
      </c>
      <c r="AQ632" t="s">
        <v>74</v>
      </c>
      <c r="AR632" t="s">
        <v>129</v>
      </c>
      <c r="AS632" t="s">
        <v>130</v>
      </c>
      <c r="AT632" t="s">
        <v>10046</v>
      </c>
      <c r="AU632">
        <v>2016</v>
      </c>
      <c r="AV632">
        <v>22</v>
      </c>
      <c r="AW632">
        <v>3</v>
      </c>
      <c r="AX632" t="s">
        <v>74</v>
      </c>
      <c r="AY632" t="s">
        <v>74</v>
      </c>
      <c r="AZ632" t="s">
        <v>74</v>
      </c>
      <c r="BA632" t="s">
        <v>74</v>
      </c>
      <c r="BB632">
        <v>1110</v>
      </c>
      <c r="BC632">
        <v>1120</v>
      </c>
      <c r="BD632" t="s">
        <v>74</v>
      </c>
      <c r="BE632" t="s">
        <v>12215</v>
      </c>
      <c r="BF632" t="str">
        <f>HYPERLINK("http://dx.doi.org/10.1111/gcb.13157","http://dx.doi.org/10.1111/gcb.13157")</f>
        <v>http://dx.doi.org/10.1111/gcb.13157</v>
      </c>
      <c r="BG632" t="s">
        <v>74</v>
      </c>
      <c r="BH632" t="s">
        <v>74</v>
      </c>
      <c r="BI632">
        <v>11</v>
      </c>
      <c r="BJ632" t="s">
        <v>132</v>
      </c>
      <c r="BK632" t="s">
        <v>102</v>
      </c>
      <c r="BL632" t="s">
        <v>133</v>
      </c>
      <c r="BM632" t="s">
        <v>12216</v>
      </c>
      <c r="BN632">
        <v>26682944</v>
      </c>
      <c r="BO632" t="s">
        <v>74</v>
      </c>
      <c r="BP632" t="s">
        <v>74</v>
      </c>
      <c r="BQ632" t="s">
        <v>74</v>
      </c>
      <c r="BR632" t="s">
        <v>106</v>
      </c>
      <c r="BS632" t="s">
        <v>12217</v>
      </c>
      <c r="BT632" t="str">
        <f>HYPERLINK("https%3A%2F%2Fwww.webofscience.com%2Fwos%2Fwoscc%2Ffull-record%2FWOS:000370491400013","View Full Record in Web of Science")</f>
        <v>View Full Record in Web of Science</v>
      </c>
    </row>
    <row r="633" spans="1:72" x14ac:dyDescent="0.15">
      <c r="A633" t="s">
        <v>72</v>
      </c>
      <c r="B633" t="s">
        <v>12218</v>
      </c>
      <c r="C633" t="s">
        <v>74</v>
      </c>
      <c r="D633" t="s">
        <v>74</v>
      </c>
      <c r="E633" t="s">
        <v>74</v>
      </c>
      <c r="F633" t="s">
        <v>12219</v>
      </c>
      <c r="G633" t="s">
        <v>74</v>
      </c>
      <c r="H633" t="s">
        <v>74</v>
      </c>
      <c r="I633" t="s">
        <v>12220</v>
      </c>
      <c r="J633" t="s">
        <v>12221</v>
      </c>
      <c r="K633" t="s">
        <v>74</v>
      </c>
      <c r="L633" t="s">
        <v>74</v>
      </c>
      <c r="M633" t="s">
        <v>78</v>
      </c>
      <c r="N633" t="s">
        <v>949</v>
      </c>
      <c r="O633" t="s">
        <v>74</v>
      </c>
      <c r="P633" t="s">
        <v>74</v>
      </c>
      <c r="Q633" t="s">
        <v>74</v>
      </c>
      <c r="R633" t="s">
        <v>74</v>
      </c>
      <c r="S633" t="s">
        <v>74</v>
      </c>
      <c r="T633" t="s">
        <v>12222</v>
      </c>
      <c r="U633" t="s">
        <v>12223</v>
      </c>
      <c r="V633" t="s">
        <v>12224</v>
      </c>
      <c r="W633" t="s">
        <v>12225</v>
      </c>
      <c r="X633" t="s">
        <v>12226</v>
      </c>
      <c r="Y633" t="s">
        <v>12227</v>
      </c>
      <c r="Z633" t="s">
        <v>12228</v>
      </c>
      <c r="AA633" t="s">
        <v>12229</v>
      </c>
      <c r="AB633" t="s">
        <v>12230</v>
      </c>
      <c r="AC633" t="s">
        <v>12231</v>
      </c>
      <c r="AD633" t="s">
        <v>12232</v>
      </c>
      <c r="AE633" t="s">
        <v>12233</v>
      </c>
      <c r="AF633" t="s">
        <v>74</v>
      </c>
      <c r="AG633">
        <v>57</v>
      </c>
      <c r="AH633">
        <v>11</v>
      </c>
      <c r="AI633">
        <v>12</v>
      </c>
      <c r="AJ633">
        <v>0</v>
      </c>
      <c r="AK633">
        <v>18</v>
      </c>
      <c r="AL633" t="s">
        <v>626</v>
      </c>
      <c r="AM633" t="s">
        <v>583</v>
      </c>
      <c r="AN633" t="s">
        <v>627</v>
      </c>
      <c r="AO633" t="s">
        <v>12234</v>
      </c>
      <c r="AP633" t="s">
        <v>12235</v>
      </c>
      <c r="AQ633" t="s">
        <v>74</v>
      </c>
      <c r="AR633" t="s">
        <v>12236</v>
      </c>
      <c r="AS633" t="s">
        <v>12237</v>
      </c>
      <c r="AT633" t="s">
        <v>10046</v>
      </c>
      <c r="AU633">
        <v>2016</v>
      </c>
      <c r="AV633">
        <v>31</v>
      </c>
      <c r="AW633" t="s">
        <v>74</v>
      </c>
      <c r="AX633" t="s">
        <v>74</v>
      </c>
      <c r="AY633" t="s">
        <v>74</v>
      </c>
      <c r="AZ633" t="s">
        <v>74</v>
      </c>
      <c r="BA633" t="s">
        <v>74</v>
      </c>
      <c r="BB633">
        <v>20</v>
      </c>
      <c r="BC633">
        <v>29</v>
      </c>
      <c r="BD633" t="s">
        <v>74</v>
      </c>
      <c r="BE633" t="s">
        <v>12238</v>
      </c>
      <c r="BF633" t="str">
        <f>HYPERLINK("http://dx.doi.org/10.1016/j.gr.2015.10.002","http://dx.doi.org/10.1016/j.gr.2015.10.002")</f>
        <v>http://dx.doi.org/10.1016/j.gr.2015.10.002</v>
      </c>
      <c r="BG633" t="s">
        <v>74</v>
      </c>
      <c r="BH633" t="s">
        <v>74</v>
      </c>
      <c r="BI633">
        <v>10</v>
      </c>
      <c r="BJ633" t="s">
        <v>269</v>
      </c>
      <c r="BK633" t="s">
        <v>102</v>
      </c>
      <c r="BL633" t="s">
        <v>270</v>
      </c>
      <c r="BM633" t="s">
        <v>12239</v>
      </c>
      <c r="BN633" t="s">
        <v>74</v>
      </c>
      <c r="BO633" t="s">
        <v>222</v>
      </c>
      <c r="BP633" t="s">
        <v>74</v>
      </c>
      <c r="BQ633" t="s">
        <v>74</v>
      </c>
      <c r="BR633" t="s">
        <v>106</v>
      </c>
      <c r="BS633" t="s">
        <v>12240</v>
      </c>
      <c r="BT633" t="str">
        <f>HYPERLINK("https%3A%2F%2Fwww.webofscience.com%2Fwos%2Fwoscc%2Ffull-record%2FWOS:000371555100002","View Full Record in Web of Science")</f>
        <v>View Full Record in Web of Science</v>
      </c>
    </row>
    <row r="634" spans="1:72" x14ac:dyDescent="0.15">
      <c r="A634" t="s">
        <v>72</v>
      </c>
      <c r="B634" t="s">
        <v>12241</v>
      </c>
      <c r="C634" t="s">
        <v>74</v>
      </c>
      <c r="D634" t="s">
        <v>74</v>
      </c>
      <c r="E634" t="s">
        <v>74</v>
      </c>
      <c r="F634" t="s">
        <v>12242</v>
      </c>
      <c r="G634" t="s">
        <v>74</v>
      </c>
      <c r="H634" t="s">
        <v>74</v>
      </c>
      <c r="I634" t="s">
        <v>12243</v>
      </c>
      <c r="J634" t="s">
        <v>12221</v>
      </c>
      <c r="K634" t="s">
        <v>74</v>
      </c>
      <c r="L634" t="s">
        <v>74</v>
      </c>
      <c r="M634" t="s">
        <v>78</v>
      </c>
      <c r="N634" t="s">
        <v>79</v>
      </c>
      <c r="O634" t="s">
        <v>74</v>
      </c>
      <c r="P634" t="s">
        <v>74</v>
      </c>
      <c r="Q634" t="s">
        <v>74</v>
      </c>
      <c r="R634" t="s">
        <v>74</v>
      </c>
      <c r="S634" t="s">
        <v>74</v>
      </c>
      <c r="T634" t="s">
        <v>12244</v>
      </c>
      <c r="U634" t="s">
        <v>12245</v>
      </c>
      <c r="V634" t="s">
        <v>12246</v>
      </c>
      <c r="W634" t="s">
        <v>12247</v>
      </c>
      <c r="X634" t="s">
        <v>12248</v>
      </c>
      <c r="Y634" t="s">
        <v>12249</v>
      </c>
      <c r="Z634" t="s">
        <v>12250</v>
      </c>
      <c r="AA634" t="s">
        <v>12251</v>
      </c>
      <c r="AB634" t="s">
        <v>12252</v>
      </c>
      <c r="AC634" t="s">
        <v>12253</v>
      </c>
      <c r="AD634" t="s">
        <v>12254</v>
      </c>
      <c r="AE634" t="s">
        <v>12255</v>
      </c>
      <c r="AF634" t="s">
        <v>74</v>
      </c>
      <c r="AG634">
        <v>83</v>
      </c>
      <c r="AH634">
        <v>3</v>
      </c>
      <c r="AI634">
        <v>3</v>
      </c>
      <c r="AJ634">
        <v>0</v>
      </c>
      <c r="AK634">
        <v>4</v>
      </c>
      <c r="AL634" t="s">
        <v>626</v>
      </c>
      <c r="AM634" t="s">
        <v>583</v>
      </c>
      <c r="AN634" t="s">
        <v>627</v>
      </c>
      <c r="AO634" t="s">
        <v>12234</v>
      </c>
      <c r="AP634" t="s">
        <v>12235</v>
      </c>
      <c r="AQ634" t="s">
        <v>74</v>
      </c>
      <c r="AR634" t="s">
        <v>12236</v>
      </c>
      <c r="AS634" t="s">
        <v>12237</v>
      </c>
      <c r="AT634" t="s">
        <v>10046</v>
      </c>
      <c r="AU634">
        <v>2016</v>
      </c>
      <c r="AV634">
        <v>31</v>
      </c>
      <c r="AW634" t="s">
        <v>74</v>
      </c>
      <c r="AX634" t="s">
        <v>74</v>
      </c>
      <c r="AY634" t="s">
        <v>74</v>
      </c>
      <c r="AZ634" t="s">
        <v>74</v>
      </c>
      <c r="BA634" t="s">
        <v>74</v>
      </c>
      <c r="BB634">
        <v>124</v>
      </c>
      <c r="BC634">
        <v>134</v>
      </c>
      <c r="BD634" t="s">
        <v>74</v>
      </c>
      <c r="BE634" t="s">
        <v>12256</v>
      </c>
      <c r="BF634" t="str">
        <f>HYPERLINK("http://dx.doi.org/10.1016/j.gr.2015.01.002","http://dx.doi.org/10.1016/j.gr.2015.01.002")</f>
        <v>http://dx.doi.org/10.1016/j.gr.2015.01.002</v>
      </c>
      <c r="BG634" t="s">
        <v>74</v>
      </c>
      <c r="BH634" t="s">
        <v>74</v>
      </c>
      <c r="BI634">
        <v>11</v>
      </c>
      <c r="BJ634" t="s">
        <v>269</v>
      </c>
      <c r="BK634" t="s">
        <v>102</v>
      </c>
      <c r="BL634" t="s">
        <v>270</v>
      </c>
      <c r="BM634" t="s">
        <v>12239</v>
      </c>
      <c r="BN634" t="s">
        <v>74</v>
      </c>
      <c r="BO634" t="s">
        <v>74</v>
      </c>
      <c r="BP634" t="s">
        <v>74</v>
      </c>
      <c r="BQ634" t="s">
        <v>74</v>
      </c>
      <c r="BR634" t="s">
        <v>106</v>
      </c>
      <c r="BS634" t="s">
        <v>12257</v>
      </c>
      <c r="BT634" t="str">
        <f>HYPERLINK("https%3A%2F%2Fwww.webofscience.com%2Fwos%2Fwoscc%2Ffull-record%2FWOS:000371555100006","View Full Record in Web of Science")</f>
        <v>View Full Record in Web of Science</v>
      </c>
    </row>
    <row r="635" spans="1:72" x14ac:dyDescent="0.15">
      <c r="A635" t="s">
        <v>72</v>
      </c>
      <c r="B635" t="s">
        <v>12258</v>
      </c>
      <c r="C635" t="s">
        <v>74</v>
      </c>
      <c r="D635" t="s">
        <v>74</v>
      </c>
      <c r="E635" t="s">
        <v>74</v>
      </c>
      <c r="F635" t="s">
        <v>12259</v>
      </c>
      <c r="G635" t="s">
        <v>74</v>
      </c>
      <c r="H635" t="s">
        <v>74</v>
      </c>
      <c r="I635" t="s">
        <v>12260</v>
      </c>
      <c r="J635" t="s">
        <v>12261</v>
      </c>
      <c r="K635" t="s">
        <v>74</v>
      </c>
      <c r="L635" t="s">
        <v>74</v>
      </c>
      <c r="M635" t="s">
        <v>78</v>
      </c>
      <c r="N635" t="s">
        <v>79</v>
      </c>
      <c r="O635" t="s">
        <v>74</v>
      </c>
      <c r="P635" t="s">
        <v>74</v>
      </c>
      <c r="Q635" t="s">
        <v>74</v>
      </c>
      <c r="R635" t="s">
        <v>74</v>
      </c>
      <c r="S635" t="s">
        <v>74</v>
      </c>
      <c r="T635" t="s">
        <v>74</v>
      </c>
      <c r="U635" t="s">
        <v>12262</v>
      </c>
      <c r="V635" t="s">
        <v>12263</v>
      </c>
      <c r="W635" t="s">
        <v>12264</v>
      </c>
      <c r="X635" t="s">
        <v>12265</v>
      </c>
      <c r="Y635" t="s">
        <v>12266</v>
      </c>
      <c r="Z635" t="s">
        <v>12267</v>
      </c>
      <c r="AA635" t="s">
        <v>12268</v>
      </c>
      <c r="AB635" t="s">
        <v>12269</v>
      </c>
      <c r="AC635" t="s">
        <v>12270</v>
      </c>
      <c r="AD635" t="s">
        <v>12271</v>
      </c>
      <c r="AE635" t="s">
        <v>12272</v>
      </c>
      <c r="AF635" t="s">
        <v>74</v>
      </c>
      <c r="AG635">
        <v>87</v>
      </c>
      <c r="AH635">
        <v>12</v>
      </c>
      <c r="AI635">
        <v>13</v>
      </c>
      <c r="AJ635">
        <v>1</v>
      </c>
      <c r="AK635">
        <v>33</v>
      </c>
      <c r="AL635" t="s">
        <v>772</v>
      </c>
      <c r="AM635" t="s">
        <v>773</v>
      </c>
      <c r="AN635" t="s">
        <v>774</v>
      </c>
      <c r="AO635" t="s">
        <v>12273</v>
      </c>
      <c r="AP635" t="s">
        <v>12274</v>
      </c>
      <c r="AQ635" t="s">
        <v>74</v>
      </c>
      <c r="AR635" t="s">
        <v>12261</v>
      </c>
      <c r="AS635" t="s">
        <v>12275</v>
      </c>
      <c r="AT635" t="s">
        <v>10046</v>
      </c>
      <c r="AU635">
        <v>2016</v>
      </c>
      <c r="AV635">
        <v>116</v>
      </c>
      <c r="AW635">
        <v>3</v>
      </c>
      <c r="AX635" t="s">
        <v>74</v>
      </c>
      <c r="AY635" t="s">
        <v>74</v>
      </c>
      <c r="AZ635" t="s">
        <v>74</v>
      </c>
      <c r="BA635" t="s">
        <v>74</v>
      </c>
      <c r="BB635">
        <v>277</v>
      </c>
      <c r="BC635">
        <v>285</v>
      </c>
      <c r="BD635" t="s">
        <v>74</v>
      </c>
      <c r="BE635" t="s">
        <v>12276</v>
      </c>
      <c r="BF635" t="str">
        <f>HYPERLINK("http://dx.doi.org/10.1038/hdy.2015.99","http://dx.doi.org/10.1038/hdy.2015.99")</f>
        <v>http://dx.doi.org/10.1038/hdy.2015.99</v>
      </c>
      <c r="BG635" t="s">
        <v>74</v>
      </c>
      <c r="BH635" t="s">
        <v>74</v>
      </c>
      <c r="BI635">
        <v>9</v>
      </c>
      <c r="BJ635" t="s">
        <v>1042</v>
      </c>
      <c r="BK635" t="s">
        <v>102</v>
      </c>
      <c r="BL635" t="s">
        <v>1043</v>
      </c>
      <c r="BM635" t="s">
        <v>12277</v>
      </c>
      <c r="BN635">
        <v>26626574</v>
      </c>
      <c r="BO635" t="s">
        <v>842</v>
      </c>
      <c r="BP635" t="s">
        <v>74</v>
      </c>
      <c r="BQ635" t="s">
        <v>74</v>
      </c>
      <c r="BR635" t="s">
        <v>106</v>
      </c>
      <c r="BS635" t="s">
        <v>12278</v>
      </c>
      <c r="BT635" t="str">
        <f>HYPERLINK("https%3A%2F%2Fwww.webofscience.com%2Fwos%2Fwoscc%2Ffull-record%2FWOS:000371736700004","View Full Record in Web of Science")</f>
        <v>View Full Record in Web of Science</v>
      </c>
    </row>
    <row r="636" spans="1:72" x14ac:dyDescent="0.15">
      <c r="A636" t="s">
        <v>72</v>
      </c>
      <c r="B636" t="s">
        <v>12279</v>
      </c>
      <c r="C636" t="s">
        <v>74</v>
      </c>
      <c r="D636" t="s">
        <v>74</v>
      </c>
      <c r="E636" t="s">
        <v>74</v>
      </c>
      <c r="F636" t="s">
        <v>12280</v>
      </c>
      <c r="G636" t="s">
        <v>74</v>
      </c>
      <c r="H636" t="s">
        <v>74</v>
      </c>
      <c r="I636" t="s">
        <v>12281</v>
      </c>
      <c r="J636" t="s">
        <v>4310</v>
      </c>
      <c r="K636" t="s">
        <v>74</v>
      </c>
      <c r="L636" t="s">
        <v>74</v>
      </c>
      <c r="M636" t="s">
        <v>78</v>
      </c>
      <c r="N636" t="s">
        <v>79</v>
      </c>
      <c r="O636" t="s">
        <v>74</v>
      </c>
      <c r="P636" t="s">
        <v>74</v>
      </c>
      <c r="Q636" t="s">
        <v>74</v>
      </c>
      <c r="R636" t="s">
        <v>74</v>
      </c>
      <c r="S636" t="s">
        <v>74</v>
      </c>
      <c r="T636" t="s">
        <v>12282</v>
      </c>
      <c r="U636" t="s">
        <v>12283</v>
      </c>
      <c r="V636" t="s">
        <v>12284</v>
      </c>
      <c r="W636" t="s">
        <v>12285</v>
      </c>
      <c r="X636" t="s">
        <v>12286</v>
      </c>
      <c r="Y636" t="s">
        <v>12287</v>
      </c>
      <c r="Z636" t="s">
        <v>12288</v>
      </c>
      <c r="AA636" t="s">
        <v>12289</v>
      </c>
      <c r="AB636" t="s">
        <v>74</v>
      </c>
      <c r="AC636" t="s">
        <v>12290</v>
      </c>
      <c r="AD636" t="s">
        <v>12291</v>
      </c>
      <c r="AE636" t="s">
        <v>12292</v>
      </c>
      <c r="AF636" t="s">
        <v>74</v>
      </c>
      <c r="AG636">
        <v>38</v>
      </c>
      <c r="AH636">
        <v>31</v>
      </c>
      <c r="AI636">
        <v>33</v>
      </c>
      <c r="AJ636">
        <v>3</v>
      </c>
      <c r="AK636">
        <v>28</v>
      </c>
      <c r="AL636" t="s">
        <v>4320</v>
      </c>
      <c r="AM636" t="s">
        <v>4321</v>
      </c>
      <c r="AN636" t="s">
        <v>4322</v>
      </c>
      <c r="AO636" t="s">
        <v>4323</v>
      </c>
      <c r="AP636" t="s">
        <v>4324</v>
      </c>
      <c r="AQ636" t="s">
        <v>74</v>
      </c>
      <c r="AR636" t="s">
        <v>4325</v>
      </c>
      <c r="AS636" t="s">
        <v>4326</v>
      </c>
      <c r="AT636" t="s">
        <v>10046</v>
      </c>
      <c r="AU636">
        <v>2016</v>
      </c>
      <c r="AV636">
        <v>54</v>
      </c>
      <c r="AW636">
        <v>3</v>
      </c>
      <c r="AX636" t="s">
        <v>74</v>
      </c>
      <c r="AY636" t="s">
        <v>74</v>
      </c>
      <c r="AZ636" t="s">
        <v>74</v>
      </c>
      <c r="BA636" t="s">
        <v>74</v>
      </c>
      <c r="BB636">
        <v>1410</v>
      </c>
      <c r="BC636">
        <v>1418</v>
      </c>
      <c r="BD636" t="s">
        <v>74</v>
      </c>
      <c r="BE636" t="s">
        <v>12293</v>
      </c>
      <c r="BF636" t="str">
        <f>HYPERLINK("http://dx.doi.org/10.1109/TGRS.2015.2480684","http://dx.doi.org/10.1109/TGRS.2015.2480684")</f>
        <v>http://dx.doi.org/10.1109/TGRS.2015.2480684</v>
      </c>
      <c r="BG636" t="s">
        <v>74</v>
      </c>
      <c r="BH636" t="s">
        <v>74</v>
      </c>
      <c r="BI636">
        <v>9</v>
      </c>
      <c r="BJ636" t="s">
        <v>4328</v>
      </c>
      <c r="BK636" t="s">
        <v>102</v>
      </c>
      <c r="BL636" t="s">
        <v>4329</v>
      </c>
      <c r="BM636" t="s">
        <v>12294</v>
      </c>
      <c r="BN636" t="s">
        <v>74</v>
      </c>
      <c r="BO636" t="s">
        <v>222</v>
      </c>
      <c r="BP636" t="s">
        <v>74</v>
      </c>
      <c r="BQ636" t="s">
        <v>74</v>
      </c>
      <c r="BR636" t="s">
        <v>106</v>
      </c>
      <c r="BS636" t="s">
        <v>12295</v>
      </c>
      <c r="BT636" t="str">
        <f>HYPERLINK("https%3A%2F%2Fwww.webofscience.com%2Fwos%2Fwoscc%2Ffull-record%2FWOS:000372369400014","View Full Record in Web of Science")</f>
        <v>View Full Record in Web of Science</v>
      </c>
    </row>
    <row r="637" spans="1:72" x14ac:dyDescent="0.15">
      <c r="A637" t="s">
        <v>72</v>
      </c>
      <c r="B637" t="s">
        <v>12296</v>
      </c>
      <c r="C637" t="s">
        <v>74</v>
      </c>
      <c r="D637" t="s">
        <v>74</v>
      </c>
      <c r="E637" t="s">
        <v>74</v>
      </c>
      <c r="F637" t="s">
        <v>12297</v>
      </c>
      <c r="G637" t="s">
        <v>74</v>
      </c>
      <c r="H637" t="s">
        <v>74</v>
      </c>
      <c r="I637" t="s">
        <v>12298</v>
      </c>
      <c r="J637" t="s">
        <v>12299</v>
      </c>
      <c r="K637" t="s">
        <v>74</v>
      </c>
      <c r="L637" t="s">
        <v>74</v>
      </c>
      <c r="M637" t="s">
        <v>78</v>
      </c>
      <c r="N637" t="s">
        <v>79</v>
      </c>
      <c r="O637" t="s">
        <v>74</v>
      </c>
      <c r="P637" t="s">
        <v>74</v>
      </c>
      <c r="Q637" t="s">
        <v>74</v>
      </c>
      <c r="R637" t="s">
        <v>74</v>
      </c>
      <c r="S637" t="s">
        <v>74</v>
      </c>
      <c r="T637" t="s">
        <v>74</v>
      </c>
      <c r="U637" t="s">
        <v>12300</v>
      </c>
      <c r="V637" t="s">
        <v>12301</v>
      </c>
      <c r="W637" t="s">
        <v>12302</v>
      </c>
      <c r="X637" t="s">
        <v>12303</v>
      </c>
      <c r="Y637" t="s">
        <v>12304</v>
      </c>
      <c r="Z637" t="s">
        <v>12305</v>
      </c>
      <c r="AA637" t="s">
        <v>12306</v>
      </c>
      <c r="AB637" t="s">
        <v>74</v>
      </c>
      <c r="AC637" t="s">
        <v>12307</v>
      </c>
      <c r="AD637" t="s">
        <v>12308</v>
      </c>
      <c r="AE637" t="s">
        <v>12309</v>
      </c>
      <c r="AF637" t="s">
        <v>74</v>
      </c>
      <c r="AG637">
        <v>46</v>
      </c>
      <c r="AH637">
        <v>8</v>
      </c>
      <c r="AI637">
        <v>9</v>
      </c>
      <c r="AJ637">
        <v>2</v>
      </c>
      <c r="AK637">
        <v>28</v>
      </c>
      <c r="AL637" t="s">
        <v>454</v>
      </c>
      <c r="AM637" t="s">
        <v>455</v>
      </c>
      <c r="AN637" t="s">
        <v>5065</v>
      </c>
      <c r="AO637" t="s">
        <v>12310</v>
      </c>
      <c r="AP637" t="s">
        <v>12311</v>
      </c>
      <c r="AQ637" t="s">
        <v>74</v>
      </c>
      <c r="AR637" t="s">
        <v>12312</v>
      </c>
      <c r="AS637" t="s">
        <v>12313</v>
      </c>
      <c r="AT637" t="s">
        <v>10046</v>
      </c>
      <c r="AU637">
        <v>2016</v>
      </c>
      <c r="AV637">
        <v>37</v>
      </c>
      <c r="AW637">
        <v>5</v>
      </c>
      <c r="AX637" t="s">
        <v>74</v>
      </c>
      <c r="AY637" t="s">
        <v>74</v>
      </c>
      <c r="AZ637" t="s">
        <v>74</v>
      </c>
      <c r="BA637" t="s">
        <v>74</v>
      </c>
      <c r="BB637">
        <v>1016</v>
      </c>
      <c r="BC637">
        <v>1034</v>
      </c>
      <c r="BD637" t="s">
        <v>74</v>
      </c>
      <c r="BE637" t="s">
        <v>12314</v>
      </c>
      <c r="BF637" t="str">
        <f>HYPERLINK("http://dx.doi.org/10.1080/01431161.2016.1145365","http://dx.doi.org/10.1080/01431161.2016.1145365")</f>
        <v>http://dx.doi.org/10.1080/01431161.2016.1145365</v>
      </c>
      <c r="BG637" t="s">
        <v>74</v>
      </c>
      <c r="BH637" t="s">
        <v>74</v>
      </c>
      <c r="BI637">
        <v>19</v>
      </c>
      <c r="BJ637" t="s">
        <v>2216</v>
      </c>
      <c r="BK637" t="s">
        <v>102</v>
      </c>
      <c r="BL637" t="s">
        <v>2216</v>
      </c>
      <c r="BM637" t="s">
        <v>12315</v>
      </c>
      <c r="BN637" t="s">
        <v>74</v>
      </c>
      <c r="BO637" t="s">
        <v>74</v>
      </c>
      <c r="BP637" t="s">
        <v>74</v>
      </c>
      <c r="BQ637" t="s">
        <v>74</v>
      </c>
      <c r="BR637" t="s">
        <v>106</v>
      </c>
      <c r="BS637" t="s">
        <v>12316</v>
      </c>
      <c r="BT637" t="str">
        <f>HYPERLINK("https%3A%2F%2Fwww.webofscience.com%2Fwos%2Fwoscc%2Ffull-record%2FWOS:000372795700002","View Full Record in Web of Science")</f>
        <v>View Full Record in Web of Science</v>
      </c>
    </row>
    <row r="638" spans="1:72" x14ac:dyDescent="0.15">
      <c r="A638" t="s">
        <v>72</v>
      </c>
      <c r="B638" t="s">
        <v>12317</v>
      </c>
      <c r="C638" t="s">
        <v>74</v>
      </c>
      <c r="D638" t="s">
        <v>74</v>
      </c>
      <c r="E638" t="s">
        <v>74</v>
      </c>
      <c r="F638" t="s">
        <v>12318</v>
      </c>
      <c r="G638" t="s">
        <v>74</v>
      </c>
      <c r="H638" t="s">
        <v>74</v>
      </c>
      <c r="I638" t="s">
        <v>12319</v>
      </c>
      <c r="J638" t="s">
        <v>12320</v>
      </c>
      <c r="K638" t="s">
        <v>74</v>
      </c>
      <c r="L638" t="s">
        <v>74</v>
      </c>
      <c r="M638" t="s">
        <v>78</v>
      </c>
      <c r="N638" t="s">
        <v>79</v>
      </c>
      <c r="O638" t="s">
        <v>74</v>
      </c>
      <c r="P638" t="s">
        <v>74</v>
      </c>
      <c r="Q638" t="s">
        <v>74</v>
      </c>
      <c r="R638" t="s">
        <v>74</v>
      </c>
      <c r="S638" t="s">
        <v>74</v>
      </c>
      <c r="T638" t="s">
        <v>12321</v>
      </c>
      <c r="U638" t="s">
        <v>12322</v>
      </c>
      <c r="V638" t="s">
        <v>12323</v>
      </c>
      <c r="W638" t="s">
        <v>12324</v>
      </c>
      <c r="X638" t="s">
        <v>12325</v>
      </c>
      <c r="Y638" t="s">
        <v>12326</v>
      </c>
      <c r="Z638" t="s">
        <v>12327</v>
      </c>
      <c r="AA638" t="s">
        <v>12328</v>
      </c>
      <c r="AB638" t="s">
        <v>12329</v>
      </c>
      <c r="AC638" t="s">
        <v>12330</v>
      </c>
      <c r="AD638" t="s">
        <v>12331</v>
      </c>
      <c r="AE638" t="s">
        <v>12332</v>
      </c>
      <c r="AF638" t="s">
        <v>74</v>
      </c>
      <c r="AG638">
        <v>68</v>
      </c>
      <c r="AH638">
        <v>29</v>
      </c>
      <c r="AI638">
        <v>30</v>
      </c>
      <c r="AJ638">
        <v>0</v>
      </c>
      <c r="AK638">
        <v>39</v>
      </c>
      <c r="AL638" t="s">
        <v>124</v>
      </c>
      <c r="AM638" t="s">
        <v>125</v>
      </c>
      <c r="AN638" t="s">
        <v>126</v>
      </c>
      <c r="AO638" t="s">
        <v>12333</v>
      </c>
      <c r="AP638" t="s">
        <v>12334</v>
      </c>
      <c r="AQ638" t="s">
        <v>74</v>
      </c>
      <c r="AR638" t="s">
        <v>12335</v>
      </c>
      <c r="AS638" t="s">
        <v>12336</v>
      </c>
      <c r="AT638" t="s">
        <v>10046</v>
      </c>
      <c r="AU638">
        <v>2016</v>
      </c>
      <c r="AV638">
        <v>85</v>
      </c>
      <c r="AW638">
        <v>2</v>
      </c>
      <c r="AX638" t="s">
        <v>74</v>
      </c>
      <c r="AY638" t="s">
        <v>74</v>
      </c>
      <c r="AZ638" t="s">
        <v>74</v>
      </c>
      <c r="BA638" t="s">
        <v>74</v>
      </c>
      <c r="BB638">
        <v>427</v>
      </c>
      <c r="BC638">
        <v>436</v>
      </c>
      <c r="BD638" t="s">
        <v>74</v>
      </c>
      <c r="BE638" t="s">
        <v>12337</v>
      </c>
      <c r="BF638" t="str">
        <f>HYPERLINK("http://dx.doi.org/10.1111/1365-2656.12471","http://dx.doi.org/10.1111/1365-2656.12471")</f>
        <v>http://dx.doi.org/10.1111/1365-2656.12471</v>
      </c>
      <c r="BG638" t="s">
        <v>74</v>
      </c>
      <c r="BH638" t="s">
        <v>74</v>
      </c>
      <c r="BI638">
        <v>10</v>
      </c>
      <c r="BJ638" t="s">
        <v>12338</v>
      </c>
      <c r="BK638" t="s">
        <v>102</v>
      </c>
      <c r="BL638" t="s">
        <v>12339</v>
      </c>
      <c r="BM638" t="s">
        <v>12340</v>
      </c>
      <c r="BN638">
        <v>26559778</v>
      </c>
      <c r="BO638" t="s">
        <v>1745</v>
      </c>
      <c r="BP638" t="s">
        <v>74</v>
      </c>
      <c r="BQ638" t="s">
        <v>74</v>
      </c>
      <c r="BR638" t="s">
        <v>106</v>
      </c>
      <c r="BS638" t="s">
        <v>12341</v>
      </c>
      <c r="BT638" t="str">
        <f>HYPERLINK("https%3A%2F%2Fwww.webofscience.com%2Fwos%2Fwoscc%2Ffull-record%2FWOS:000370959300012","View Full Record in Web of Science")</f>
        <v>View Full Record in Web of Science</v>
      </c>
    </row>
    <row r="639" spans="1:72" x14ac:dyDescent="0.15">
      <c r="A639" t="s">
        <v>72</v>
      </c>
      <c r="B639" t="s">
        <v>12342</v>
      </c>
      <c r="C639" t="s">
        <v>74</v>
      </c>
      <c r="D639" t="s">
        <v>74</v>
      </c>
      <c r="E639" t="s">
        <v>74</v>
      </c>
      <c r="F639" t="s">
        <v>12343</v>
      </c>
      <c r="G639" t="s">
        <v>74</v>
      </c>
      <c r="H639" t="s">
        <v>74</v>
      </c>
      <c r="I639" t="s">
        <v>12344</v>
      </c>
      <c r="J639" t="s">
        <v>3609</v>
      </c>
      <c r="K639" t="s">
        <v>74</v>
      </c>
      <c r="L639" t="s">
        <v>74</v>
      </c>
      <c r="M639" t="s">
        <v>78</v>
      </c>
      <c r="N639" t="s">
        <v>79</v>
      </c>
      <c r="O639" t="s">
        <v>74</v>
      </c>
      <c r="P639" t="s">
        <v>74</v>
      </c>
      <c r="Q639" t="s">
        <v>74</v>
      </c>
      <c r="R639" t="s">
        <v>74</v>
      </c>
      <c r="S639" t="s">
        <v>74</v>
      </c>
      <c r="T639" t="s">
        <v>12345</v>
      </c>
      <c r="U639" t="s">
        <v>12346</v>
      </c>
      <c r="V639" t="s">
        <v>12347</v>
      </c>
      <c r="W639" t="s">
        <v>12348</v>
      </c>
      <c r="X639" t="s">
        <v>12349</v>
      </c>
      <c r="Y639" t="s">
        <v>12350</v>
      </c>
      <c r="Z639" t="s">
        <v>12351</v>
      </c>
      <c r="AA639" t="s">
        <v>12352</v>
      </c>
      <c r="AB639" t="s">
        <v>12353</v>
      </c>
      <c r="AC639" t="s">
        <v>12354</v>
      </c>
      <c r="AD639" t="s">
        <v>12355</v>
      </c>
      <c r="AE639" t="s">
        <v>12356</v>
      </c>
      <c r="AF639" t="s">
        <v>74</v>
      </c>
      <c r="AG639">
        <v>50</v>
      </c>
      <c r="AH639">
        <v>24</v>
      </c>
      <c r="AI639">
        <v>24</v>
      </c>
      <c r="AJ639">
        <v>2</v>
      </c>
      <c r="AK639">
        <v>20</v>
      </c>
      <c r="AL639" t="s">
        <v>1829</v>
      </c>
      <c r="AM639" t="s">
        <v>679</v>
      </c>
      <c r="AN639" t="s">
        <v>1830</v>
      </c>
      <c r="AO639" t="s">
        <v>3622</v>
      </c>
      <c r="AP639" t="s">
        <v>3623</v>
      </c>
      <c r="AQ639" t="s">
        <v>74</v>
      </c>
      <c r="AR639" t="s">
        <v>3624</v>
      </c>
      <c r="AS639" t="s">
        <v>3625</v>
      </c>
      <c r="AT639" t="s">
        <v>10046</v>
      </c>
      <c r="AU639">
        <v>2016</v>
      </c>
      <c r="AV639">
        <v>140</v>
      </c>
      <c r="AW639" t="s">
        <v>74</v>
      </c>
      <c r="AX639" t="s">
        <v>74</v>
      </c>
      <c r="AY639" t="s">
        <v>74</v>
      </c>
      <c r="AZ639" t="s">
        <v>74</v>
      </c>
      <c r="BA639" t="s">
        <v>74</v>
      </c>
      <c r="BB639">
        <v>55</v>
      </c>
      <c r="BC639">
        <v>64</v>
      </c>
      <c r="BD639" t="s">
        <v>74</v>
      </c>
      <c r="BE639" t="s">
        <v>12357</v>
      </c>
      <c r="BF639" t="str">
        <f>HYPERLINK("http://dx.doi.org/10.1016/j.jastp.2016.02.007","http://dx.doi.org/10.1016/j.jastp.2016.02.007")</f>
        <v>http://dx.doi.org/10.1016/j.jastp.2016.02.007</v>
      </c>
      <c r="BG639" t="s">
        <v>74</v>
      </c>
      <c r="BH639" t="s">
        <v>74</v>
      </c>
      <c r="BI639">
        <v>10</v>
      </c>
      <c r="BJ639" t="s">
        <v>3627</v>
      </c>
      <c r="BK639" t="s">
        <v>102</v>
      </c>
      <c r="BL639" t="s">
        <v>3627</v>
      </c>
      <c r="BM639" t="s">
        <v>10840</v>
      </c>
      <c r="BN639" t="s">
        <v>74</v>
      </c>
      <c r="BO639" t="s">
        <v>222</v>
      </c>
      <c r="BP639" t="s">
        <v>74</v>
      </c>
      <c r="BQ639" t="s">
        <v>74</v>
      </c>
      <c r="BR639" t="s">
        <v>106</v>
      </c>
      <c r="BS639" t="s">
        <v>12358</v>
      </c>
      <c r="BT639" t="str">
        <f>HYPERLINK("https%3A%2F%2Fwww.webofscience.com%2Fwos%2Fwoscc%2Ffull-record%2FWOS:000372762200007","View Full Record in Web of Science")</f>
        <v>View Full Record in Web of Science</v>
      </c>
    </row>
    <row r="640" spans="1:72" x14ac:dyDescent="0.15">
      <c r="A640" t="s">
        <v>72</v>
      </c>
      <c r="B640" t="s">
        <v>12359</v>
      </c>
      <c r="C640" t="s">
        <v>74</v>
      </c>
      <c r="D640" t="s">
        <v>74</v>
      </c>
      <c r="E640" t="s">
        <v>74</v>
      </c>
      <c r="F640" t="s">
        <v>12360</v>
      </c>
      <c r="G640" t="s">
        <v>74</v>
      </c>
      <c r="H640" t="s">
        <v>74</v>
      </c>
      <c r="I640" t="s">
        <v>12361</v>
      </c>
      <c r="J640" t="s">
        <v>12362</v>
      </c>
      <c r="K640" t="s">
        <v>74</v>
      </c>
      <c r="L640" t="s">
        <v>74</v>
      </c>
      <c r="M640" t="s">
        <v>78</v>
      </c>
      <c r="N640" t="s">
        <v>79</v>
      </c>
      <c r="O640" t="s">
        <v>74</v>
      </c>
      <c r="P640" t="s">
        <v>74</v>
      </c>
      <c r="Q640" t="s">
        <v>74</v>
      </c>
      <c r="R640" t="s">
        <v>74</v>
      </c>
      <c r="S640" t="s">
        <v>74</v>
      </c>
      <c r="T640" t="s">
        <v>12363</v>
      </c>
      <c r="U640" t="s">
        <v>12364</v>
      </c>
      <c r="V640" t="s">
        <v>12365</v>
      </c>
      <c r="W640" t="s">
        <v>12366</v>
      </c>
      <c r="X640" t="s">
        <v>12367</v>
      </c>
      <c r="Y640" t="s">
        <v>12368</v>
      </c>
      <c r="Z640" t="s">
        <v>12369</v>
      </c>
      <c r="AA640" t="s">
        <v>12370</v>
      </c>
      <c r="AB640" t="s">
        <v>12371</v>
      </c>
      <c r="AC640" t="s">
        <v>12372</v>
      </c>
      <c r="AD640" t="s">
        <v>12373</v>
      </c>
      <c r="AE640" t="s">
        <v>12374</v>
      </c>
      <c r="AF640" t="s">
        <v>74</v>
      </c>
      <c r="AG640">
        <v>75</v>
      </c>
      <c r="AH640">
        <v>11</v>
      </c>
      <c r="AI640">
        <v>14</v>
      </c>
      <c r="AJ640">
        <v>1</v>
      </c>
      <c r="AK640">
        <v>30</v>
      </c>
      <c r="AL640" t="s">
        <v>124</v>
      </c>
      <c r="AM640" t="s">
        <v>125</v>
      </c>
      <c r="AN640" t="s">
        <v>126</v>
      </c>
      <c r="AO640" t="s">
        <v>12375</v>
      </c>
      <c r="AP640" t="s">
        <v>12376</v>
      </c>
      <c r="AQ640" t="s">
        <v>74</v>
      </c>
      <c r="AR640" t="s">
        <v>12377</v>
      </c>
      <c r="AS640" t="s">
        <v>12378</v>
      </c>
      <c r="AT640" t="s">
        <v>10046</v>
      </c>
      <c r="AU640">
        <v>2016</v>
      </c>
      <c r="AV640">
        <v>56</v>
      </c>
      <c r="AW640">
        <v>3</v>
      </c>
      <c r="AX640" t="s">
        <v>74</v>
      </c>
      <c r="AY640" t="s">
        <v>74</v>
      </c>
      <c r="AZ640" t="s">
        <v>589</v>
      </c>
      <c r="BA640" t="s">
        <v>74</v>
      </c>
      <c r="BB640">
        <v>275</v>
      </c>
      <c r="BC640">
        <v>285</v>
      </c>
      <c r="BD640" t="s">
        <v>74</v>
      </c>
      <c r="BE640" t="s">
        <v>12379</v>
      </c>
      <c r="BF640" t="str">
        <f>HYPERLINK("http://dx.doi.org/10.1002/jobm.201500298","http://dx.doi.org/10.1002/jobm.201500298")</f>
        <v>http://dx.doi.org/10.1002/jobm.201500298</v>
      </c>
      <c r="BG640" t="s">
        <v>74</v>
      </c>
      <c r="BH640" t="s">
        <v>74</v>
      </c>
      <c r="BI640">
        <v>11</v>
      </c>
      <c r="BJ640" t="s">
        <v>2538</v>
      </c>
      <c r="BK640" t="s">
        <v>102</v>
      </c>
      <c r="BL640" t="s">
        <v>2538</v>
      </c>
      <c r="BM640" t="s">
        <v>12380</v>
      </c>
      <c r="BN640">
        <v>26567474</v>
      </c>
      <c r="BO640" t="s">
        <v>74</v>
      </c>
      <c r="BP640" t="s">
        <v>74</v>
      </c>
      <c r="BQ640" t="s">
        <v>74</v>
      </c>
      <c r="BR640" t="s">
        <v>106</v>
      </c>
      <c r="BS640" t="s">
        <v>12381</v>
      </c>
      <c r="BT640" t="str">
        <f>HYPERLINK("https%3A%2F%2Fwww.webofscience.com%2Fwos%2Fwoscc%2Ffull-record%2FWOS:000371934800007","View Full Record in Web of Science")</f>
        <v>View Full Record in Web of Science</v>
      </c>
    </row>
    <row r="641" spans="1:72" x14ac:dyDescent="0.15">
      <c r="A641" t="s">
        <v>72</v>
      </c>
      <c r="B641" t="s">
        <v>12382</v>
      </c>
      <c r="C641" t="s">
        <v>74</v>
      </c>
      <c r="D641" t="s">
        <v>74</v>
      </c>
      <c r="E641" t="s">
        <v>74</v>
      </c>
      <c r="F641" t="s">
        <v>12383</v>
      </c>
      <c r="G641" t="s">
        <v>74</v>
      </c>
      <c r="H641" t="s">
        <v>74</v>
      </c>
      <c r="I641" t="s">
        <v>12384</v>
      </c>
      <c r="J641" t="s">
        <v>12385</v>
      </c>
      <c r="K641" t="s">
        <v>74</v>
      </c>
      <c r="L641" t="s">
        <v>74</v>
      </c>
      <c r="M641" t="s">
        <v>78</v>
      </c>
      <c r="N641" t="s">
        <v>79</v>
      </c>
      <c r="O641" t="s">
        <v>74</v>
      </c>
      <c r="P641" t="s">
        <v>74</v>
      </c>
      <c r="Q641" t="s">
        <v>74</v>
      </c>
      <c r="R641" t="s">
        <v>74</v>
      </c>
      <c r="S641" t="s">
        <v>74</v>
      </c>
      <c r="T641" t="s">
        <v>74</v>
      </c>
      <c r="U641" t="s">
        <v>12386</v>
      </c>
      <c r="V641" t="s">
        <v>74</v>
      </c>
      <c r="W641" t="s">
        <v>12387</v>
      </c>
      <c r="X641" t="s">
        <v>12388</v>
      </c>
      <c r="Y641" t="s">
        <v>12389</v>
      </c>
      <c r="Z641" t="s">
        <v>12390</v>
      </c>
      <c r="AA641" t="s">
        <v>12391</v>
      </c>
      <c r="AB641" t="s">
        <v>12392</v>
      </c>
      <c r="AC641" t="s">
        <v>12393</v>
      </c>
      <c r="AD641" t="s">
        <v>12394</v>
      </c>
      <c r="AE641" t="s">
        <v>12395</v>
      </c>
      <c r="AF641" t="s">
        <v>74</v>
      </c>
      <c r="AG641">
        <v>175</v>
      </c>
      <c r="AH641">
        <v>33</v>
      </c>
      <c r="AI641">
        <v>38</v>
      </c>
      <c r="AJ641">
        <v>0</v>
      </c>
      <c r="AK641">
        <v>23</v>
      </c>
      <c r="AL641" t="s">
        <v>454</v>
      </c>
      <c r="AM641" t="s">
        <v>455</v>
      </c>
      <c r="AN641" t="s">
        <v>456</v>
      </c>
      <c r="AO641" t="s">
        <v>12396</v>
      </c>
      <c r="AP641" t="s">
        <v>12397</v>
      </c>
      <c r="AQ641" t="s">
        <v>74</v>
      </c>
      <c r="AR641" t="s">
        <v>12398</v>
      </c>
      <c r="AS641" t="s">
        <v>12399</v>
      </c>
      <c r="AT641" t="s">
        <v>10046</v>
      </c>
      <c r="AU641">
        <v>2016</v>
      </c>
      <c r="AV641">
        <v>38</v>
      </c>
      <c r="AW641">
        <v>1</v>
      </c>
      <c r="AX641" t="s">
        <v>74</v>
      </c>
      <c r="AY641" t="s">
        <v>74</v>
      </c>
      <c r="AZ641" t="s">
        <v>74</v>
      </c>
      <c r="BA641" t="s">
        <v>74</v>
      </c>
      <c r="BB641">
        <v>47</v>
      </c>
      <c r="BC641">
        <v>63</v>
      </c>
      <c r="BD641" t="s">
        <v>74</v>
      </c>
      <c r="BE641" t="s">
        <v>12400</v>
      </c>
      <c r="BF641" t="str">
        <f>HYPERLINK("http://dx.doi.org/10.1080/03736687.2015.1123344","http://dx.doi.org/10.1080/03736687.2015.1123344")</f>
        <v>http://dx.doi.org/10.1080/03736687.2015.1123344</v>
      </c>
      <c r="BG641" t="s">
        <v>74</v>
      </c>
      <c r="BH641" t="s">
        <v>74</v>
      </c>
      <c r="BI641">
        <v>17</v>
      </c>
      <c r="BJ641" t="s">
        <v>1638</v>
      </c>
      <c r="BK641" t="s">
        <v>102</v>
      </c>
      <c r="BL641" t="s">
        <v>1638</v>
      </c>
      <c r="BM641" t="s">
        <v>12401</v>
      </c>
      <c r="BN641" t="s">
        <v>74</v>
      </c>
      <c r="BO641" t="s">
        <v>74</v>
      </c>
      <c r="BP641" t="s">
        <v>74</v>
      </c>
      <c r="BQ641" t="s">
        <v>74</v>
      </c>
      <c r="BR641" t="s">
        <v>106</v>
      </c>
      <c r="BS641" t="s">
        <v>12402</v>
      </c>
      <c r="BT641" t="str">
        <f>HYPERLINK("https%3A%2F%2Fwww.webofscience.com%2Fwos%2Fwoscc%2Ffull-record%2FWOS:000375939600004","View Full Record in Web of Science")</f>
        <v>View Full Record in Web of Science</v>
      </c>
    </row>
    <row r="642" spans="1:72" x14ac:dyDescent="0.15">
      <c r="A642" t="s">
        <v>72</v>
      </c>
      <c r="B642" t="s">
        <v>12403</v>
      </c>
      <c r="C642" t="s">
        <v>74</v>
      </c>
      <c r="D642" t="s">
        <v>74</v>
      </c>
      <c r="E642" t="s">
        <v>74</v>
      </c>
      <c r="F642" t="s">
        <v>12404</v>
      </c>
      <c r="G642" t="s">
        <v>74</v>
      </c>
      <c r="H642" t="s">
        <v>74</v>
      </c>
      <c r="I642" t="s">
        <v>12405</v>
      </c>
      <c r="J642" t="s">
        <v>3391</v>
      </c>
      <c r="K642" t="s">
        <v>74</v>
      </c>
      <c r="L642" t="s">
        <v>74</v>
      </c>
      <c r="M642" t="s">
        <v>78</v>
      </c>
      <c r="N642" t="s">
        <v>79</v>
      </c>
      <c r="O642" t="s">
        <v>74</v>
      </c>
      <c r="P642" t="s">
        <v>74</v>
      </c>
      <c r="Q642" t="s">
        <v>74</v>
      </c>
      <c r="R642" t="s">
        <v>74</v>
      </c>
      <c r="S642" t="s">
        <v>74</v>
      </c>
      <c r="T642" t="s">
        <v>12406</v>
      </c>
      <c r="U642" t="s">
        <v>12407</v>
      </c>
      <c r="V642" t="s">
        <v>12408</v>
      </c>
      <c r="W642" t="s">
        <v>12409</v>
      </c>
      <c r="X642" t="s">
        <v>12410</v>
      </c>
      <c r="Y642" t="s">
        <v>12411</v>
      </c>
      <c r="Z642" t="s">
        <v>12412</v>
      </c>
      <c r="AA642" t="s">
        <v>12413</v>
      </c>
      <c r="AB642" t="s">
        <v>12414</v>
      </c>
      <c r="AC642" t="s">
        <v>12415</v>
      </c>
      <c r="AD642" t="s">
        <v>12416</v>
      </c>
      <c r="AE642" t="s">
        <v>12417</v>
      </c>
      <c r="AF642" t="s">
        <v>74</v>
      </c>
      <c r="AG642">
        <v>32</v>
      </c>
      <c r="AH642">
        <v>60</v>
      </c>
      <c r="AI642">
        <v>61</v>
      </c>
      <c r="AJ642">
        <v>1</v>
      </c>
      <c r="AK642">
        <v>17</v>
      </c>
      <c r="AL642" t="s">
        <v>511</v>
      </c>
      <c r="AM642" t="s">
        <v>512</v>
      </c>
      <c r="AN642" t="s">
        <v>4522</v>
      </c>
      <c r="AO642" t="s">
        <v>3403</v>
      </c>
      <c r="AP642" t="s">
        <v>3404</v>
      </c>
      <c r="AQ642" t="s">
        <v>74</v>
      </c>
      <c r="AR642" t="s">
        <v>3405</v>
      </c>
      <c r="AS642" t="s">
        <v>3406</v>
      </c>
      <c r="AT642" t="s">
        <v>10046</v>
      </c>
      <c r="AU642">
        <v>2016</v>
      </c>
      <c r="AV642">
        <v>29</v>
      </c>
      <c r="AW642">
        <v>5</v>
      </c>
      <c r="AX642" t="s">
        <v>74</v>
      </c>
      <c r="AY642" t="s">
        <v>74</v>
      </c>
      <c r="AZ642" t="s">
        <v>74</v>
      </c>
      <c r="BA642" t="s">
        <v>74</v>
      </c>
      <c r="BB642">
        <v>1639</v>
      </c>
      <c r="BC642">
        <v>1653</v>
      </c>
      <c r="BD642" t="s">
        <v>74</v>
      </c>
      <c r="BE642" t="s">
        <v>12418</v>
      </c>
      <c r="BF642" t="str">
        <f>HYPERLINK("http://dx.doi.org/10.1175/JCLI-D-15-0477.1","http://dx.doi.org/10.1175/JCLI-D-15-0477.1")</f>
        <v>http://dx.doi.org/10.1175/JCLI-D-15-0477.1</v>
      </c>
      <c r="BG642" t="s">
        <v>74</v>
      </c>
      <c r="BH642" t="s">
        <v>74</v>
      </c>
      <c r="BI642">
        <v>15</v>
      </c>
      <c r="BJ642" t="s">
        <v>1726</v>
      </c>
      <c r="BK642" t="s">
        <v>102</v>
      </c>
      <c r="BL642" t="s">
        <v>1726</v>
      </c>
      <c r="BM642" t="s">
        <v>12419</v>
      </c>
      <c r="BN642" t="s">
        <v>74</v>
      </c>
      <c r="BO642" t="s">
        <v>12420</v>
      </c>
      <c r="BP642" t="s">
        <v>74</v>
      </c>
      <c r="BQ642" t="s">
        <v>74</v>
      </c>
      <c r="BR642" t="s">
        <v>106</v>
      </c>
      <c r="BS642" t="s">
        <v>12421</v>
      </c>
      <c r="BT642" t="str">
        <f>HYPERLINK("https%3A%2F%2Fwww.webofscience.com%2Fwos%2Fwoscc%2Ffull-record%2FWOS:000371301000002","View Full Record in Web of Science")</f>
        <v>View Full Record in Web of Science</v>
      </c>
    </row>
    <row r="643" spans="1:72" x14ac:dyDescent="0.15">
      <c r="A643" t="s">
        <v>72</v>
      </c>
      <c r="B643" t="s">
        <v>12422</v>
      </c>
      <c r="C643" t="s">
        <v>74</v>
      </c>
      <c r="D643" t="s">
        <v>74</v>
      </c>
      <c r="E643" t="s">
        <v>74</v>
      </c>
      <c r="F643" t="s">
        <v>12423</v>
      </c>
      <c r="G643" t="s">
        <v>74</v>
      </c>
      <c r="H643" t="s">
        <v>74</v>
      </c>
      <c r="I643" t="s">
        <v>12424</v>
      </c>
      <c r="J643" t="s">
        <v>3391</v>
      </c>
      <c r="K643" t="s">
        <v>74</v>
      </c>
      <c r="L643" t="s">
        <v>74</v>
      </c>
      <c r="M643" t="s">
        <v>78</v>
      </c>
      <c r="N643" t="s">
        <v>79</v>
      </c>
      <c r="O643" t="s">
        <v>74</v>
      </c>
      <c r="P643" t="s">
        <v>74</v>
      </c>
      <c r="Q643" t="s">
        <v>74</v>
      </c>
      <c r="R643" t="s">
        <v>74</v>
      </c>
      <c r="S643" t="s">
        <v>74</v>
      </c>
      <c r="T643" t="s">
        <v>12425</v>
      </c>
      <c r="U643" t="s">
        <v>12426</v>
      </c>
      <c r="V643" t="s">
        <v>12427</v>
      </c>
      <c r="W643" t="s">
        <v>12428</v>
      </c>
      <c r="X643" t="s">
        <v>12429</v>
      </c>
      <c r="Y643" t="s">
        <v>12430</v>
      </c>
      <c r="Z643" t="s">
        <v>12431</v>
      </c>
      <c r="AA643" t="s">
        <v>12432</v>
      </c>
      <c r="AB643" t="s">
        <v>12433</v>
      </c>
      <c r="AC643" t="s">
        <v>12434</v>
      </c>
      <c r="AD643" t="s">
        <v>12435</v>
      </c>
      <c r="AE643" t="s">
        <v>12436</v>
      </c>
      <c r="AF643" t="s">
        <v>74</v>
      </c>
      <c r="AG643">
        <v>47</v>
      </c>
      <c r="AH643">
        <v>15</v>
      </c>
      <c r="AI643">
        <v>16</v>
      </c>
      <c r="AJ643">
        <v>0</v>
      </c>
      <c r="AK643">
        <v>17</v>
      </c>
      <c r="AL643" t="s">
        <v>511</v>
      </c>
      <c r="AM643" t="s">
        <v>512</v>
      </c>
      <c r="AN643" t="s">
        <v>4522</v>
      </c>
      <c r="AO643" t="s">
        <v>3403</v>
      </c>
      <c r="AP643" t="s">
        <v>3404</v>
      </c>
      <c r="AQ643" t="s">
        <v>74</v>
      </c>
      <c r="AR643" t="s">
        <v>3405</v>
      </c>
      <c r="AS643" t="s">
        <v>3406</v>
      </c>
      <c r="AT643" t="s">
        <v>10046</v>
      </c>
      <c r="AU643">
        <v>2016</v>
      </c>
      <c r="AV643">
        <v>29</v>
      </c>
      <c r="AW643">
        <v>5</v>
      </c>
      <c r="AX643" t="s">
        <v>74</v>
      </c>
      <c r="AY643" t="s">
        <v>74</v>
      </c>
      <c r="AZ643" t="s">
        <v>74</v>
      </c>
      <c r="BA643" t="s">
        <v>74</v>
      </c>
      <c r="BB643">
        <v>1717</v>
      </c>
      <c r="BC643">
        <v>1732</v>
      </c>
      <c r="BD643" t="s">
        <v>74</v>
      </c>
      <c r="BE643" t="s">
        <v>12437</v>
      </c>
      <c r="BF643" t="str">
        <f>HYPERLINK("http://dx.doi.org/10.1175/JCLI-D-15-0536.1","http://dx.doi.org/10.1175/JCLI-D-15-0536.1")</f>
        <v>http://dx.doi.org/10.1175/JCLI-D-15-0536.1</v>
      </c>
      <c r="BG643" t="s">
        <v>74</v>
      </c>
      <c r="BH643" t="s">
        <v>74</v>
      </c>
      <c r="BI643">
        <v>16</v>
      </c>
      <c r="BJ643" t="s">
        <v>1726</v>
      </c>
      <c r="BK643" t="s">
        <v>102</v>
      </c>
      <c r="BL643" t="s">
        <v>1726</v>
      </c>
      <c r="BM643" t="s">
        <v>11381</v>
      </c>
      <c r="BN643" t="s">
        <v>74</v>
      </c>
      <c r="BO643" t="s">
        <v>222</v>
      </c>
      <c r="BP643" t="s">
        <v>74</v>
      </c>
      <c r="BQ643" t="s">
        <v>74</v>
      </c>
      <c r="BR643" t="s">
        <v>106</v>
      </c>
      <c r="BS643" t="s">
        <v>12438</v>
      </c>
      <c r="BT643" t="str">
        <f>HYPERLINK("https%3A%2F%2Fwww.webofscience.com%2Fwos%2Fwoscc%2Ffull-record%2FWOS:000371301600002","View Full Record in Web of Science")</f>
        <v>View Full Record in Web of Science</v>
      </c>
    </row>
    <row r="644" spans="1:72" x14ac:dyDescent="0.15">
      <c r="A644" t="s">
        <v>72</v>
      </c>
      <c r="B644" t="s">
        <v>12439</v>
      </c>
      <c r="C644" t="s">
        <v>74</v>
      </c>
      <c r="D644" t="s">
        <v>74</v>
      </c>
      <c r="E644" t="s">
        <v>74</v>
      </c>
      <c r="F644" t="s">
        <v>12440</v>
      </c>
      <c r="G644" t="s">
        <v>74</v>
      </c>
      <c r="H644" t="s">
        <v>74</v>
      </c>
      <c r="I644" t="s">
        <v>12441</v>
      </c>
      <c r="J644" t="s">
        <v>3391</v>
      </c>
      <c r="K644" t="s">
        <v>74</v>
      </c>
      <c r="L644" t="s">
        <v>74</v>
      </c>
      <c r="M644" t="s">
        <v>78</v>
      </c>
      <c r="N644" t="s">
        <v>79</v>
      </c>
      <c r="O644" t="s">
        <v>74</v>
      </c>
      <c r="P644" t="s">
        <v>74</v>
      </c>
      <c r="Q644" t="s">
        <v>74</v>
      </c>
      <c r="R644" t="s">
        <v>74</v>
      </c>
      <c r="S644" t="s">
        <v>74</v>
      </c>
      <c r="T644" t="s">
        <v>74</v>
      </c>
      <c r="U644" t="s">
        <v>12442</v>
      </c>
      <c r="V644" t="s">
        <v>12443</v>
      </c>
      <c r="W644" t="s">
        <v>12444</v>
      </c>
      <c r="X644" t="s">
        <v>12445</v>
      </c>
      <c r="Y644" t="s">
        <v>12446</v>
      </c>
      <c r="Z644" t="s">
        <v>12447</v>
      </c>
      <c r="AA644" t="s">
        <v>12448</v>
      </c>
      <c r="AB644" t="s">
        <v>12449</v>
      </c>
      <c r="AC644" t="s">
        <v>12450</v>
      </c>
      <c r="AD644" t="s">
        <v>12451</v>
      </c>
      <c r="AE644" t="s">
        <v>12452</v>
      </c>
      <c r="AF644" t="s">
        <v>74</v>
      </c>
      <c r="AG644">
        <v>89</v>
      </c>
      <c r="AH644">
        <v>11</v>
      </c>
      <c r="AI644">
        <v>12</v>
      </c>
      <c r="AJ644">
        <v>0</v>
      </c>
      <c r="AK644">
        <v>28</v>
      </c>
      <c r="AL644" t="s">
        <v>511</v>
      </c>
      <c r="AM644" t="s">
        <v>512</v>
      </c>
      <c r="AN644" t="s">
        <v>4522</v>
      </c>
      <c r="AO644" t="s">
        <v>3403</v>
      </c>
      <c r="AP644" t="s">
        <v>3404</v>
      </c>
      <c r="AQ644" t="s">
        <v>74</v>
      </c>
      <c r="AR644" t="s">
        <v>3405</v>
      </c>
      <c r="AS644" t="s">
        <v>3406</v>
      </c>
      <c r="AT644" t="s">
        <v>10046</v>
      </c>
      <c r="AU644">
        <v>2016</v>
      </c>
      <c r="AV644">
        <v>29</v>
      </c>
      <c r="AW644">
        <v>6</v>
      </c>
      <c r="AX644" t="s">
        <v>74</v>
      </c>
      <c r="AY644" t="s">
        <v>74</v>
      </c>
      <c r="AZ644" t="s">
        <v>74</v>
      </c>
      <c r="BA644" t="s">
        <v>74</v>
      </c>
      <c r="BB644">
        <v>2109</v>
      </c>
      <c r="BC644">
        <v>2122</v>
      </c>
      <c r="BD644" t="s">
        <v>74</v>
      </c>
      <c r="BE644" t="s">
        <v>12453</v>
      </c>
      <c r="BF644" t="str">
        <f>HYPERLINK("http://dx.doi.org/10.1175/JCLI-D-15-0403.1","http://dx.doi.org/10.1175/JCLI-D-15-0403.1")</f>
        <v>http://dx.doi.org/10.1175/JCLI-D-15-0403.1</v>
      </c>
      <c r="BG644" t="s">
        <v>74</v>
      </c>
      <c r="BH644" t="s">
        <v>74</v>
      </c>
      <c r="BI644">
        <v>14</v>
      </c>
      <c r="BJ644" t="s">
        <v>1726</v>
      </c>
      <c r="BK644" t="s">
        <v>102</v>
      </c>
      <c r="BL644" t="s">
        <v>1726</v>
      </c>
      <c r="BM644" t="s">
        <v>10390</v>
      </c>
      <c r="BN644" t="s">
        <v>74</v>
      </c>
      <c r="BO644" t="s">
        <v>222</v>
      </c>
      <c r="BP644" t="s">
        <v>74</v>
      </c>
      <c r="BQ644" t="s">
        <v>74</v>
      </c>
      <c r="BR644" t="s">
        <v>106</v>
      </c>
      <c r="BS644" t="s">
        <v>12454</v>
      </c>
      <c r="BT644" t="str">
        <f>HYPERLINK("https%3A%2F%2Fwww.webofscience.com%2Fwos%2Fwoscc%2Ffull-record%2FWOS:000375786600009","View Full Record in Web of Science")</f>
        <v>View Full Record in Web of Science</v>
      </c>
    </row>
    <row r="645" spans="1:72" x14ac:dyDescent="0.15">
      <c r="A645" t="s">
        <v>72</v>
      </c>
      <c r="B645" t="s">
        <v>12455</v>
      </c>
      <c r="C645" t="s">
        <v>74</v>
      </c>
      <c r="D645" t="s">
        <v>74</v>
      </c>
      <c r="E645" t="s">
        <v>74</v>
      </c>
      <c r="F645" t="s">
        <v>12456</v>
      </c>
      <c r="G645" t="s">
        <v>74</v>
      </c>
      <c r="H645" t="s">
        <v>74</v>
      </c>
      <c r="I645" t="s">
        <v>12457</v>
      </c>
      <c r="J645" t="s">
        <v>3391</v>
      </c>
      <c r="K645" t="s">
        <v>74</v>
      </c>
      <c r="L645" t="s">
        <v>74</v>
      </c>
      <c r="M645" t="s">
        <v>78</v>
      </c>
      <c r="N645" t="s">
        <v>79</v>
      </c>
      <c r="O645" t="s">
        <v>74</v>
      </c>
      <c r="P645" t="s">
        <v>74</v>
      </c>
      <c r="Q645" t="s">
        <v>74</v>
      </c>
      <c r="R645" t="s">
        <v>74</v>
      </c>
      <c r="S645" t="s">
        <v>74</v>
      </c>
      <c r="T645" t="s">
        <v>74</v>
      </c>
      <c r="U645" t="s">
        <v>12458</v>
      </c>
      <c r="V645" t="s">
        <v>12459</v>
      </c>
      <c r="W645" t="s">
        <v>12460</v>
      </c>
      <c r="X645" t="s">
        <v>12461</v>
      </c>
      <c r="Y645" t="s">
        <v>12462</v>
      </c>
      <c r="Z645" t="s">
        <v>12463</v>
      </c>
      <c r="AA645" t="s">
        <v>12464</v>
      </c>
      <c r="AB645" t="s">
        <v>12465</v>
      </c>
      <c r="AC645" t="s">
        <v>12466</v>
      </c>
      <c r="AD645" t="s">
        <v>12467</v>
      </c>
      <c r="AE645" t="s">
        <v>12468</v>
      </c>
      <c r="AF645" t="s">
        <v>74</v>
      </c>
      <c r="AG645">
        <v>47</v>
      </c>
      <c r="AH645">
        <v>25</v>
      </c>
      <c r="AI645">
        <v>27</v>
      </c>
      <c r="AJ645">
        <v>0</v>
      </c>
      <c r="AK645">
        <v>8</v>
      </c>
      <c r="AL645" t="s">
        <v>511</v>
      </c>
      <c r="AM645" t="s">
        <v>512</v>
      </c>
      <c r="AN645" t="s">
        <v>513</v>
      </c>
      <c r="AO645" t="s">
        <v>3403</v>
      </c>
      <c r="AP645" t="s">
        <v>3404</v>
      </c>
      <c r="AQ645" t="s">
        <v>74</v>
      </c>
      <c r="AR645" t="s">
        <v>3405</v>
      </c>
      <c r="AS645" t="s">
        <v>3406</v>
      </c>
      <c r="AT645" t="s">
        <v>10046</v>
      </c>
      <c r="AU645">
        <v>2016</v>
      </c>
      <c r="AV645">
        <v>29</v>
      </c>
      <c r="AW645">
        <v>6</v>
      </c>
      <c r="AX645" t="s">
        <v>74</v>
      </c>
      <c r="AY645" t="s">
        <v>74</v>
      </c>
      <c r="AZ645" t="s">
        <v>74</v>
      </c>
      <c r="BA645" t="s">
        <v>74</v>
      </c>
      <c r="BB645">
        <v>2161</v>
      </c>
      <c r="BC645">
        <v>2175</v>
      </c>
      <c r="BD645" t="s">
        <v>74</v>
      </c>
      <c r="BE645" t="s">
        <v>12469</v>
      </c>
      <c r="BF645" t="str">
        <f>HYPERLINK("http://dx.doi.org/10.1175/JCLI-D-15-0152.1","http://dx.doi.org/10.1175/JCLI-D-15-0152.1")</f>
        <v>http://dx.doi.org/10.1175/JCLI-D-15-0152.1</v>
      </c>
      <c r="BG645" t="s">
        <v>74</v>
      </c>
      <c r="BH645" t="s">
        <v>74</v>
      </c>
      <c r="BI645">
        <v>15</v>
      </c>
      <c r="BJ645" t="s">
        <v>1726</v>
      </c>
      <c r="BK645" t="s">
        <v>102</v>
      </c>
      <c r="BL645" t="s">
        <v>1726</v>
      </c>
      <c r="BM645" t="s">
        <v>10390</v>
      </c>
      <c r="BN645" t="s">
        <v>74</v>
      </c>
      <c r="BO645" t="s">
        <v>222</v>
      </c>
      <c r="BP645" t="s">
        <v>74</v>
      </c>
      <c r="BQ645" t="s">
        <v>74</v>
      </c>
      <c r="BR645" t="s">
        <v>106</v>
      </c>
      <c r="BS645" t="s">
        <v>12470</v>
      </c>
      <c r="BT645" t="str">
        <f>HYPERLINK("https%3A%2F%2Fwww.webofscience.com%2Fwos%2Fwoscc%2Ffull-record%2FWOS:000375786600012","View Full Record in Web of Science")</f>
        <v>View Full Record in Web of Science</v>
      </c>
    </row>
    <row r="646" spans="1:72" x14ac:dyDescent="0.15">
      <c r="A646" t="s">
        <v>72</v>
      </c>
      <c r="B646" t="s">
        <v>12471</v>
      </c>
      <c r="C646" t="s">
        <v>74</v>
      </c>
      <c r="D646" t="s">
        <v>74</v>
      </c>
      <c r="E646" t="s">
        <v>74</v>
      </c>
      <c r="F646" t="s">
        <v>12472</v>
      </c>
      <c r="G646" t="s">
        <v>74</v>
      </c>
      <c r="H646" t="s">
        <v>74</v>
      </c>
      <c r="I646" t="s">
        <v>12473</v>
      </c>
      <c r="J646" t="s">
        <v>12474</v>
      </c>
      <c r="K646" t="s">
        <v>74</v>
      </c>
      <c r="L646" t="s">
        <v>74</v>
      </c>
      <c r="M646" t="s">
        <v>78</v>
      </c>
      <c r="N646" t="s">
        <v>3736</v>
      </c>
      <c r="O646" t="s">
        <v>12475</v>
      </c>
      <c r="P646" t="s">
        <v>12476</v>
      </c>
      <c r="Q646" t="s">
        <v>12477</v>
      </c>
      <c r="R646" t="s">
        <v>74</v>
      </c>
      <c r="S646" t="s">
        <v>74</v>
      </c>
      <c r="T646" t="s">
        <v>12478</v>
      </c>
      <c r="U646" t="s">
        <v>12479</v>
      </c>
      <c r="V646" t="s">
        <v>12480</v>
      </c>
      <c r="W646" t="s">
        <v>12481</v>
      </c>
      <c r="X646" t="s">
        <v>12482</v>
      </c>
      <c r="Y646" t="s">
        <v>12483</v>
      </c>
      <c r="Z646" t="s">
        <v>12484</v>
      </c>
      <c r="AA646" t="s">
        <v>12485</v>
      </c>
      <c r="AB646" t="s">
        <v>12486</v>
      </c>
      <c r="AC646" t="s">
        <v>74</v>
      </c>
      <c r="AD646" t="s">
        <v>74</v>
      </c>
      <c r="AE646" t="s">
        <v>74</v>
      </c>
      <c r="AF646" t="s">
        <v>74</v>
      </c>
      <c r="AG646">
        <v>40</v>
      </c>
      <c r="AH646">
        <v>12</v>
      </c>
      <c r="AI646">
        <v>14</v>
      </c>
      <c r="AJ646">
        <v>2</v>
      </c>
      <c r="AK646">
        <v>54</v>
      </c>
      <c r="AL646" t="s">
        <v>12487</v>
      </c>
      <c r="AM646" t="s">
        <v>12488</v>
      </c>
      <c r="AN646" t="s">
        <v>12489</v>
      </c>
      <c r="AO646" t="s">
        <v>12490</v>
      </c>
      <c r="AP646" t="s">
        <v>12491</v>
      </c>
      <c r="AQ646" t="s">
        <v>74</v>
      </c>
      <c r="AR646" t="s">
        <v>12492</v>
      </c>
      <c r="AS646" t="s">
        <v>12493</v>
      </c>
      <c r="AT646" t="s">
        <v>10046</v>
      </c>
      <c r="AU646">
        <v>2016</v>
      </c>
      <c r="AV646" t="s">
        <v>74</v>
      </c>
      <c r="AW646" t="s">
        <v>74</v>
      </c>
      <c r="AX646">
        <v>2</v>
      </c>
      <c r="AY646" t="s">
        <v>74</v>
      </c>
      <c r="AZ646">
        <v>75</v>
      </c>
      <c r="BA646" t="s">
        <v>74</v>
      </c>
      <c r="BB646">
        <v>1292</v>
      </c>
      <c r="BC646">
        <v>1296</v>
      </c>
      <c r="BD646" t="s">
        <v>74</v>
      </c>
      <c r="BE646" t="s">
        <v>12494</v>
      </c>
      <c r="BF646" t="str">
        <f>HYPERLINK("http://dx.doi.org/10.2112/SI75-259.1","http://dx.doi.org/10.2112/SI75-259.1")</f>
        <v>http://dx.doi.org/10.2112/SI75-259.1</v>
      </c>
      <c r="BG646" t="s">
        <v>74</v>
      </c>
      <c r="BH646" t="s">
        <v>74</v>
      </c>
      <c r="BI646">
        <v>5</v>
      </c>
      <c r="BJ646" t="s">
        <v>7364</v>
      </c>
      <c r="BK646" t="s">
        <v>6412</v>
      </c>
      <c r="BL646" t="s">
        <v>7365</v>
      </c>
      <c r="BM646" t="s">
        <v>12495</v>
      </c>
      <c r="BN646" t="s">
        <v>74</v>
      </c>
      <c r="BO646" t="s">
        <v>74</v>
      </c>
      <c r="BP646" t="s">
        <v>74</v>
      </c>
      <c r="BQ646" t="s">
        <v>74</v>
      </c>
      <c r="BR646" t="s">
        <v>106</v>
      </c>
      <c r="BS646" t="s">
        <v>12496</v>
      </c>
      <c r="BT646" t="str">
        <f>HYPERLINK("https%3A%2F%2Fwww.webofscience.com%2Fwos%2Fwoscc%2Ffull-record%2FWOS:000373241300113","View Full Record in Web of Science")</f>
        <v>View Full Record in Web of Science</v>
      </c>
    </row>
    <row r="647" spans="1:72" x14ac:dyDescent="0.15">
      <c r="A647" t="s">
        <v>72</v>
      </c>
      <c r="B647" t="s">
        <v>12497</v>
      </c>
      <c r="C647" t="s">
        <v>74</v>
      </c>
      <c r="D647" t="s">
        <v>74</v>
      </c>
      <c r="E647" t="s">
        <v>74</v>
      </c>
      <c r="F647" t="s">
        <v>12498</v>
      </c>
      <c r="G647" t="s">
        <v>74</v>
      </c>
      <c r="H647" t="s">
        <v>74</v>
      </c>
      <c r="I647" t="s">
        <v>12499</v>
      </c>
      <c r="J647" t="s">
        <v>12500</v>
      </c>
      <c r="K647" t="s">
        <v>74</v>
      </c>
      <c r="L647" t="s">
        <v>74</v>
      </c>
      <c r="M647" t="s">
        <v>78</v>
      </c>
      <c r="N647" t="s">
        <v>79</v>
      </c>
      <c r="O647" t="s">
        <v>74</v>
      </c>
      <c r="P647" t="s">
        <v>74</v>
      </c>
      <c r="Q647" t="s">
        <v>74</v>
      </c>
      <c r="R647" t="s">
        <v>74</v>
      </c>
      <c r="S647" t="s">
        <v>74</v>
      </c>
      <c r="T647" t="s">
        <v>12501</v>
      </c>
      <c r="U647" t="s">
        <v>12502</v>
      </c>
      <c r="V647" t="s">
        <v>12503</v>
      </c>
      <c r="W647" t="s">
        <v>12504</v>
      </c>
      <c r="X647" t="s">
        <v>12505</v>
      </c>
      <c r="Y647" t="s">
        <v>12506</v>
      </c>
      <c r="Z647" t="s">
        <v>12507</v>
      </c>
      <c r="AA647" t="s">
        <v>12508</v>
      </c>
      <c r="AB647" t="s">
        <v>12509</v>
      </c>
      <c r="AC647" t="s">
        <v>12510</v>
      </c>
      <c r="AD647" t="s">
        <v>12511</v>
      </c>
      <c r="AE647" t="s">
        <v>12512</v>
      </c>
      <c r="AF647" t="s">
        <v>74</v>
      </c>
      <c r="AG647">
        <v>81</v>
      </c>
      <c r="AH647">
        <v>4</v>
      </c>
      <c r="AI647">
        <v>7</v>
      </c>
      <c r="AJ647">
        <v>0</v>
      </c>
      <c r="AK647">
        <v>59</v>
      </c>
      <c r="AL647" t="s">
        <v>721</v>
      </c>
      <c r="AM647" t="s">
        <v>125</v>
      </c>
      <c r="AN647" t="s">
        <v>126</v>
      </c>
      <c r="AO647" t="s">
        <v>12513</v>
      </c>
      <c r="AP647" t="s">
        <v>12514</v>
      </c>
      <c r="AQ647" t="s">
        <v>74</v>
      </c>
      <c r="AR647" t="s">
        <v>12515</v>
      </c>
      <c r="AS647" t="s">
        <v>12516</v>
      </c>
      <c r="AT647" t="s">
        <v>10046</v>
      </c>
      <c r="AU647">
        <v>2016</v>
      </c>
      <c r="AV647">
        <v>87</v>
      </c>
      <c r="AW647">
        <v>1</v>
      </c>
      <c r="AX647" t="s">
        <v>74</v>
      </c>
      <c r="AY647" t="s">
        <v>74</v>
      </c>
      <c r="AZ647" t="s">
        <v>74</v>
      </c>
      <c r="BA647" t="s">
        <v>74</v>
      </c>
      <c r="BB647">
        <v>42</v>
      </c>
      <c r="BC647">
        <v>54</v>
      </c>
      <c r="BD647" t="s">
        <v>74</v>
      </c>
      <c r="BE647" t="s">
        <v>12517</v>
      </c>
      <c r="BF647" t="str">
        <f>HYPERLINK("http://dx.doi.org/10.1111/jofo.12136","http://dx.doi.org/10.1111/jofo.12136")</f>
        <v>http://dx.doi.org/10.1111/jofo.12136</v>
      </c>
      <c r="BG647" t="s">
        <v>74</v>
      </c>
      <c r="BH647" t="s">
        <v>74</v>
      </c>
      <c r="BI647">
        <v>13</v>
      </c>
      <c r="BJ647" t="s">
        <v>4379</v>
      </c>
      <c r="BK647" t="s">
        <v>102</v>
      </c>
      <c r="BL647" t="s">
        <v>541</v>
      </c>
      <c r="BM647" t="s">
        <v>12518</v>
      </c>
      <c r="BN647" t="s">
        <v>74</v>
      </c>
      <c r="BO647" t="s">
        <v>74</v>
      </c>
      <c r="BP647" t="s">
        <v>74</v>
      </c>
      <c r="BQ647" t="s">
        <v>74</v>
      </c>
      <c r="BR647" t="s">
        <v>106</v>
      </c>
      <c r="BS647" t="s">
        <v>12519</v>
      </c>
      <c r="BT647" t="str">
        <f>HYPERLINK("https%3A%2F%2Fwww.webofscience.com%2Fwos%2Fwoscc%2Ffull-record%2FWOS:000372807100004","View Full Record in Web of Science")</f>
        <v>View Full Record in Web of Science</v>
      </c>
    </row>
    <row r="648" spans="1:72" x14ac:dyDescent="0.15">
      <c r="A648" t="s">
        <v>72</v>
      </c>
      <c r="B648" t="s">
        <v>12520</v>
      </c>
      <c r="C648" t="s">
        <v>74</v>
      </c>
      <c r="D648" t="s">
        <v>74</v>
      </c>
      <c r="E648" t="s">
        <v>74</v>
      </c>
      <c r="F648" t="s">
        <v>12521</v>
      </c>
      <c r="G648" t="s">
        <v>74</v>
      </c>
      <c r="H648" t="s">
        <v>74</v>
      </c>
      <c r="I648" t="s">
        <v>12522</v>
      </c>
      <c r="J648" t="s">
        <v>11617</v>
      </c>
      <c r="K648" t="s">
        <v>74</v>
      </c>
      <c r="L648" t="s">
        <v>74</v>
      </c>
      <c r="M648" t="s">
        <v>78</v>
      </c>
      <c r="N648" t="s">
        <v>79</v>
      </c>
      <c r="O648" t="s">
        <v>74</v>
      </c>
      <c r="P648" t="s">
        <v>74</v>
      </c>
      <c r="Q648" t="s">
        <v>74</v>
      </c>
      <c r="R648" t="s">
        <v>74</v>
      </c>
      <c r="S648" t="s">
        <v>74</v>
      </c>
      <c r="T648" t="s">
        <v>12523</v>
      </c>
      <c r="U648" t="s">
        <v>12524</v>
      </c>
      <c r="V648" t="s">
        <v>12525</v>
      </c>
      <c r="W648" t="s">
        <v>12526</v>
      </c>
      <c r="X648" t="s">
        <v>12527</v>
      </c>
      <c r="Y648" t="s">
        <v>12528</v>
      </c>
      <c r="Z648" t="s">
        <v>12529</v>
      </c>
      <c r="AA648" t="s">
        <v>12530</v>
      </c>
      <c r="AB648" t="s">
        <v>12531</v>
      </c>
      <c r="AC648" t="s">
        <v>12532</v>
      </c>
      <c r="AD648" t="s">
        <v>12533</v>
      </c>
      <c r="AE648" t="s">
        <v>12534</v>
      </c>
      <c r="AF648" t="s">
        <v>74</v>
      </c>
      <c r="AG648">
        <v>65</v>
      </c>
      <c r="AH648">
        <v>76</v>
      </c>
      <c r="AI648">
        <v>80</v>
      </c>
      <c r="AJ648">
        <v>1</v>
      </c>
      <c r="AK648">
        <v>29</v>
      </c>
      <c r="AL648" t="s">
        <v>3662</v>
      </c>
      <c r="AM648" t="s">
        <v>262</v>
      </c>
      <c r="AN648" t="s">
        <v>3663</v>
      </c>
      <c r="AO648" t="s">
        <v>11629</v>
      </c>
      <c r="AP648" t="s">
        <v>11630</v>
      </c>
      <c r="AQ648" t="s">
        <v>74</v>
      </c>
      <c r="AR648" t="s">
        <v>11631</v>
      </c>
      <c r="AS648" t="s">
        <v>11632</v>
      </c>
      <c r="AT648" t="s">
        <v>10046</v>
      </c>
      <c r="AU648">
        <v>2016</v>
      </c>
      <c r="AV648">
        <v>790</v>
      </c>
      <c r="AW648" t="s">
        <v>74</v>
      </c>
      <c r="AX648" t="s">
        <v>74</v>
      </c>
      <c r="AY648" t="s">
        <v>74</v>
      </c>
      <c r="AZ648" t="s">
        <v>74</v>
      </c>
      <c r="BA648" t="s">
        <v>74</v>
      </c>
      <c r="BB648">
        <v>492</v>
      </c>
      <c r="BC648">
        <v>522</v>
      </c>
      <c r="BD648" t="s">
        <v>74</v>
      </c>
      <c r="BE648" t="s">
        <v>12535</v>
      </c>
      <c r="BF648" t="str">
        <f>HYPERLINK("http://dx.doi.org/10.1017/jfm.2016.21","http://dx.doi.org/10.1017/jfm.2016.21")</f>
        <v>http://dx.doi.org/10.1017/jfm.2016.21</v>
      </c>
      <c r="BG648" t="s">
        <v>74</v>
      </c>
      <c r="BH648" t="s">
        <v>74</v>
      </c>
      <c r="BI648">
        <v>31</v>
      </c>
      <c r="BJ648" t="s">
        <v>11634</v>
      </c>
      <c r="BK648" t="s">
        <v>102</v>
      </c>
      <c r="BL648" t="s">
        <v>11635</v>
      </c>
      <c r="BM648" t="s">
        <v>12536</v>
      </c>
      <c r="BN648" t="s">
        <v>74</v>
      </c>
      <c r="BO648" t="s">
        <v>1412</v>
      </c>
      <c r="BP648" t="s">
        <v>74</v>
      </c>
      <c r="BQ648" t="s">
        <v>74</v>
      </c>
      <c r="BR648" t="s">
        <v>106</v>
      </c>
      <c r="BS648" t="s">
        <v>12537</v>
      </c>
      <c r="BT648" t="str">
        <f>HYPERLINK("https%3A%2F%2Fwww.webofscience.com%2Fwos%2Fwoscc%2Ffull-record%2FWOS:000370417100003","View Full Record in Web of Science")</f>
        <v>View Full Record in Web of Science</v>
      </c>
    </row>
    <row r="649" spans="1:72" x14ac:dyDescent="0.15">
      <c r="A649" t="s">
        <v>72</v>
      </c>
      <c r="B649" t="s">
        <v>12538</v>
      </c>
      <c r="C649" t="s">
        <v>74</v>
      </c>
      <c r="D649" t="s">
        <v>74</v>
      </c>
      <c r="E649" t="s">
        <v>74</v>
      </c>
      <c r="F649" t="s">
        <v>12539</v>
      </c>
      <c r="G649" t="s">
        <v>74</v>
      </c>
      <c r="H649" t="s">
        <v>74</v>
      </c>
      <c r="I649" t="s">
        <v>12540</v>
      </c>
      <c r="J649" t="s">
        <v>12541</v>
      </c>
      <c r="K649" t="s">
        <v>74</v>
      </c>
      <c r="L649" t="s">
        <v>74</v>
      </c>
      <c r="M649" t="s">
        <v>78</v>
      </c>
      <c r="N649" t="s">
        <v>949</v>
      </c>
      <c r="O649" t="s">
        <v>74</v>
      </c>
      <c r="P649" t="s">
        <v>74</v>
      </c>
      <c r="Q649" t="s">
        <v>74</v>
      </c>
      <c r="R649" t="s">
        <v>74</v>
      </c>
      <c r="S649" t="s">
        <v>74</v>
      </c>
      <c r="T649" t="s">
        <v>74</v>
      </c>
      <c r="U649" t="s">
        <v>12542</v>
      </c>
      <c r="V649" t="s">
        <v>12543</v>
      </c>
      <c r="W649" t="s">
        <v>12544</v>
      </c>
      <c r="X649" t="s">
        <v>12545</v>
      </c>
      <c r="Y649" t="s">
        <v>12546</v>
      </c>
      <c r="Z649" t="s">
        <v>12547</v>
      </c>
      <c r="AA649" t="s">
        <v>12548</v>
      </c>
      <c r="AB649" t="s">
        <v>12549</v>
      </c>
      <c r="AC649" t="s">
        <v>12550</v>
      </c>
      <c r="AD649" t="s">
        <v>12551</v>
      </c>
      <c r="AE649" t="s">
        <v>12552</v>
      </c>
      <c r="AF649" t="s">
        <v>74</v>
      </c>
      <c r="AG649">
        <v>258</v>
      </c>
      <c r="AH649">
        <v>263</v>
      </c>
      <c r="AI649">
        <v>298</v>
      </c>
      <c r="AJ649">
        <v>27</v>
      </c>
      <c r="AK649">
        <v>345</v>
      </c>
      <c r="AL649" t="s">
        <v>92</v>
      </c>
      <c r="AM649" t="s">
        <v>93</v>
      </c>
      <c r="AN649" t="s">
        <v>94</v>
      </c>
      <c r="AO649" t="s">
        <v>12553</v>
      </c>
      <c r="AP649" t="s">
        <v>12554</v>
      </c>
      <c r="AQ649" t="s">
        <v>74</v>
      </c>
      <c r="AR649" t="s">
        <v>12555</v>
      </c>
      <c r="AS649" t="s">
        <v>12556</v>
      </c>
      <c r="AT649" t="s">
        <v>10046</v>
      </c>
      <c r="AU649">
        <v>2016</v>
      </c>
      <c r="AV649">
        <v>121</v>
      </c>
      <c r="AW649">
        <v>3</v>
      </c>
      <c r="AX649" t="s">
        <v>74</v>
      </c>
      <c r="AY649" t="s">
        <v>74</v>
      </c>
      <c r="AZ649" t="s">
        <v>74</v>
      </c>
      <c r="BA649" t="s">
        <v>74</v>
      </c>
      <c r="BB649">
        <v>621</v>
      </c>
      <c r="BC649">
        <v>649</v>
      </c>
      <c r="BD649" t="s">
        <v>74</v>
      </c>
      <c r="BE649" t="s">
        <v>12557</v>
      </c>
      <c r="BF649" t="str">
        <f>HYPERLINK("http://dx.doi.org/10.1002/2015JG003131","http://dx.doi.org/10.1002/2015JG003131")</f>
        <v>http://dx.doi.org/10.1002/2015JG003131</v>
      </c>
      <c r="BG649" t="s">
        <v>74</v>
      </c>
      <c r="BH649" t="s">
        <v>74</v>
      </c>
      <c r="BI649">
        <v>29</v>
      </c>
      <c r="BJ649" t="s">
        <v>12558</v>
      </c>
      <c r="BK649" t="s">
        <v>102</v>
      </c>
      <c r="BL649" t="s">
        <v>1095</v>
      </c>
      <c r="BM649" t="s">
        <v>12559</v>
      </c>
      <c r="BN649" t="s">
        <v>74</v>
      </c>
      <c r="BO649" t="s">
        <v>1191</v>
      </c>
      <c r="BP649" t="s">
        <v>1046</v>
      </c>
      <c r="BQ649" t="s">
        <v>1047</v>
      </c>
      <c r="BR649" t="s">
        <v>106</v>
      </c>
      <c r="BS649" t="s">
        <v>12560</v>
      </c>
      <c r="BT649" t="str">
        <f>HYPERLINK("https%3A%2F%2Fwww.webofscience.com%2Fwos%2Fwoscc%2Ffull-record%2FWOS:000374345000004","View Full Record in Web of Science")</f>
        <v>View Full Record in Web of Science</v>
      </c>
    </row>
    <row r="650" spans="1:72" x14ac:dyDescent="0.15">
      <c r="A650" t="s">
        <v>72</v>
      </c>
      <c r="B650" t="s">
        <v>12561</v>
      </c>
      <c r="C650" t="s">
        <v>74</v>
      </c>
      <c r="D650" t="s">
        <v>74</v>
      </c>
      <c r="E650" t="s">
        <v>74</v>
      </c>
      <c r="F650" t="s">
        <v>12562</v>
      </c>
      <c r="G650" t="s">
        <v>74</v>
      </c>
      <c r="H650" t="s">
        <v>74</v>
      </c>
      <c r="I650" t="s">
        <v>12563</v>
      </c>
      <c r="J650" t="s">
        <v>385</v>
      </c>
      <c r="K650" t="s">
        <v>74</v>
      </c>
      <c r="L650" t="s">
        <v>74</v>
      </c>
      <c r="M650" t="s">
        <v>78</v>
      </c>
      <c r="N650" t="s">
        <v>573</v>
      </c>
      <c r="O650" t="s">
        <v>74</v>
      </c>
      <c r="P650" t="s">
        <v>74</v>
      </c>
      <c r="Q650" t="s">
        <v>74</v>
      </c>
      <c r="R650" t="s">
        <v>74</v>
      </c>
      <c r="S650" t="s">
        <v>74</v>
      </c>
      <c r="T650" t="s">
        <v>74</v>
      </c>
      <c r="U650" t="s">
        <v>12564</v>
      </c>
      <c r="V650" t="s">
        <v>12565</v>
      </c>
      <c r="W650" t="s">
        <v>12566</v>
      </c>
      <c r="X650" t="s">
        <v>12567</v>
      </c>
      <c r="Y650" t="s">
        <v>12568</v>
      </c>
      <c r="Z650" t="s">
        <v>12569</v>
      </c>
      <c r="AA650" t="s">
        <v>12570</v>
      </c>
      <c r="AB650" t="s">
        <v>12571</v>
      </c>
      <c r="AC650" t="s">
        <v>12572</v>
      </c>
      <c r="AD650" t="s">
        <v>333</v>
      </c>
      <c r="AE650" t="s">
        <v>74</v>
      </c>
      <c r="AF650" t="s">
        <v>74</v>
      </c>
      <c r="AG650">
        <v>20</v>
      </c>
      <c r="AH650">
        <v>11</v>
      </c>
      <c r="AI650">
        <v>12</v>
      </c>
      <c r="AJ650">
        <v>0</v>
      </c>
      <c r="AK650">
        <v>9</v>
      </c>
      <c r="AL650" t="s">
        <v>92</v>
      </c>
      <c r="AM650" t="s">
        <v>93</v>
      </c>
      <c r="AN650" t="s">
        <v>94</v>
      </c>
      <c r="AO650" t="s">
        <v>397</v>
      </c>
      <c r="AP650" t="s">
        <v>398</v>
      </c>
      <c r="AQ650" t="s">
        <v>74</v>
      </c>
      <c r="AR650" t="s">
        <v>399</v>
      </c>
      <c r="AS650" t="s">
        <v>400</v>
      </c>
      <c r="AT650" t="s">
        <v>10046</v>
      </c>
      <c r="AU650">
        <v>2016</v>
      </c>
      <c r="AV650">
        <v>121</v>
      </c>
      <c r="AW650">
        <v>3</v>
      </c>
      <c r="AX650" t="s">
        <v>74</v>
      </c>
      <c r="AY650" t="s">
        <v>74</v>
      </c>
      <c r="AZ650" t="s">
        <v>74</v>
      </c>
      <c r="BA650" t="s">
        <v>74</v>
      </c>
      <c r="BB650">
        <v>1920</v>
      </c>
      <c r="BC650">
        <v>1924</v>
      </c>
      <c r="BD650" t="s">
        <v>74</v>
      </c>
      <c r="BE650" t="s">
        <v>12573</v>
      </c>
      <c r="BF650" t="str">
        <f>HYPERLINK("http://dx.doi.org/10.1002/2015JA021570","http://dx.doi.org/10.1002/2015JA021570")</f>
        <v>http://dx.doi.org/10.1002/2015JA021570</v>
      </c>
      <c r="BG650" t="s">
        <v>74</v>
      </c>
      <c r="BH650" t="s">
        <v>74</v>
      </c>
      <c r="BI650">
        <v>5</v>
      </c>
      <c r="BJ650" t="s">
        <v>248</v>
      </c>
      <c r="BK650" t="s">
        <v>102</v>
      </c>
      <c r="BL650" t="s">
        <v>248</v>
      </c>
      <c r="BM650" t="s">
        <v>10335</v>
      </c>
      <c r="BN650" t="s">
        <v>74</v>
      </c>
      <c r="BO650" t="s">
        <v>105</v>
      </c>
      <c r="BP650" t="s">
        <v>74</v>
      </c>
      <c r="BQ650" t="s">
        <v>74</v>
      </c>
      <c r="BR650" t="s">
        <v>106</v>
      </c>
      <c r="BS650" t="s">
        <v>12574</v>
      </c>
      <c r="BT650" t="str">
        <f>HYPERLINK("https%3A%2F%2Fwww.webofscience.com%2Fwos%2Fwoscc%2Ffull-record%2FWOS:000374730900007","View Full Record in Web of Science")</f>
        <v>View Full Record in Web of Science</v>
      </c>
    </row>
    <row r="651" spans="1:72" x14ac:dyDescent="0.15">
      <c r="A651" t="s">
        <v>72</v>
      </c>
      <c r="B651" t="s">
        <v>12575</v>
      </c>
      <c r="C651" t="s">
        <v>74</v>
      </c>
      <c r="D651" t="s">
        <v>74</v>
      </c>
      <c r="E651" t="s">
        <v>74</v>
      </c>
      <c r="F651" t="s">
        <v>12576</v>
      </c>
      <c r="G651" t="s">
        <v>74</v>
      </c>
      <c r="H651" t="s">
        <v>74</v>
      </c>
      <c r="I651" t="s">
        <v>12577</v>
      </c>
      <c r="J651" t="s">
        <v>385</v>
      </c>
      <c r="K651" t="s">
        <v>74</v>
      </c>
      <c r="L651" t="s">
        <v>74</v>
      </c>
      <c r="M651" t="s">
        <v>78</v>
      </c>
      <c r="N651" t="s">
        <v>79</v>
      </c>
      <c r="O651" t="s">
        <v>74</v>
      </c>
      <c r="P651" t="s">
        <v>74</v>
      </c>
      <c r="Q651" t="s">
        <v>74</v>
      </c>
      <c r="R651" t="s">
        <v>74</v>
      </c>
      <c r="S651" t="s">
        <v>74</v>
      </c>
      <c r="T651" t="s">
        <v>12578</v>
      </c>
      <c r="U651" t="s">
        <v>12579</v>
      </c>
      <c r="V651" t="s">
        <v>12580</v>
      </c>
      <c r="W651" t="s">
        <v>12581</v>
      </c>
      <c r="X651" t="s">
        <v>12582</v>
      </c>
      <c r="Y651" t="s">
        <v>12583</v>
      </c>
      <c r="Z651" t="s">
        <v>12584</v>
      </c>
      <c r="AA651" t="s">
        <v>12585</v>
      </c>
      <c r="AB651" t="s">
        <v>12586</v>
      </c>
      <c r="AC651" t="s">
        <v>12587</v>
      </c>
      <c r="AD651" t="s">
        <v>12588</v>
      </c>
      <c r="AE651" t="s">
        <v>12589</v>
      </c>
      <c r="AF651" t="s">
        <v>74</v>
      </c>
      <c r="AG651">
        <v>30</v>
      </c>
      <c r="AH651">
        <v>33</v>
      </c>
      <c r="AI651">
        <v>33</v>
      </c>
      <c r="AJ651">
        <v>0</v>
      </c>
      <c r="AK651">
        <v>8</v>
      </c>
      <c r="AL651" t="s">
        <v>92</v>
      </c>
      <c r="AM651" t="s">
        <v>93</v>
      </c>
      <c r="AN651" t="s">
        <v>94</v>
      </c>
      <c r="AO651" t="s">
        <v>397</v>
      </c>
      <c r="AP651" t="s">
        <v>398</v>
      </c>
      <c r="AQ651" t="s">
        <v>74</v>
      </c>
      <c r="AR651" t="s">
        <v>399</v>
      </c>
      <c r="AS651" t="s">
        <v>400</v>
      </c>
      <c r="AT651" t="s">
        <v>10046</v>
      </c>
      <c r="AU651">
        <v>2016</v>
      </c>
      <c r="AV651">
        <v>121</v>
      </c>
      <c r="AW651">
        <v>3</v>
      </c>
      <c r="AX651" t="s">
        <v>74</v>
      </c>
      <c r="AY651" t="s">
        <v>74</v>
      </c>
      <c r="AZ651" t="s">
        <v>74</v>
      </c>
      <c r="BA651" t="s">
        <v>74</v>
      </c>
      <c r="BB651">
        <v>2715</v>
      </c>
      <c r="BC651">
        <v>2726</v>
      </c>
      <c r="BD651" t="s">
        <v>74</v>
      </c>
      <c r="BE651" t="s">
        <v>12590</v>
      </c>
      <c r="BF651" t="str">
        <f>HYPERLINK("http://dx.doi.org/10.1002/2015JA022236","http://dx.doi.org/10.1002/2015JA022236")</f>
        <v>http://dx.doi.org/10.1002/2015JA022236</v>
      </c>
      <c r="BG651" t="s">
        <v>74</v>
      </c>
      <c r="BH651" t="s">
        <v>74</v>
      </c>
      <c r="BI651">
        <v>12</v>
      </c>
      <c r="BJ651" t="s">
        <v>248</v>
      </c>
      <c r="BK651" t="s">
        <v>102</v>
      </c>
      <c r="BL651" t="s">
        <v>248</v>
      </c>
      <c r="BM651" t="s">
        <v>10335</v>
      </c>
      <c r="BN651" t="s">
        <v>74</v>
      </c>
      <c r="BO651" t="s">
        <v>3908</v>
      </c>
      <c r="BP651" t="s">
        <v>74</v>
      </c>
      <c r="BQ651" t="s">
        <v>74</v>
      </c>
      <c r="BR651" t="s">
        <v>106</v>
      </c>
      <c r="BS651" t="s">
        <v>12591</v>
      </c>
      <c r="BT651" t="str">
        <f>HYPERLINK("https%3A%2F%2Fwww.webofscience.com%2Fwos%2Fwoscc%2Ffull-record%2FWOS:000374730900060","View Full Record in Web of Science")</f>
        <v>View Full Record in Web of Science</v>
      </c>
    </row>
    <row r="652" spans="1:72" x14ac:dyDescent="0.15">
      <c r="A652" t="s">
        <v>72</v>
      </c>
      <c r="B652" t="s">
        <v>12592</v>
      </c>
      <c r="C652" t="s">
        <v>74</v>
      </c>
      <c r="D652" t="s">
        <v>74</v>
      </c>
      <c r="E652" t="s">
        <v>74</v>
      </c>
      <c r="F652" t="s">
        <v>12593</v>
      </c>
      <c r="G652" t="s">
        <v>74</v>
      </c>
      <c r="H652" t="s">
        <v>74</v>
      </c>
      <c r="I652" t="s">
        <v>12594</v>
      </c>
      <c r="J652" t="s">
        <v>12595</v>
      </c>
      <c r="K652" t="s">
        <v>74</v>
      </c>
      <c r="L652" t="s">
        <v>74</v>
      </c>
      <c r="M652" t="s">
        <v>78</v>
      </c>
      <c r="N652" t="s">
        <v>79</v>
      </c>
      <c r="O652" t="s">
        <v>74</v>
      </c>
      <c r="P652" t="s">
        <v>74</v>
      </c>
      <c r="Q652" t="s">
        <v>74</v>
      </c>
      <c r="R652" t="s">
        <v>74</v>
      </c>
      <c r="S652" t="s">
        <v>74</v>
      </c>
      <c r="T652" t="s">
        <v>12596</v>
      </c>
      <c r="U652" t="s">
        <v>12597</v>
      </c>
      <c r="V652" t="s">
        <v>12598</v>
      </c>
      <c r="W652" t="s">
        <v>12599</v>
      </c>
      <c r="X652" t="s">
        <v>12600</v>
      </c>
      <c r="Y652" t="s">
        <v>12601</v>
      </c>
      <c r="Z652" t="s">
        <v>12602</v>
      </c>
      <c r="AA652" t="s">
        <v>12603</v>
      </c>
      <c r="AB652" t="s">
        <v>12604</v>
      </c>
      <c r="AC652" t="s">
        <v>12605</v>
      </c>
      <c r="AD652" t="s">
        <v>12606</v>
      </c>
      <c r="AE652" t="s">
        <v>12607</v>
      </c>
      <c r="AF652" t="s">
        <v>74</v>
      </c>
      <c r="AG652">
        <v>64</v>
      </c>
      <c r="AH652">
        <v>35</v>
      </c>
      <c r="AI652">
        <v>40</v>
      </c>
      <c r="AJ652">
        <v>0</v>
      </c>
      <c r="AK652">
        <v>11</v>
      </c>
      <c r="AL652" t="s">
        <v>12608</v>
      </c>
      <c r="AM652" t="s">
        <v>12609</v>
      </c>
      <c r="AN652" t="s">
        <v>12610</v>
      </c>
      <c r="AO652" t="s">
        <v>12611</v>
      </c>
      <c r="AP652" t="s">
        <v>12612</v>
      </c>
      <c r="AQ652" t="s">
        <v>74</v>
      </c>
      <c r="AR652" t="s">
        <v>12613</v>
      </c>
      <c r="AS652" t="s">
        <v>12614</v>
      </c>
      <c r="AT652" t="s">
        <v>10046</v>
      </c>
      <c r="AU652">
        <v>2016</v>
      </c>
      <c r="AV652">
        <v>111</v>
      </c>
      <c r="AW652">
        <v>513</v>
      </c>
      <c r="AX652" t="s">
        <v>74</v>
      </c>
      <c r="AY652" t="s">
        <v>74</v>
      </c>
      <c r="AZ652" t="s">
        <v>74</v>
      </c>
      <c r="BA652" t="s">
        <v>74</v>
      </c>
      <c r="BB652">
        <v>57</v>
      </c>
      <c r="BC652">
        <v>72</v>
      </c>
      <c r="BD652" t="s">
        <v>74</v>
      </c>
      <c r="BE652" t="s">
        <v>12615</v>
      </c>
      <c r="BF652" t="str">
        <f>HYPERLINK("http://dx.doi.org/10.1080/01621459.2015.1108199","http://dx.doi.org/10.1080/01621459.2015.1108199")</f>
        <v>http://dx.doi.org/10.1080/01621459.2015.1108199</v>
      </c>
      <c r="BG652" t="s">
        <v>74</v>
      </c>
      <c r="BH652" t="s">
        <v>74</v>
      </c>
      <c r="BI652">
        <v>16</v>
      </c>
      <c r="BJ652" t="s">
        <v>12616</v>
      </c>
      <c r="BK652" t="s">
        <v>102</v>
      </c>
      <c r="BL652" t="s">
        <v>12617</v>
      </c>
      <c r="BM652" t="s">
        <v>12618</v>
      </c>
      <c r="BN652" t="s">
        <v>74</v>
      </c>
      <c r="BO652" t="s">
        <v>1412</v>
      </c>
      <c r="BP652" t="s">
        <v>74</v>
      </c>
      <c r="BQ652" t="s">
        <v>74</v>
      </c>
      <c r="BR652" t="s">
        <v>106</v>
      </c>
      <c r="BS652" t="s">
        <v>12619</v>
      </c>
      <c r="BT652" t="str">
        <f>HYPERLINK("https%3A%2F%2Fwww.webofscience.com%2Fwos%2Fwoscc%2Ffull-record%2FWOS:000376031000005","View Full Record in Web of Science")</f>
        <v>View Full Record in Web of Science</v>
      </c>
    </row>
    <row r="653" spans="1:72" x14ac:dyDescent="0.15">
      <c r="A653" t="s">
        <v>72</v>
      </c>
      <c r="B653" t="s">
        <v>12620</v>
      </c>
      <c r="C653" t="s">
        <v>74</v>
      </c>
      <c r="D653" t="s">
        <v>74</v>
      </c>
      <c r="E653" t="s">
        <v>74</v>
      </c>
      <c r="F653" t="s">
        <v>12621</v>
      </c>
      <c r="G653" t="s">
        <v>74</v>
      </c>
      <c r="H653" t="s">
        <v>74</v>
      </c>
      <c r="I653" t="s">
        <v>12622</v>
      </c>
      <c r="J653" t="s">
        <v>4573</v>
      </c>
      <c r="K653" t="s">
        <v>74</v>
      </c>
      <c r="L653" t="s">
        <v>74</v>
      </c>
      <c r="M653" t="s">
        <v>78</v>
      </c>
      <c r="N653" t="s">
        <v>79</v>
      </c>
      <c r="O653" t="s">
        <v>74</v>
      </c>
      <c r="P653" t="s">
        <v>74</v>
      </c>
      <c r="Q653" t="s">
        <v>74</v>
      </c>
      <c r="R653" t="s">
        <v>74</v>
      </c>
      <c r="S653" t="s">
        <v>74</v>
      </c>
      <c r="T653" t="s">
        <v>74</v>
      </c>
      <c r="U653" t="s">
        <v>12623</v>
      </c>
      <c r="V653" t="s">
        <v>12624</v>
      </c>
      <c r="W653" t="s">
        <v>12625</v>
      </c>
      <c r="X653" t="s">
        <v>12626</v>
      </c>
      <c r="Y653" t="s">
        <v>12627</v>
      </c>
      <c r="Z653" t="s">
        <v>12628</v>
      </c>
      <c r="AA653" t="s">
        <v>12629</v>
      </c>
      <c r="AB653" t="s">
        <v>12630</v>
      </c>
      <c r="AC653" t="s">
        <v>12631</v>
      </c>
      <c r="AD653" t="s">
        <v>12632</v>
      </c>
      <c r="AE653" t="s">
        <v>12633</v>
      </c>
      <c r="AF653" t="s">
        <v>74</v>
      </c>
      <c r="AG653">
        <v>94</v>
      </c>
      <c r="AH653">
        <v>13</v>
      </c>
      <c r="AI653">
        <v>17</v>
      </c>
      <c r="AJ653">
        <v>0</v>
      </c>
      <c r="AK653">
        <v>38</v>
      </c>
      <c r="AL653" t="s">
        <v>124</v>
      </c>
      <c r="AM653" t="s">
        <v>125</v>
      </c>
      <c r="AN653" t="s">
        <v>126</v>
      </c>
      <c r="AO653" t="s">
        <v>4585</v>
      </c>
      <c r="AP653" t="s">
        <v>4586</v>
      </c>
      <c r="AQ653" t="s">
        <v>74</v>
      </c>
      <c r="AR653" t="s">
        <v>4587</v>
      </c>
      <c r="AS653" t="s">
        <v>4588</v>
      </c>
      <c r="AT653" t="s">
        <v>10046</v>
      </c>
      <c r="AU653">
        <v>2016</v>
      </c>
      <c r="AV653">
        <v>61</v>
      </c>
      <c r="AW653">
        <v>2</v>
      </c>
      <c r="AX653" t="s">
        <v>74</v>
      </c>
      <c r="AY653" t="s">
        <v>74</v>
      </c>
      <c r="AZ653" t="s">
        <v>74</v>
      </c>
      <c r="BA653" t="s">
        <v>74</v>
      </c>
      <c r="BB653">
        <v>572</v>
      </c>
      <c r="BC653">
        <v>586</v>
      </c>
      <c r="BD653" t="s">
        <v>74</v>
      </c>
      <c r="BE653" t="s">
        <v>12634</v>
      </c>
      <c r="BF653" t="str">
        <f>HYPERLINK("http://dx.doi.org/10.1002/lno.10234","http://dx.doi.org/10.1002/lno.10234")</f>
        <v>http://dx.doi.org/10.1002/lno.10234</v>
      </c>
      <c r="BG653" t="s">
        <v>74</v>
      </c>
      <c r="BH653" t="s">
        <v>74</v>
      </c>
      <c r="BI653">
        <v>15</v>
      </c>
      <c r="BJ653" t="s">
        <v>2798</v>
      </c>
      <c r="BK653" t="s">
        <v>102</v>
      </c>
      <c r="BL653" t="s">
        <v>2738</v>
      </c>
      <c r="BM653" t="s">
        <v>12635</v>
      </c>
      <c r="BN653" t="s">
        <v>74</v>
      </c>
      <c r="BO653" t="s">
        <v>3370</v>
      </c>
      <c r="BP653" t="s">
        <v>74</v>
      </c>
      <c r="BQ653" t="s">
        <v>74</v>
      </c>
      <c r="BR653" t="s">
        <v>106</v>
      </c>
      <c r="BS653" t="s">
        <v>12636</v>
      </c>
      <c r="BT653" t="str">
        <f>HYPERLINK("https%3A%2F%2Fwww.webofscience.com%2Fwos%2Fwoscc%2Ffull-record%2FWOS:000372166500006","View Full Record in Web of Science")</f>
        <v>View Full Record in Web of Science</v>
      </c>
    </row>
    <row r="654" spans="1:72" x14ac:dyDescent="0.15">
      <c r="A654" t="s">
        <v>72</v>
      </c>
      <c r="B654" t="s">
        <v>9102</v>
      </c>
      <c r="C654" t="s">
        <v>74</v>
      </c>
      <c r="D654" t="s">
        <v>74</v>
      </c>
      <c r="E654" t="s">
        <v>74</v>
      </c>
      <c r="F654" t="s">
        <v>9103</v>
      </c>
      <c r="G654" t="s">
        <v>74</v>
      </c>
      <c r="H654" t="s">
        <v>74</v>
      </c>
      <c r="I654" t="s">
        <v>12637</v>
      </c>
      <c r="J654" t="s">
        <v>12638</v>
      </c>
      <c r="K654" t="s">
        <v>74</v>
      </c>
      <c r="L654" t="s">
        <v>74</v>
      </c>
      <c r="M654" t="s">
        <v>78</v>
      </c>
      <c r="N654" t="s">
        <v>79</v>
      </c>
      <c r="O654" t="s">
        <v>74</v>
      </c>
      <c r="P654" t="s">
        <v>74</v>
      </c>
      <c r="Q654" t="s">
        <v>74</v>
      </c>
      <c r="R654" t="s">
        <v>74</v>
      </c>
      <c r="S654" t="s">
        <v>74</v>
      </c>
      <c r="T654" t="s">
        <v>12639</v>
      </c>
      <c r="U654" t="s">
        <v>74</v>
      </c>
      <c r="V654" t="s">
        <v>12640</v>
      </c>
      <c r="W654" t="s">
        <v>12641</v>
      </c>
      <c r="X654" t="s">
        <v>9109</v>
      </c>
      <c r="Y654" t="s">
        <v>12642</v>
      </c>
      <c r="Z654" t="s">
        <v>12643</v>
      </c>
      <c r="AA654" t="s">
        <v>12644</v>
      </c>
      <c r="AB654" t="s">
        <v>12645</v>
      </c>
      <c r="AC654" t="s">
        <v>12646</v>
      </c>
      <c r="AD654" t="s">
        <v>12647</v>
      </c>
      <c r="AE654" t="s">
        <v>12648</v>
      </c>
      <c r="AF654" t="s">
        <v>74</v>
      </c>
      <c r="AG654">
        <v>79</v>
      </c>
      <c r="AH654">
        <v>13</v>
      </c>
      <c r="AI654">
        <v>14</v>
      </c>
      <c r="AJ654">
        <v>2</v>
      </c>
      <c r="AK654">
        <v>17</v>
      </c>
      <c r="AL654" t="s">
        <v>12649</v>
      </c>
      <c r="AM654" t="s">
        <v>12650</v>
      </c>
      <c r="AN654" t="s">
        <v>12651</v>
      </c>
      <c r="AO654" t="s">
        <v>12652</v>
      </c>
      <c r="AP654" t="s">
        <v>74</v>
      </c>
      <c r="AQ654" t="s">
        <v>74</v>
      </c>
      <c r="AR654" t="s">
        <v>12653</v>
      </c>
      <c r="AS654" t="s">
        <v>12654</v>
      </c>
      <c r="AT654" t="s">
        <v>10046</v>
      </c>
      <c r="AU654">
        <v>2016</v>
      </c>
      <c r="AV654">
        <v>7</v>
      </c>
      <c r="AW654">
        <v>1</v>
      </c>
      <c r="AX654" t="s">
        <v>74</v>
      </c>
      <c r="AY654" t="s">
        <v>74</v>
      </c>
      <c r="AZ654" t="s">
        <v>589</v>
      </c>
      <c r="BA654" t="s">
        <v>74</v>
      </c>
      <c r="BB654">
        <v>77</v>
      </c>
      <c r="BC654">
        <v>86</v>
      </c>
      <c r="BD654" t="s">
        <v>74</v>
      </c>
      <c r="BE654" t="s">
        <v>12655</v>
      </c>
      <c r="BF654" t="str">
        <f>HYPERLINK("http://dx.doi.org/10.3391/mbi.2016.7.1.10","http://dx.doi.org/10.3391/mbi.2016.7.1.10")</f>
        <v>http://dx.doi.org/10.3391/mbi.2016.7.1.10</v>
      </c>
      <c r="BG654" t="s">
        <v>74</v>
      </c>
      <c r="BH654" t="s">
        <v>74</v>
      </c>
      <c r="BI654">
        <v>10</v>
      </c>
      <c r="BJ654" t="s">
        <v>12656</v>
      </c>
      <c r="BK654" t="s">
        <v>102</v>
      </c>
      <c r="BL654" t="s">
        <v>12657</v>
      </c>
      <c r="BM654" t="s">
        <v>12658</v>
      </c>
      <c r="BN654" t="s">
        <v>74</v>
      </c>
      <c r="BO654" t="s">
        <v>2176</v>
      </c>
      <c r="BP654" t="s">
        <v>74</v>
      </c>
      <c r="BQ654" t="s">
        <v>74</v>
      </c>
      <c r="BR654" t="s">
        <v>106</v>
      </c>
      <c r="BS654" t="s">
        <v>12659</v>
      </c>
      <c r="BT654" t="str">
        <f>HYPERLINK("https%3A%2F%2Fwww.webofscience.com%2Fwos%2Fwoscc%2Ffull-record%2FWOS:000422636100010","View Full Record in Web of Science")</f>
        <v>View Full Record in Web of Science</v>
      </c>
    </row>
    <row r="655" spans="1:72" x14ac:dyDescent="0.15">
      <c r="A655" t="s">
        <v>72</v>
      </c>
      <c r="B655" t="s">
        <v>12660</v>
      </c>
      <c r="C655" t="s">
        <v>74</v>
      </c>
      <c r="D655" t="s">
        <v>74</v>
      </c>
      <c r="E655" t="s">
        <v>74</v>
      </c>
      <c r="F655" t="s">
        <v>12661</v>
      </c>
      <c r="G655" t="s">
        <v>74</v>
      </c>
      <c r="H655" t="s">
        <v>74</v>
      </c>
      <c r="I655" t="s">
        <v>12662</v>
      </c>
      <c r="J655" t="s">
        <v>547</v>
      </c>
      <c r="K655" t="s">
        <v>74</v>
      </c>
      <c r="L655" t="s">
        <v>74</v>
      </c>
      <c r="M655" t="s">
        <v>78</v>
      </c>
      <c r="N655" t="s">
        <v>79</v>
      </c>
      <c r="O655" t="s">
        <v>74</v>
      </c>
      <c r="P655" t="s">
        <v>74</v>
      </c>
      <c r="Q655" t="s">
        <v>74</v>
      </c>
      <c r="R655" t="s">
        <v>74</v>
      </c>
      <c r="S655" t="s">
        <v>74</v>
      </c>
      <c r="T655" t="s">
        <v>74</v>
      </c>
      <c r="U655" t="s">
        <v>12663</v>
      </c>
      <c r="V655" t="s">
        <v>12664</v>
      </c>
      <c r="W655" t="s">
        <v>12665</v>
      </c>
      <c r="X655" t="s">
        <v>12666</v>
      </c>
      <c r="Y655" t="s">
        <v>12667</v>
      </c>
      <c r="Z655" t="s">
        <v>12668</v>
      </c>
      <c r="AA655" t="s">
        <v>12669</v>
      </c>
      <c r="AB655" t="s">
        <v>12670</v>
      </c>
      <c r="AC655" t="s">
        <v>12671</v>
      </c>
      <c r="AD655" t="s">
        <v>12672</v>
      </c>
      <c r="AE655" t="s">
        <v>12673</v>
      </c>
      <c r="AF655" t="s">
        <v>74</v>
      </c>
      <c r="AG655">
        <v>65</v>
      </c>
      <c r="AH655">
        <v>12</v>
      </c>
      <c r="AI655">
        <v>13</v>
      </c>
      <c r="AJ655">
        <v>1</v>
      </c>
      <c r="AK655">
        <v>18</v>
      </c>
      <c r="AL655" t="s">
        <v>559</v>
      </c>
      <c r="AM655" t="s">
        <v>560</v>
      </c>
      <c r="AN655" t="s">
        <v>561</v>
      </c>
      <c r="AO655" t="s">
        <v>562</v>
      </c>
      <c r="AP655" t="s">
        <v>563</v>
      </c>
      <c r="AQ655" t="s">
        <v>74</v>
      </c>
      <c r="AR655" t="s">
        <v>564</v>
      </c>
      <c r="AS655" t="s">
        <v>565</v>
      </c>
      <c r="AT655" t="s">
        <v>10046</v>
      </c>
      <c r="AU655">
        <v>2016</v>
      </c>
      <c r="AV655">
        <v>163</v>
      </c>
      <c r="AW655">
        <v>3</v>
      </c>
      <c r="AX655" t="s">
        <v>74</v>
      </c>
      <c r="AY655" t="s">
        <v>74</v>
      </c>
      <c r="AZ655" t="s">
        <v>74</v>
      </c>
      <c r="BA655" t="s">
        <v>74</v>
      </c>
      <c r="BB655" t="s">
        <v>74</v>
      </c>
      <c r="BC655" t="s">
        <v>74</v>
      </c>
      <c r="BD655">
        <v>54</v>
      </c>
      <c r="BE655" t="s">
        <v>12674</v>
      </c>
      <c r="BF655" t="str">
        <f>HYPERLINK("http://dx.doi.org/10.1007/s00227-016-2831-0","http://dx.doi.org/10.1007/s00227-016-2831-0")</f>
        <v>http://dx.doi.org/10.1007/s00227-016-2831-0</v>
      </c>
      <c r="BG655" t="s">
        <v>74</v>
      </c>
      <c r="BH655" t="s">
        <v>74</v>
      </c>
      <c r="BI655">
        <v>11</v>
      </c>
      <c r="BJ655" t="s">
        <v>201</v>
      </c>
      <c r="BK655" t="s">
        <v>102</v>
      </c>
      <c r="BL655" t="s">
        <v>201</v>
      </c>
      <c r="BM655" t="s">
        <v>10942</v>
      </c>
      <c r="BN655" t="s">
        <v>74</v>
      </c>
      <c r="BO655" t="s">
        <v>74</v>
      </c>
      <c r="BP655" t="s">
        <v>74</v>
      </c>
      <c r="BQ655" t="s">
        <v>74</v>
      </c>
      <c r="BR655" t="s">
        <v>106</v>
      </c>
      <c r="BS655" t="s">
        <v>12675</v>
      </c>
      <c r="BT655" t="str">
        <f>HYPERLINK("https%3A%2F%2Fwww.webofscience.com%2Fwos%2Fwoscc%2Ffull-record%2FWOS:000372302600010","View Full Record in Web of Science")</f>
        <v>View Full Record in Web of Science</v>
      </c>
    </row>
    <row r="656" spans="1:72" x14ac:dyDescent="0.15">
      <c r="A656" t="s">
        <v>72</v>
      </c>
      <c r="B656" t="s">
        <v>12676</v>
      </c>
      <c r="C656" t="s">
        <v>74</v>
      </c>
      <c r="D656" t="s">
        <v>74</v>
      </c>
      <c r="E656" t="s">
        <v>74</v>
      </c>
      <c r="F656" t="s">
        <v>12677</v>
      </c>
      <c r="G656" t="s">
        <v>74</v>
      </c>
      <c r="H656" t="s">
        <v>74</v>
      </c>
      <c r="I656" t="s">
        <v>12678</v>
      </c>
      <c r="J656" t="s">
        <v>10456</v>
      </c>
      <c r="K656" t="s">
        <v>74</v>
      </c>
      <c r="L656" t="s">
        <v>74</v>
      </c>
      <c r="M656" t="s">
        <v>78</v>
      </c>
      <c r="N656" t="s">
        <v>79</v>
      </c>
      <c r="O656" t="s">
        <v>74</v>
      </c>
      <c r="P656" t="s">
        <v>74</v>
      </c>
      <c r="Q656" t="s">
        <v>74</v>
      </c>
      <c r="R656" t="s">
        <v>74</v>
      </c>
      <c r="S656" t="s">
        <v>74</v>
      </c>
      <c r="T656" t="s">
        <v>12679</v>
      </c>
      <c r="U656" t="s">
        <v>12680</v>
      </c>
      <c r="V656" t="s">
        <v>12681</v>
      </c>
      <c r="W656" t="s">
        <v>12682</v>
      </c>
      <c r="X656" t="s">
        <v>12683</v>
      </c>
      <c r="Y656" t="s">
        <v>12684</v>
      </c>
      <c r="Z656" t="s">
        <v>12685</v>
      </c>
      <c r="AA656" t="s">
        <v>12686</v>
      </c>
      <c r="AB656" t="s">
        <v>12687</v>
      </c>
      <c r="AC656" t="s">
        <v>12688</v>
      </c>
      <c r="AD656" t="s">
        <v>10269</v>
      </c>
      <c r="AE656" t="s">
        <v>12689</v>
      </c>
      <c r="AF656" t="s">
        <v>74</v>
      </c>
      <c r="AG656">
        <v>95</v>
      </c>
      <c r="AH656">
        <v>16</v>
      </c>
      <c r="AI656">
        <v>17</v>
      </c>
      <c r="AJ656">
        <v>0</v>
      </c>
      <c r="AK656">
        <v>21</v>
      </c>
      <c r="AL656" t="s">
        <v>194</v>
      </c>
      <c r="AM656" t="s">
        <v>195</v>
      </c>
      <c r="AN656" t="s">
        <v>196</v>
      </c>
      <c r="AO656" t="s">
        <v>10466</v>
      </c>
      <c r="AP656" t="s">
        <v>10467</v>
      </c>
      <c r="AQ656" t="s">
        <v>74</v>
      </c>
      <c r="AR656" t="s">
        <v>10468</v>
      </c>
      <c r="AS656" t="s">
        <v>10469</v>
      </c>
      <c r="AT656" t="s">
        <v>10046</v>
      </c>
      <c r="AU656">
        <v>2016</v>
      </c>
      <c r="AV656">
        <v>37</v>
      </c>
      <c r="AW656">
        <v>1</v>
      </c>
      <c r="AX656" t="s">
        <v>74</v>
      </c>
      <c r="AY656" t="s">
        <v>74</v>
      </c>
      <c r="AZ656" t="s">
        <v>74</v>
      </c>
      <c r="BA656" t="s">
        <v>74</v>
      </c>
      <c r="BB656">
        <v>49</v>
      </c>
      <c r="BC656">
        <v>70</v>
      </c>
      <c r="BD656" t="s">
        <v>74</v>
      </c>
      <c r="BE656" t="s">
        <v>12690</v>
      </c>
      <c r="BF656" t="str">
        <f>HYPERLINK("http://dx.doi.org/10.1007/s11001-015-9254-z","http://dx.doi.org/10.1007/s11001-015-9254-z")</f>
        <v>http://dx.doi.org/10.1007/s11001-015-9254-z</v>
      </c>
      <c r="BG656" t="s">
        <v>74</v>
      </c>
      <c r="BH656" t="s">
        <v>74</v>
      </c>
      <c r="BI656">
        <v>22</v>
      </c>
      <c r="BJ656" t="s">
        <v>10471</v>
      </c>
      <c r="BK656" t="s">
        <v>102</v>
      </c>
      <c r="BL656" t="s">
        <v>10471</v>
      </c>
      <c r="BM656" t="s">
        <v>10472</v>
      </c>
      <c r="BN656" t="s">
        <v>74</v>
      </c>
      <c r="BO656" t="s">
        <v>74</v>
      </c>
      <c r="BP656" t="s">
        <v>74</v>
      </c>
      <c r="BQ656" t="s">
        <v>74</v>
      </c>
      <c r="BR656" t="s">
        <v>106</v>
      </c>
      <c r="BS656" t="s">
        <v>12691</v>
      </c>
      <c r="BT656" t="str">
        <f>HYPERLINK("https%3A%2F%2Fwww.webofscience.com%2Fwos%2Fwoscc%2Ffull-record%2FWOS:000374247900004","View Full Record in Web of Science")</f>
        <v>View Full Record in Web of Science</v>
      </c>
    </row>
    <row r="657" spans="1:72" x14ac:dyDescent="0.15">
      <c r="A657" t="s">
        <v>72</v>
      </c>
      <c r="B657" t="s">
        <v>12692</v>
      </c>
      <c r="C657" t="s">
        <v>74</v>
      </c>
      <c r="D657" t="s">
        <v>74</v>
      </c>
      <c r="E657" t="s">
        <v>74</v>
      </c>
      <c r="F657" t="s">
        <v>12693</v>
      </c>
      <c r="G657" t="s">
        <v>74</v>
      </c>
      <c r="H657" t="s">
        <v>74</v>
      </c>
      <c r="I657" t="s">
        <v>12694</v>
      </c>
      <c r="J657" t="s">
        <v>2674</v>
      </c>
      <c r="K657" t="s">
        <v>74</v>
      </c>
      <c r="L657" t="s">
        <v>74</v>
      </c>
      <c r="M657" t="s">
        <v>78</v>
      </c>
      <c r="N657" t="s">
        <v>79</v>
      </c>
      <c r="O657" t="s">
        <v>74</v>
      </c>
      <c r="P657" t="s">
        <v>74</v>
      </c>
      <c r="Q657" t="s">
        <v>74</v>
      </c>
      <c r="R657" t="s">
        <v>74</v>
      </c>
      <c r="S657" t="s">
        <v>74</v>
      </c>
      <c r="T657" t="s">
        <v>12695</v>
      </c>
      <c r="U657" t="s">
        <v>12696</v>
      </c>
      <c r="V657" t="s">
        <v>12697</v>
      </c>
      <c r="W657" t="s">
        <v>12698</v>
      </c>
      <c r="X657" t="s">
        <v>12699</v>
      </c>
      <c r="Y657" t="s">
        <v>12700</v>
      </c>
      <c r="Z657" t="s">
        <v>12701</v>
      </c>
      <c r="AA657" t="s">
        <v>12702</v>
      </c>
      <c r="AB657" t="s">
        <v>12703</v>
      </c>
      <c r="AC657" t="s">
        <v>12704</v>
      </c>
      <c r="AD657" t="s">
        <v>12705</v>
      </c>
      <c r="AE657" t="s">
        <v>12706</v>
      </c>
      <c r="AF657" t="s">
        <v>74</v>
      </c>
      <c r="AG657">
        <v>149</v>
      </c>
      <c r="AH657">
        <v>18</v>
      </c>
      <c r="AI657">
        <v>19</v>
      </c>
      <c r="AJ657">
        <v>1</v>
      </c>
      <c r="AK657">
        <v>20</v>
      </c>
      <c r="AL657" t="s">
        <v>582</v>
      </c>
      <c r="AM657" t="s">
        <v>583</v>
      </c>
      <c r="AN657" t="s">
        <v>584</v>
      </c>
      <c r="AO657" t="s">
        <v>2686</v>
      </c>
      <c r="AP657" t="s">
        <v>2687</v>
      </c>
      <c r="AQ657" t="s">
        <v>74</v>
      </c>
      <c r="AR657" t="s">
        <v>2688</v>
      </c>
      <c r="AS657" t="s">
        <v>2689</v>
      </c>
      <c r="AT657" t="s">
        <v>10046</v>
      </c>
      <c r="AU657">
        <v>2016</v>
      </c>
      <c r="AV657">
        <v>123</v>
      </c>
      <c r="AW657" t="s">
        <v>74</v>
      </c>
      <c r="AX657" t="s">
        <v>74</v>
      </c>
      <c r="AY657" t="s">
        <v>74</v>
      </c>
      <c r="AZ657" t="s">
        <v>74</v>
      </c>
      <c r="BA657" t="s">
        <v>74</v>
      </c>
      <c r="BB657">
        <v>41</v>
      </c>
      <c r="BC657">
        <v>58</v>
      </c>
      <c r="BD657" t="s">
        <v>74</v>
      </c>
      <c r="BE657" t="s">
        <v>12707</v>
      </c>
      <c r="BF657" t="str">
        <f>HYPERLINK("http://dx.doi.org/10.1016/j.marmicro.2016.01.001","http://dx.doi.org/10.1016/j.marmicro.2016.01.001")</f>
        <v>http://dx.doi.org/10.1016/j.marmicro.2016.01.001</v>
      </c>
      <c r="BG657" t="s">
        <v>74</v>
      </c>
      <c r="BH657" t="s">
        <v>74</v>
      </c>
      <c r="BI657">
        <v>18</v>
      </c>
      <c r="BJ657" t="s">
        <v>2265</v>
      </c>
      <c r="BK657" t="s">
        <v>102</v>
      </c>
      <c r="BL657" t="s">
        <v>2265</v>
      </c>
      <c r="BM657" t="s">
        <v>12708</v>
      </c>
      <c r="BN657" t="s">
        <v>74</v>
      </c>
      <c r="BO657" t="s">
        <v>74</v>
      </c>
      <c r="BP657" t="s">
        <v>74</v>
      </c>
      <c r="BQ657" t="s">
        <v>74</v>
      </c>
      <c r="BR657" t="s">
        <v>106</v>
      </c>
      <c r="BS657" t="s">
        <v>12709</v>
      </c>
      <c r="BT657" t="str">
        <f>HYPERLINK("https%3A%2F%2Fwww.webofscience.com%2Fwos%2Fwoscc%2Ffull-record%2FWOS:000371552400004","View Full Record in Web of Science")</f>
        <v>View Full Record in Web of Science</v>
      </c>
    </row>
    <row r="658" spans="1:72" x14ac:dyDescent="0.15">
      <c r="A658" t="s">
        <v>72</v>
      </c>
      <c r="B658" t="s">
        <v>12710</v>
      </c>
      <c r="C658" t="s">
        <v>74</v>
      </c>
      <c r="D658" t="s">
        <v>74</v>
      </c>
      <c r="E658" t="s">
        <v>74</v>
      </c>
      <c r="F658" t="s">
        <v>12711</v>
      </c>
      <c r="G658" t="s">
        <v>74</v>
      </c>
      <c r="H658" t="s">
        <v>74</v>
      </c>
      <c r="I658" t="s">
        <v>12712</v>
      </c>
      <c r="J658" t="s">
        <v>667</v>
      </c>
      <c r="K658" t="s">
        <v>74</v>
      </c>
      <c r="L658" t="s">
        <v>74</v>
      </c>
      <c r="M658" t="s">
        <v>78</v>
      </c>
      <c r="N658" t="s">
        <v>79</v>
      </c>
      <c r="O658" t="s">
        <v>74</v>
      </c>
      <c r="P658" t="s">
        <v>74</v>
      </c>
      <c r="Q658" t="s">
        <v>74</v>
      </c>
      <c r="R658" t="s">
        <v>74</v>
      </c>
      <c r="S658" t="s">
        <v>74</v>
      </c>
      <c r="T658" t="s">
        <v>12713</v>
      </c>
      <c r="U658" t="s">
        <v>12714</v>
      </c>
      <c r="V658" t="s">
        <v>12715</v>
      </c>
      <c r="W658" t="s">
        <v>12716</v>
      </c>
      <c r="X658" t="s">
        <v>12717</v>
      </c>
      <c r="Y658" t="s">
        <v>12718</v>
      </c>
      <c r="Z658" t="s">
        <v>12719</v>
      </c>
      <c r="AA658" t="s">
        <v>12720</v>
      </c>
      <c r="AB658" t="s">
        <v>12721</v>
      </c>
      <c r="AC658" t="s">
        <v>12722</v>
      </c>
      <c r="AD658" t="s">
        <v>12722</v>
      </c>
      <c r="AE658" t="s">
        <v>12723</v>
      </c>
      <c r="AF658" t="s">
        <v>74</v>
      </c>
      <c r="AG658">
        <v>106</v>
      </c>
      <c r="AH658">
        <v>32</v>
      </c>
      <c r="AI658">
        <v>34</v>
      </c>
      <c r="AJ658">
        <v>0</v>
      </c>
      <c r="AK658">
        <v>31</v>
      </c>
      <c r="AL658" t="s">
        <v>678</v>
      </c>
      <c r="AM658" t="s">
        <v>679</v>
      </c>
      <c r="AN658" t="s">
        <v>680</v>
      </c>
      <c r="AO658" t="s">
        <v>681</v>
      </c>
      <c r="AP658" t="s">
        <v>682</v>
      </c>
      <c r="AQ658" t="s">
        <v>74</v>
      </c>
      <c r="AR658" t="s">
        <v>683</v>
      </c>
      <c r="AS658" t="s">
        <v>684</v>
      </c>
      <c r="AT658" t="s">
        <v>10046</v>
      </c>
      <c r="AU658">
        <v>2016</v>
      </c>
      <c r="AV658">
        <v>65</v>
      </c>
      <c r="AW658" t="s">
        <v>74</v>
      </c>
      <c r="AX658" t="s">
        <v>74</v>
      </c>
      <c r="AY658" t="s">
        <v>74</v>
      </c>
      <c r="AZ658" t="s">
        <v>74</v>
      </c>
      <c r="BA658" t="s">
        <v>74</v>
      </c>
      <c r="BB658">
        <v>56</v>
      </c>
      <c r="BC658">
        <v>67</v>
      </c>
      <c r="BD658" t="s">
        <v>74</v>
      </c>
      <c r="BE658" t="s">
        <v>12724</v>
      </c>
      <c r="BF658" t="str">
        <f>HYPERLINK("http://dx.doi.org/10.1016/j.marpol.2015.12.007","http://dx.doi.org/10.1016/j.marpol.2015.12.007")</f>
        <v>http://dx.doi.org/10.1016/j.marpol.2015.12.007</v>
      </c>
      <c r="BG658" t="s">
        <v>74</v>
      </c>
      <c r="BH658" t="s">
        <v>74</v>
      </c>
      <c r="BI658">
        <v>12</v>
      </c>
      <c r="BJ658" t="s">
        <v>686</v>
      </c>
      <c r="BK658" t="s">
        <v>687</v>
      </c>
      <c r="BL658" t="s">
        <v>688</v>
      </c>
      <c r="BM658" t="s">
        <v>12725</v>
      </c>
      <c r="BN658" t="s">
        <v>74</v>
      </c>
      <c r="BO658" t="s">
        <v>1800</v>
      </c>
      <c r="BP658" t="s">
        <v>74</v>
      </c>
      <c r="BQ658" t="s">
        <v>74</v>
      </c>
      <c r="BR658" t="s">
        <v>106</v>
      </c>
      <c r="BS658" t="s">
        <v>12726</v>
      </c>
      <c r="BT658" t="str">
        <f>HYPERLINK("https%3A%2F%2Fwww.webofscience.com%2Fwos%2Fwoscc%2Ffull-record%2FWOS:000370096200007","View Full Record in Web of Science")</f>
        <v>View Full Record in Web of Science</v>
      </c>
    </row>
    <row r="659" spans="1:72" x14ac:dyDescent="0.15">
      <c r="A659" t="s">
        <v>72</v>
      </c>
      <c r="B659" t="s">
        <v>12727</v>
      </c>
      <c r="C659" t="s">
        <v>74</v>
      </c>
      <c r="D659" t="s">
        <v>74</v>
      </c>
      <c r="E659" t="s">
        <v>74</v>
      </c>
      <c r="F659" t="s">
        <v>12728</v>
      </c>
      <c r="G659" t="s">
        <v>74</v>
      </c>
      <c r="H659" t="s">
        <v>74</v>
      </c>
      <c r="I659" t="s">
        <v>12729</v>
      </c>
      <c r="J659" t="s">
        <v>12730</v>
      </c>
      <c r="K659" t="s">
        <v>74</v>
      </c>
      <c r="L659" t="s">
        <v>74</v>
      </c>
      <c r="M659" t="s">
        <v>78</v>
      </c>
      <c r="N659" t="s">
        <v>79</v>
      </c>
      <c r="O659" t="s">
        <v>74</v>
      </c>
      <c r="P659" t="s">
        <v>74</v>
      </c>
      <c r="Q659" t="s">
        <v>74</v>
      </c>
      <c r="R659" t="s">
        <v>74</v>
      </c>
      <c r="S659" t="s">
        <v>74</v>
      </c>
      <c r="T659" t="s">
        <v>74</v>
      </c>
      <c r="U659" t="s">
        <v>12731</v>
      </c>
      <c r="V659" t="s">
        <v>12732</v>
      </c>
      <c r="W659" t="s">
        <v>12733</v>
      </c>
      <c r="X659" t="s">
        <v>12734</v>
      </c>
      <c r="Y659" t="s">
        <v>12735</v>
      </c>
      <c r="Z659" t="s">
        <v>12736</v>
      </c>
      <c r="AA659" t="s">
        <v>12737</v>
      </c>
      <c r="AB659" t="s">
        <v>12738</v>
      </c>
      <c r="AC659" t="s">
        <v>12739</v>
      </c>
      <c r="AD659" t="s">
        <v>12740</v>
      </c>
      <c r="AE659" t="s">
        <v>12741</v>
      </c>
      <c r="AF659" t="s">
        <v>74</v>
      </c>
      <c r="AG659">
        <v>49</v>
      </c>
      <c r="AH659">
        <v>10</v>
      </c>
      <c r="AI659">
        <v>13</v>
      </c>
      <c r="AJ659">
        <v>0</v>
      </c>
      <c r="AK659">
        <v>20</v>
      </c>
      <c r="AL659" t="s">
        <v>124</v>
      </c>
      <c r="AM659" t="s">
        <v>125</v>
      </c>
      <c r="AN659" t="s">
        <v>126</v>
      </c>
      <c r="AO659" t="s">
        <v>12742</v>
      </c>
      <c r="AP659" t="s">
        <v>74</v>
      </c>
      <c r="AQ659" t="s">
        <v>74</v>
      </c>
      <c r="AR659" t="s">
        <v>12743</v>
      </c>
      <c r="AS659" t="s">
        <v>12744</v>
      </c>
      <c r="AT659" t="s">
        <v>10046</v>
      </c>
      <c r="AU659">
        <v>2016</v>
      </c>
      <c r="AV659">
        <v>9</v>
      </c>
      <c r="AW659">
        <v>2</v>
      </c>
      <c r="AX659" t="s">
        <v>74</v>
      </c>
      <c r="AY659" t="s">
        <v>74</v>
      </c>
      <c r="AZ659" t="s">
        <v>74</v>
      </c>
      <c r="BA659" t="s">
        <v>74</v>
      </c>
      <c r="BB659">
        <v>245</v>
      </c>
      <c r="BC659">
        <v>256</v>
      </c>
      <c r="BD659" t="s">
        <v>74</v>
      </c>
      <c r="BE659" t="s">
        <v>12745</v>
      </c>
      <c r="BF659" t="str">
        <f>HYPERLINK("http://dx.doi.org/10.1111/1751-7915.12343","http://dx.doi.org/10.1111/1751-7915.12343")</f>
        <v>http://dx.doi.org/10.1111/1751-7915.12343</v>
      </c>
      <c r="BG659" t="s">
        <v>74</v>
      </c>
      <c r="BH659" t="s">
        <v>74</v>
      </c>
      <c r="BI659">
        <v>12</v>
      </c>
      <c r="BJ659" t="s">
        <v>10663</v>
      </c>
      <c r="BK659" t="s">
        <v>102</v>
      </c>
      <c r="BL659" t="s">
        <v>10663</v>
      </c>
      <c r="BM659" t="s">
        <v>12746</v>
      </c>
      <c r="BN659">
        <v>26834075</v>
      </c>
      <c r="BO659" t="s">
        <v>1684</v>
      </c>
      <c r="BP659" t="s">
        <v>74</v>
      </c>
      <c r="BQ659" t="s">
        <v>74</v>
      </c>
      <c r="BR659" t="s">
        <v>106</v>
      </c>
      <c r="BS659" t="s">
        <v>12747</v>
      </c>
      <c r="BT659" t="str">
        <f>HYPERLINK("https%3A%2F%2Fwww.webofscience.com%2Fwos%2Fwoscc%2Ffull-record%2FWOS:000371234500010","View Full Record in Web of Science")</f>
        <v>View Full Record in Web of Science</v>
      </c>
    </row>
    <row r="660" spans="1:72" x14ac:dyDescent="0.15">
      <c r="A660" t="s">
        <v>72</v>
      </c>
      <c r="B660" t="s">
        <v>12748</v>
      </c>
      <c r="C660" t="s">
        <v>74</v>
      </c>
      <c r="D660" t="s">
        <v>74</v>
      </c>
      <c r="E660" t="s">
        <v>74</v>
      </c>
      <c r="F660" t="s">
        <v>12749</v>
      </c>
      <c r="G660" t="s">
        <v>74</v>
      </c>
      <c r="H660" t="s">
        <v>74</v>
      </c>
      <c r="I660" t="s">
        <v>12750</v>
      </c>
      <c r="J660" t="s">
        <v>12751</v>
      </c>
      <c r="K660" t="s">
        <v>74</v>
      </c>
      <c r="L660" t="s">
        <v>74</v>
      </c>
      <c r="M660" t="s">
        <v>78</v>
      </c>
      <c r="N660" t="s">
        <v>79</v>
      </c>
      <c r="O660" t="s">
        <v>74</v>
      </c>
      <c r="P660" t="s">
        <v>74</v>
      </c>
      <c r="Q660" t="s">
        <v>74</v>
      </c>
      <c r="R660" t="s">
        <v>74</v>
      </c>
      <c r="S660" t="s">
        <v>74</v>
      </c>
      <c r="T660" t="s">
        <v>12752</v>
      </c>
      <c r="U660" t="s">
        <v>12753</v>
      </c>
      <c r="V660" t="s">
        <v>12754</v>
      </c>
      <c r="W660" t="s">
        <v>12755</v>
      </c>
      <c r="X660" t="s">
        <v>12756</v>
      </c>
      <c r="Y660" t="s">
        <v>12757</v>
      </c>
      <c r="Z660" t="s">
        <v>12758</v>
      </c>
      <c r="AA660" t="s">
        <v>12759</v>
      </c>
      <c r="AB660" t="s">
        <v>12760</v>
      </c>
      <c r="AC660" t="s">
        <v>12761</v>
      </c>
      <c r="AD660" t="s">
        <v>12762</v>
      </c>
      <c r="AE660" t="s">
        <v>12763</v>
      </c>
      <c r="AF660" t="s">
        <v>74</v>
      </c>
      <c r="AG660">
        <v>88</v>
      </c>
      <c r="AH660">
        <v>13</v>
      </c>
      <c r="AI660">
        <v>14</v>
      </c>
      <c r="AJ660">
        <v>2</v>
      </c>
      <c r="AK660">
        <v>20</v>
      </c>
      <c r="AL660" t="s">
        <v>2577</v>
      </c>
      <c r="AM660" t="s">
        <v>2578</v>
      </c>
      <c r="AN660" t="s">
        <v>2579</v>
      </c>
      <c r="AO660" t="s">
        <v>74</v>
      </c>
      <c r="AP660" t="s">
        <v>12764</v>
      </c>
      <c r="AQ660" t="s">
        <v>74</v>
      </c>
      <c r="AR660" t="s">
        <v>12751</v>
      </c>
      <c r="AS660" t="s">
        <v>12765</v>
      </c>
      <c r="AT660" t="s">
        <v>10046</v>
      </c>
      <c r="AU660">
        <v>2016</v>
      </c>
      <c r="AV660">
        <v>4</v>
      </c>
      <c r="AW660">
        <v>1</v>
      </c>
      <c r="AX660" t="s">
        <v>74</v>
      </c>
      <c r="AY660" t="s">
        <v>74</v>
      </c>
      <c r="AZ660" t="s">
        <v>74</v>
      </c>
      <c r="BA660" t="s">
        <v>74</v>
      </c>
      <c r="BB660" t="s">
        <v>74</v>
      </c>
      <c r="BC660" t="s">
        <v>74</v>
      </c>
      <c r="BD660">
        <v>8</v>
      </c>
      <c r="BE660" t="s">
        <v>12766</v>
      </c>
      <c r="BF660" t="str">
        <f>HYPERLINK("http://dx.doi.org/10.3390/microorganisms4010008","http://dx.doi.org/10.3390/microorganisms4010008")</f>
        <v>http://dx.doi.org/10.3390/microorganisms4010008</v>
      </c>
      <c r="BG660" t="s">
        <v>74</v>
      </c>
      <c r="BH660" t="s">
        <v>74</v>
      </c>
      <c r="BI660">
        <v>18</v>
      </c>
      <c r="BJ660" t="s">
        <v>2538</v>
      </c>
      <c r="BK660" t="s">
        <v>102</v>
      </c>
      <c r="BL660" t="s">
        <v>2538</v>
      </c>
      <c r="BM660" t="s">
        <v>12767</v>
      </c>
      <c r="BN660">
        <v>27681902</v>
      </c>
      <c r="BO660" t="s">
        <v>12768</v>
      </c>
      <c r="BP660" t="s">
        <v>74</v>
      </c>
      <c r="BQ660" t="s">
        <v>74</v>
      </c>
      <c r="BR660" t="s">
        <v>106</v>
      </c>
      <c r="BS660" t="s">
        <v>12769</v>
      </c>
      <c r="BT660" t="str">
        <f>HYPERLINK("https%3A%2F%2Fwww.webofscience.com%2Fwos%2Fwoscc%2Ffull-record%2FWOS:000443610300008","View Full Record in Web of Science")</f>
        <v>View Full Record in Web of Science</v>
      </c>
    </row>
    <row r="661" spans="1:72" x14ac:dyDescent="0.15">
      <c r="A661" t="s">
        <v>72</v>
      </c>
      <c r="B661" t="s">
        <v>12770</v>
      </c>
      <c r="C661" t="s">
        <v>74</v>
      </c>
      <c r="D661" t="s">
        <v>74</v>
      </c>
      <c r="E661" t="s">
        <v>74</v>
      </c>
      <c r="F661" t="s">
        <v>12771</v>
      </c>
      <c r="G661" t="s">
        <v>74</v>
      </c>
      <c r="H661" t="s">
        <v>74</v>
      </c>
      <c r="I661" t="s">
        <v>12772</v>
      </c>
      <c r="J661" t="s">
        <v>12773</v>
      </c>
      <c r="K661" t="s">
        <v>74</v>
      </c>
      <c r="L661" t="s">
        <v>74</v>
      </c>
      <c r="M661" t="s">
        <v>78</v>
      </c>
      <c r="N661" t="s">
        <v>79</v>
      </c>
      <c r="O661" t="s">
        <v>74</v>
      </c>
      <c r="P661" t="s">
        <v>74</v>
      </c>
      <c r="Q661" t="s">
        <v>74</v>
      </c>
      <c r="R661" t="s">
        <v>74</v>
      </c>
      <c r="S661" t="s">
        <v>74</v>
      </c>
      <c r="T661" t="s">
        <v>12774</v>
      </c>
      <c r="U661" t="s">
        <v>12775</v>
      </c>
      <c r="V661" t="s">
        <v>12776</v>
      </c>
      <c r="W661" t="s">
        <v>12777</v>
      </c>
      <c r="X661" t="s">
        <v>12778</v>
      </c>
      <c r="Y661" t="s">
        <v>12779</v>
      </c>
      <c r="Z661" t="s">
        <v>12780</v>
      </c>
      <c r="AA661" t="s">
        <v>12781</v>
      </c>
      <c r="AB661" t="s">
        <v>12782</v>
      </c>
      <c r="AC661" t="s">
        <v>12783</v>
      </c>
      <c r="AD661" t="s">
        <v>12784</v>
      </c>
      <c r="AE661" t="s">
        <v>12785</v>
      </c>
      <c r="AF661" t="s">
        <v>74</v>
      </c>
      <c r="AG661">
        <v>95</v>
      </c>
      <c r="AH661">
        <v>21</v>
      </c>
      <c r="AI661">
        <v>23</v>
      </c>
      <c r="AJ661">
        <v>0</v>
      </c>
      <c r="AK661">
        <v>71</v>
      </c>
      <c r="AL661" t="s">
        <v>124</v>
      </c>
      <c r="AM661" t="s">
        <v>125</v>
      </c>
      <c r="AN661" t="s">
        <v>126</v>
      </c>
      <c r="AO661" t="s">
        <v>12786</v>
      </c>
      <c r="AP661" t="s">
        <v>12787</v>
      </c>
      <c r="AQ661" t="s">
        <v>74</v>
      </c>
      <c r="AR661" t="s">
        <v>12788</v>
      </c>
      <c r="AS661" t="s">
        <v>12789</v>
      </c>
      <c r="AT661" t="s">
        <v>10046</v>
      </c>
      <c r="AU661">
        <v>2016</v>
      </c>
      <c r="AV661">
        <v>25</v>
      </c>
      <c r="AW661">
        <v>5</v>
      </c>
      <c r="AX661" t="s">
        <v>74</v>
      </c>
      <c r="AY661" t="s">
        <v>74</v>
      </c>
      <c r="AZ661" t="s">
        <v>74</v>
      </c>
      <c r="BA661" t="s">
        <v>74</v>
      </c>
      <c r="BB661">
        <v>1073</v>
      </c>
      <c r="BC661">
        <v>1088</v>
      </c>
      <c r="BD661" t="s">
        <v>74</v>
      </c>
      <c r="BE661" t="s">
        <v>12790</v>
      </c>
      <c r="BF661" t="str">
        <f>HYPERLINK("http://dx.doi.org/10.1111/mec.13541","http://dx.doi.org/10.1111/mec.13541")</f>
        <v>http://dx.doi.org/10.1111/mec.13541</v>
      </c>
      <c r="BG661" t="s">
        <v>74</v>
      </c>
      <c r="BH661" t="s">
        <v>74</v>
      </c>
      <c r="BI661">
        <v>16</v>
      </c>
      <c r="BJ661" t="s">
        <v>4652</v>
      </c>
      <c r="BK661" t="s">
        <v>102</v>
      </c>
      <c r="BL661" t="s">
        <v>4653</v>
      </c>
      <c r="BM661" t="s">
        <v>12791</v>
      </c>
      <c r="BN661">
        <v>26919308</v>
      </c>
      <c r="BO661" t="s">
        <v>1045</v>
      </c>
      <c r="BP661" t="s">
        <v>74</v>
      </c>
      <c r="BQ661" t="s">
        <v>74</v>
      </c>
      <c r="BR661" t="s">
        <v>106</v>
      </c>
      <c r="BS661" t="s">
        <v>12792</v>
      </c>
      <c r="BT661" t="str">
        <f>HYPERLINK("https%3A%2F%2Fwww.webofscience.com%2Fwos%2Fwoscc%2Ffull-record%2FWOS:000371433400005","View Full Record in Web of Science")</f>
        <v>View Full Record in Web of Science</v>
      </c>
    </row>
    <row r="662" spans="1:72" x14ac:dyDescent="0.15">
      <c r="A662" t="s">
        <v>72</v>
      </c>
      <c r="B662" t="s">
        <v>12793</v>
      </c>
      <c r="C662" t="s">
        <v>74</v>
      </c>
      <c r="D662" t="s">
        <v>74</v>
      </c>
      <c r="E662" t="s">
        <v>74</v>
      </c>
      <c r="F662" t="s">
        <v>12794</v>
      </c>
      <c r="G662" t="s">
        <v>74</v>
      </c>
      <c r="H662" t="s">
        <v>74</v>
      </c>
      <c r="I662" t="s">
        <v>12795</v>
      </c>
      <c r="J662" t="s">
        <v>734</v>
      </c>
      <c r="K662" t="s">
        <v>74</v>
      </c>
      <c r="L662" t="s">
        <v>74</v>
      </c>
      <c r="M662" t="s">
        <v>78</v>
      </c>
      <c r="N662" t="s">
        <v>79</v>
      </c>
      <c r="O662" t="s">
        <v>74</v>
      </c>
      <c r="P662" t="s">
        <v>74</v>
      </c>
      <c r="Q662" t="s">
        <v>74</v>
      </c>
      <c r="R662" t="s">
        <v>74</v>
      </c>
      <c r="S662" t="s">
        <v>74</v>
      </c>
      <c r="T662" t="s">
        <v>74</v>
      </c>
      <c r="U662" t="s">
        <v>12796</v>
      </c>
      <c r="V662" t="s">
        <v>12797</v>
      </c>
      <c r="W662" t="s">
        <v>12798</v>
      </c>
      <c r="X662" t="s">
        <v>12799</v>
      </c>
      <c r="Y662" t="s">
        <v>12800</v>
      </c>
      <c r="Z662" t="s">
        <v>12801</v>
      </c>
      <c r="AA662" t="s">
        <v>12802</v>
      </c>
      <c r="AB662" t="s">
        <v>12803</v>
      </c>
      <c r="AC662" t="s">
        <v>12804</v>
      </c>
      <c r="AD662" t="s">
        <v>12805</v>
      </c>
      <c r="AE662" t="s">
        <v>12806</v>
      </c>
      <c r="AF662" t="s">
        <v>74</v>
      </c>
      <c r="AG662">
        <v>69</v>
      </c>
      <c r="AH662">
        <v>89</v>
      </c>
      <c r="AI662">
        <v>103</v>
      </c>
      <c r="AJ662">
        <v>2</v>
      </c>
      <c r="AK662">
        <v>65</v>
      </c>
      <c r="AL662" t="s">
        <v>772</v>
      </c>
      <c r="AM662" t="s">
        <v>773</v>
      </c>
      <c r="AN662" t="s">
        <v>774</v>
      </c>
      <c r="AO662" t="s">
        <v>749</v>
      </c>
      <c r="AP662" t="s">
        <v>74</v>
      </c>
      <c r="AQ662" t="s">
        <v>74</v>
      </c>
      <c r="AR662" t="s">
        <v>750</v>
      </c>
      <c r="AS662" t="s">
        <v>751</v>
      </c>
      <c r="AT662" t="s">
        <v>10046</v>
      </c>
      <c r="AU662">
        <v>2016</v>
      </c>
      <c r="AV662">
        <v>7</v>
      </c>
      <c r="AW662" t="s">
        <v>74</v>
      </c>
      <c r="AX662" t="s">
        <v>74</v>
      </c>
      <c r="AY662" t="s">
        <v>74</v>
      </c>
      <c r="AZ662" t="s">
        <v>74</v>
      </c>
      <c r="BA662" t="s">
        <v>74</v>
      </c>
      <c r="BB662" t="s">
        <v>74</v>
      </c>
      <c r="BC662" t="s">
        <v>74</v>
      </c>
      <c r="BD662">
        <v>11146</v>
      </c>
      <c r="BE662" t="s">
        <v>12807</v>
      </c>
      <c r="BF662" t="str">
        <f>HYPERLINK("http://dx.doi.org/10.1038/ncomms11146","http://dx.doi.org/10.1038/ncomms11146")</f>
        <v>http://dx.doi.org/10.1038/ncomms11146</v>
      </c>
      <c r="BG662" t="s">
        <v>74</v>
      </c>
      <c r="BH662" t="s">
        <v>74</v>
      </c>
      <c r="BI662">
        <v>8</v>
      </c>
      <c r="BJ662" t="s">
        <v>753</v>
      </c>
      <c r="BK662" t="s">
        <v>102</v>
      </c>
      <c r="BL662" t="s">
        <v>754</v>
      </c>
      <c r="BM662" t="s">
        <v>12808</v>
      </c>
      <c r="BN662">
        <v>27029225</v>
      </c>
      <c r="BO662" t="s">
        <v>8448</v>
      </c>
      <c r="BP662" t="s">
        <v>74</v>
      </c>
      <c r="BQ662" t="s">
        <v>74</v>
      </c>
      <c r="BR662" t="s">
        <v>106</v>
      </c>
      <c r="BS662" t="s">
        <v>12809</v>
      </c>
      <c r="BT662" t="str">
        <f>HYPERLINK("https%3A%2F%2Fwww.webofscience.com%2Fwos%2Fwoscc%2Ffull-record%2FWOS:000373293500001","View Full Record in Web of Science")</f>
        <v>View Full Record in Web of Science</v>
      </c>
    </row>
    <row r="663" spans="1:72" x14ac:dyDescent="0.15">
      <c r="A663" t="s">
        <v>72</v>
      </c>
      <c r="B663" t="s">
        <v>12810</v>
      </c>
      <c r="C663" t="s">
        <v>74</v>
      </c>
      <c r="D663" t="s">
        <v>74</v>
      </c>
      <c r="E663" t="s">
        <v>74</v>
      </c>
      <c r="F663" t="s">
        <v>12811</v>
      </c>
      <c r="G663" t="s">
        <v>74</v>
      </c>
      <c r="H663" t="s">
        <v>74</v>
      </c>
      <c r="I663" t="s">
        <v>12812</v>
      </c>
      <c r="J663" t="s">
        <v>7451</v>
      </c>
      <c r="K663" t="s">
        <v>74</v>
      </c>
      <c r="L663" t="s">
        <v>74</v>
      </c>
      <c r="M663" t="s">
        <v>78</v>
      </c>
      <c r="N663" t="s">
        <v>949</v>
      </c>
      <c r="O663" t="s">
        <v>74</v>
      </c>
      <c r="P663" t="s">
        <v>74</v>
      </c>
      <c r="Q663" t="s">
        <v>74</v>
      </c>
      <c r="R663" t="s">
        <v>74</v>
      </c>
      <c r="S663" t="s">
        <v>74</v>
      </c>
      <c r="T663" t="s">
        <v>12813</v>
      </c>
      <c r="U663" t="s">
        <v>12814</v>
      </c>
      <c r="V663" t="s">
        <v>12815</v>
      </c>
      <c r="W663" t="s">
        <v>12816</v>
      </c>
      <c r="X663" t="s">
        <v>12817</v>
      </c>
      <c r="Y663" t="s">
        <v>12818</v>
      </c>
      <c r="Z663" t="s">
        <v>12819</v>
      </c>
      <c r="AA663" t="s">
        <v>12820</v>
      </c>
      <c r="AB663" t="s">
        <v>12821</v>
      </c>
      <c r="AC663" t="s">
        <v>74</v>
      </c>
      <c r="AD663" t="s">
        <v>74</v>
      </c>
      <c r="AE663" t="s">
        <v>74</v>
      </c>
      <c r="AF663" t="s">
        <v>74</v>
      </c>
      <c r="AG663">
        <v>68</v>
      </c>
      <c r="AH663">
        <v>53</v>
      </c>
      <c r="AI663">
        <v>57</v>
      </c>
      <c r="AJ663">
        <v>2</v>
      </c>
      <c r="AK663">
        <v>41</v>
      </c>
      <c r="AL663" t="s">
        <v>678</v>
      </c>
      <c r="AM663" t="s">
        <v>679</v>
      </c>
      <c r="AN663" t="s">
        <v>680</v>
      </c>
      <c r="AO663" t="s">
        <v>7463</v>
      </c>
      <c r="AP663" t="s">
        <v>7464</v>
      </c>
      <c r="AQ663" t="s">
        <v>74</v>
      </c>
      <c r="AR663" t="s">
        <v>7465</v>
      </c>
      <c r="AS663" t="s">
        <v>7466</v>
      </c>
      <c r="AT663" t="s">
        <v>10046</v>
      </c>
      <c r="AU663">
        <v>2016</v>
      </c>
      <c r="AV663">
        <v>121</v>
      </c>
      <c r="AW663" t="s">
        <v>74</v>
      </c>
      <c r="AX663" t="s">
        <v>74</v>
      </c>
      <c r="AY663" t="s">
        <v>74</v>
      </c>
      <c r="AZ663" t="s">
        <v>74</v>
      </c>
      <c r="BA663" t="s">
        <v>74</v>
      </c>
      <c r="BB663">
        <v>116</v>
      </c>
      <c r="BC663">
        <v>127</v>
      </c>
      <c r="BD663" t="s">
        <v>74</v>
      </c>
      <c r="BE663" t="s">
        <v>12822</v>
      </c>
      <c r="BF663" t="str">
        <f>HYPERLINK("http://dx.doi.org/10.1016/j.ocecoaman.2015.11.021","http://dx.doi.org/10.1016/j.ocecoaman.2015.11.021")</f>
        <v>http://dx.doi.org/10.1016/j.ocecoaman.2015.11.021</v>
      </c>
      <c r="BG663" t="s">
        <v>74</v>
      </c>
      <c r="BH663" t="s">
        <v>74</v>
      </c>
      <c r="BI663">
        <v>12</v>
      </c>
      <c r="BJ663" t="s">
        <v>7468</v>
      </c>
      <c r="BK663" t="s">
        <v>102</v>
      </c>
      <c r="BL663" t="s">
        <v>7468</v>
      </c>
      <c r="BM663" t="s">
        <v>12823</v>
      </c>
      <c r="BN663" t="s">
        <v>74</v>
      </c>
      <c r="BO663" t="s">
        <v>1800</v>
      </c>
      <c r="BP663" t="s">
        <v>74</v>
      </c>
      <c r="BQ663" t="s">
        <v>74</v>
      </c>
      <c r="BR663" t="s">
        <v>106</v>
      </c>
      <c r="BS663" t="s">
        <v>12824</v>
      </c>
      <c r="BT663" t="str">
        <f>HYPERLINK("https%3A%2F%2Fwww.webofscience.com%2Fwos%2Fwoscc%2Ffull-record%2FWOS:000370100900010","View Full Record in Web of Science")</f>
        <v>View Full Record in Web of Science</v>
      </c>
    </row>
    <row r="664" spans="1:72" x14ac:dyDescent="0.15">
      <c r="A664" t="s">
        <v>72</v>
      </c>
      <c r="B664" t="s">
        <v>12825</v>
      </c>
      <c r="C664" t="s">
        <v>74</v>
      </c>
      <c r="D664" t="s">
        <v>74</v>
      </c>
      <c r="E664" t="s">
        <v>74</v>
      </c>
      <c r="F664" t="s">
        <v>12826</v>
      </c>
      <c r="G664" t="s">
        <v>74</v>
      </c>
      <c r="H664" t="s">
        <v>74</v>
      </c>
      <c r="I664" t="s">
        <v>12827</v>
      </c>
      <c r="J664" t="s">
        <v>823</v>
      </c>
      <c r="K664" t="s">
        <v>74</v>
      </c>
      <c r="L664" t="s">
        <v>74</v>
      </c>
      <c r="M664" t="s">
        <v>78</v>
      </c>
      <c r="N664" t="s">
        <v>79</v>
      </c>
      <c r="O664" t="s">
        <v>74</v>
      </c>
      <c r="P664" t="s">
        <v>74</v>
      </c>
      <c r="Q664" t="s">
        <v>74</v>
      </c>
      <c r="R664" t="s">
        <v>74</v>
      </c>
      <c r="S664" t="s">
        <v>74</v>
      </c>
      <c r="T664" t="s">
        <v>12828</v>
      </c>
      <c r="U664" t="s">
        <v>12829</v>
      </c>
      <c r="V664" t="s">
        <v>12830</v>
      </c>
      <c r="W664" t="s">
        <v>12831</v>
      </c>
      <c r="X664" t="s">
        <v>12832</v>
      </c>
      <c r="Y664" t="s">
        <v>12833</v>
      </c>
      <c r="Z664" t="s">
        <v>12834</v>
      </c>
      <c r="AA664" t="s">
        <v>12835</v>
      </c>
      <c r="AB664" t="s">
        <v>12836</v>
      </c>
      <c r="AC664" t="s">
        <v>11982</v>
      </c>
      <c r="AD664" t="s">
        <v>11983</v>
      </c>
      <c r="AE664" t="s">
        <v>12837</v>
      </c>
      <c r="AF664" t="s">
        <v>74</v>
      </c>
      <c r="AG664">
        <v>104</v>
      </c>
      <c r="AH664">
        <v>79</v>
      </c>
      <c r="AI664">
        <v>88</v>
      </c>
      <c r="AJ664">
        <v>1</v>
      </c>
      <c r="AK664">
        <v>56</v>
      </c>
      <c r="AL664" t="s">
        <v>92</v>
      </c>
      <c r="AM664" t="s">
        <v>93</v>
      </c>
      <c r="AN664" t="s">
        <v>94</v>
      </c>
      <c r="AO664" t="s">
        <v>835</v>
      </c>
      <c r="AP664" t="s">
        <v>836</v>
      </c>
      <c r="AQ664" t="s">
        <v>74</v>
      </c>
      <c r="AR664" t="s">
        <v>823</v>
      </c>
      <c r="AS664" t="s">
        <v>837</v>
      </c>
      <c r="AT664" t="s">
        <v>10046</v>
      </c>
      <c r="AU664">
        <v>2016</v>
      </c>
      <c r="AV664">
        <v>31</v>
      </c>
      <c r="AW664">
        <v>3</v>
      </c>
      <c r="AX664" t="s">
        <v>74</v>
      </c>
      <c r="AY664" t="s">
        <v>74</v>
      </c>
      <c r="AZ664" t="s">
        <v>74</v>
      </c>
      <c r="BA664" t="s">
        <v>74</v>
      </c>
      <c r="BB664">
        <v>434</v>
      </c>
      <c r="BC664">
        <v>452</v>
      </c>
      <c r="BD664" t="s">
        <v>74</v>
      </c>
      <c r="BE664" t="s">
        <v>12838</v>
      </c>
      <c r="BF664" t="str">
        <f>HYPERLINK("http://dx.doi.org/10.1002/2015PA002874","http://dx.doi.org/10.1002/2015PA002874")</f>
        <v>http://dx.doi.org/10.1002/2015PA002874</v>
      </c>
      <c r="BG664" t="s">
        <v>74</v>
      </c>
      <c r="BH664" t="s">
        <v>74</v>
      </c>
      <c r="BI664">
        <v>19</v>
      </c>
      <c r="BJ664" t="s">
        <v>839</v>
      </c>
      <c r="BK664" t="s">
        <v>102</v>
      </c>
      <c r="BL664" t="s">
        <v>840</v>
      </c>
      <c r="BM664" t="s">
        <v>10430</v>
      </c>
      <c r="BN664" t="s">
        <v>74</v>
      </c>
      <c r="BO664" t="s">
        <v>842</v>
      </c>
      <c r="BP664" t="s">
        <v>74</v>
      </c>
      <c r="BQ664" t="s">
        <v>74</v>
      </c>
      <c r="BR664" t="s">
        <v>106</v>
      </c>
      <c r="BS664" t="s">
        <v>12839</v>
      </c>
      <c r="BT664" t="str">
        <f>HYPERLINK("https%3A%2F%2Fwww.webofscience.com%2Fwos%2Fwoscc%2Ffull-record%2FWOS:000374344000006","View Full Record in Web of Science")</f>
        <v>View Full Record in Web of Science</v>
      </c>
    </row>
    <row r="665" spans="1:72" x14ac:dyDescent="0.15">
      <c r="A665" t="s">
        <v>72</v>
      </c>
      <c r="B665" t="s">
        <v>12840</v>
      </c>
      <c r="C665" t="s">
        <v>74</v>
      </c>
      <c r="D665" t="s">
        <v>74</v>
      </c>
      <c r="E665" t="s">
        <v>74</v>
      </c>
      <c r="F665" t="s">
        <v>12841</v>
      </c>
      <c r="G665" t="s">
        <v>74</v>
      </c>
      <c r="H665" t="s">
        <v>74</v>
      </c>
      <c r="I665" t="s">
        <v>12842</v>
      </c>
      <c r="J665" t="s">
        <v>12843</v>
      </c>
      <c r="K665" t="s">
        <v>74</v>
      </c>
      <c r="L665" t="s">
        <v>74</v>
      </c>
      <c r="M665" t="s">
        <v>78</v>
      </c>
      <c r="N665" t="s">
        <v>79</v>
      </c>
      <c r="O665" t="s">
        <v>74</v>
      </c>
      <c r="P665" t="s">
        <v>74</v>
      </c>
      <c r="Q665" t="s">
        <v>74</v>
      </c>
      <c r="R665" t="s">
        <v>74</v>
      </c>
      <c r="S665" t="s">
        <v>74</v>
      </c>
      <c r="T665" t="s">
        <v>74</v>
      </c>
      <c r="U665" t="s">
        <v>12844</v>
      </c>
      <c r="V665" t="s">
        <v>12845</v>
      </c>
      <c r="W665" t="s">
        <v>12846</v>
      </c>
      <c r="X665" t="s">
        <v>12847</v>
      </c>
      <c r="Y665" t="s">
        <v>12848</v>
      </c>
      <c r="Z665" t="s">
        <v>12849</v>
      </c>
      <c r="AA665" t="s">
        <v>74</v>
      </c>
      <c r="AB665" t="s">
        <v>74</v>
      </c>
      <c r="AC665" t="s">
        <v>74</v>
      </c>
      <c r="AD665" t="s">
        <v>74</v>
      </c>
      <c r="AE665" t="s">
        <v>74</v>
      </c>
      <c r="AF665" t="s">
        <v>74</v>
      </c>
      <c r="AG665">
        <v>22</v>
      </c>
      <c r="AH665">
        <v>19</v>
      </c>
      <c r="AI665">
        <v>21</v>
      </c>
      <c r="AJ665">
        <v>0</v>
      </c>
      <c r="AK665">
        <v>18</v>
      </c>
      <c r="AL665" t="s">
        <v>12850</v>
      </c>
      <c r="AM665" t="s">
        <v>12851</v>
      </c>
      <c r="AN665" t="s">
        <v>12852</v>
      </c>
      <c r="AO665" t="s">
        <v>12853</v>
      </c>
      <c r="AP665" t="s">
        <v>74</v>
      </c>
      <c r="AQ665" t="s">
        <v>74</v>
      </c>
      <c r="AR665" t="s">
        <v>12854</v>
      </c>
      <c r="AS665" t="s">
        <v>12855</v>
      </c>
      <c r="AT665" t="s">
        <v>10046</v>
      </c>
      <c r="AU665">
        <v>2016</v>
      </c>
      <c r="AV665">
        <v>9</v>
      </c>
      <c r="AW665">
        <v>1</v>
      </c>
      <c r="AX665" t="s">
        <v>74</v>
      </c>
      <c r="AY665" t="s">
        <v>74</v>
      </c>
      <c r="AZ665" t="s">
        <v>74</v>
      </c>
      <c r="BA665" t="s">
        <v>74</v>
      </c>
      <c r="BB665" t="s">
        <v>74</v>
      </c>
      <c r="BC665" t="s">
        <v>74</v>
      </c>
      <c r="BD665" t="s">
        <v>74</v>
      </c>
      <c r="BE665" t="s">
        <v>12856</v>
      </c>
      <c r="BF665" t="str">
        <f>HYPERLINK("http://dx.doi.org/10.3835/plantgenome2015.06.0050","http://dx.doi.org/10.3835/plantgenome2015.06.0050")</f>
        <v>http://dx.doi.org/10.3835/plantgenome2015.06.0050</v>
      </c>
      <c r="BG665" t="s">
        <v>74</v>
      </c>
      <c r="BH665" t="s">
        <v>74</v>
      </c>
      <c r="BI665">
        <v>11</v>
      </c>
      <c r="BJ665" t="s">
        <v>12857</v>
      </c>
      <c r="BK665" t="s">
        <v>102</v>
      </c>
      <c r="BL665" t="s">
        <v>12857</v>
      </c>
      <c r="BM665" t="s">
        <v>12858</v>
      </c>
      <c r="BN665">
        <v>27898765</v>
      </c>
      <c r="BO665" t="s">
        <v>495</v>
      </c>
      <c r="BP665" t="s">
        <v>74</v>
      </c>
      <c r="BQ665" t="s">
        <v>74</v>
      </c>
      <c r="BR665" t="s">
        <v>106</v>
      </c>
      <c r="BS665" t="s">
        <v>12859</v>
      </c>
      <c r="BT665" t="str">
        <f>HYPERLINK("https%3A%2F%2Fwww.webofscience.com%2Fwos%2Fwoscc%2Ffull-record%2FWOS:000378146900009","View Full Record in Web of Science")</f>
        <v>View Full Record in Web of Science</v>
      </c>
    </row>
    <row r="666" spans="1:72" x14ac:dyDescent="0.15">
      <c r="A666" t="s">
        <v>72</v>
      </c>
      <c r="B666" t="s">
        <v>12860</v>
      </c>
      <c r="C666" t="s">
        <v>74</v>
      </c>
      <c r="D666" t="s">
        <v>74</v>
      </c>
      <c r="E666" t="s">
        <v>74</v>
      </c>
      <c r="F666" t="s">
        <v>12861</v>
      </c>
      <c r="G666" t="s">
        <v>74</v>
      </c>
      <c r="H666" t="s">
        <v>74</v>
      </c>
      <c r="I666" t="s">
        <v>12862</v>
      </c>
      <c r="J666" t="s">
        <v>3453</v>
      </c>
      <c r="K666" t="s">
        <v>74</v>
      </c>
      <c r="L666" t="s">
        <v>74</v>
      </c>
      <c r="M666" t="s">
        <v>78</v>
      </c>
      <c r="N666" t="s">
        <v>79</v>
      </c>
      <c r="O666" t="s">
        <v>74</v>
      </c>
      <c r="P666" t="s">
        <v>74</v>
      </c>
      <c r="Q666" t="s">
        <v>74</v>
      </c>
      <c r="R666" t="s">
        <v>74</v>
      </c>
      <c r="S666" t="s">
        <v>74</v>
      </c>
      <c r="T666" t="s">
        <v>12863</v>
      </c>
      <c r="U666" t="s">
        <v>12864</v>
      </c>
      <c r="V666" t="s">
        <v>12865</v>
      </c>
      <c r="W666" t="s">
        <v>12866</v>
      </c>
      <c r="X666" t="s">
        <v>12867</v>
      </c>
      <c r="Y666" t="s">
        <v>12868</v>
      </c>
      <c r="Z666" t="s">
        <v>12869</v>
      </c>
      <c r="AA666" t="s">
        <v>12870</v>
      </c>
      <c r="AB666" t="s">
        <v>12871</v>
      </c>
      <c r="AC666" t="s">
        <v>12872</v>
      </c>
      <c r="AD666" t="s">
        <v>12873</v>
      </c>
      <c r="AE666" t="s">
        <v>12874</v>
      </c>
      <c r="AF666" t="s">
        <v>74</v>
      </c>
      <c r="AG666">
        <v>74</v>
      </c>
      <c r="AH666">
        <v>10</v>
      </c>
      <c r="AI666">
        <v>11</v>
      </c>
      <c r="AJ666">
        <v>3</v>
      </c>
      <c r="AK666">
        <v>43</v>
      </c>
      <c r="AL666" t="s">
        <v>194</v>
      </c>
      <c r="AM666" t="s">
        <v>262</v>
      </c>
      <c r="AN666" t="s">
        <v>263</v>
      </c>
      <c r="AO666" t="s">
        <v>3466</v>
      </c>
      <c r="AP666" t="s">
        <v>3467</v>
      </c>
      <c r="AQ666" t="s">
        <v>74</v>
      </c>
      <c r="AR666" t="s">
        <v>3468</v>
      </c>
      <c r="AS666" t="s">
        <v>3469</v>
      </c>
      <c r="AT666" t="s">
        <v>10046</v>
      </c>
      <c r="AU666">
        <v>2016</v>
      </c>
      <c r="AV666">
        <v>39</v>
      </c>
      <c r="AW666">
        <v>3</v>
      </c>
      <c r="AX666" t="s">
        <v>74</v>
      </c>
      <c r="AY666" t="s">
        <v>74</v>
      </c>
      <c r="AZ666" t="s">
        <v>74</v>
      </c>
      <c r="BA666" t="s">
        <v>74</v>
      </c>
      <c r="BB666">
        <v>497</v>
      </c>
      <c r="BC666">
        <v>509</v>
      </c>
      <c r="BD666" t="s">
        <v>74</v>
      </c>
      <c r="BE666" t="s">
        <v>12875</v>
      </c>
      <c r="BF666" t="str">
        <f>HYPERLINK("http://dx.doi.org/10.1007/s00300-015-1802-0","http://dx.doi.org/10.1007/s00300-015-1802-0")</f>
        <v>http://dx.doi.org/10.1007/s00300-015-1802-0</v>
      </c>
      <c r="BG666" t="s">
        <v>74</v>
      </c>
      <c r="BH666" t="s">
        <v>74</v>
      </c>
      <c r="BI666">
        <v>13</v>
      </c>
      <c r="BJ666" t="s">
        <v>291</v>
      </c>
      <c r="BK666" t="s">
        <v>102</v>
      </c>
      <c r="BL666" t="s">
        <v>133</v>
      </c>
      <c r="BM666" t="s">
        <v>11142</v>
      </c>
      <c r="BN666" t="s">
        <v>74</v>
      </c>
      <c r="BO666" t="s">
        <v>74</v>
      </c>
      <c r="BP666" t="s">
        <v>74</v>
      </c>
      <c r="BQ666" t="s">
        <v>74</v>
      </c>
      <c r="BR666" t="s">
        <v>106</v>
      </c>
      <c r="BS666" t="s">
        <v>12876</v>
      </c>
      <c r="BT666" t="str">
        <f>HYPERLINK("https%3A%2F%2Fwww.webofscience.com%2Fwos%2Fwoscc%2Ffull-record%2FWOS:000371640300007","View Full Record in Web of Science")</f>
        <v>View Full Record in Web of Science</v>
      </c>
    </row>
    <row r="667" spans="1:72" x14ac:dyDescent="0.15">
      <c r="A667" t="s">
        <v>72</v>
      </c>
      <c r="B667" t="s">
        <v>12877</v>
      </c>
      <c r="C667" t="s">
        <v>74</v>
      </c>
      <c r="D667" t="s">
        <v>74</v>
      </c>
      <c r="E667" t="s">
        <v>74</v>
      </c>
      <c r="F667" t="s">
        <v>12878</v>
      </c>
      <c r="G667" t="s">
        <v>74</v>
      </c>
      <c r="H667" t="s">
        <v>74</v>
      </c>
      <c r="I667" t="s">
        <v>12879</v>
      </c>
      <c r="J667" t="s">
        <v>3453</v>
      </c>
      <c r="K667" t="s">
        <v>74</v>
      </c>
      <c r="L667" t="s">
        <v>74</v>
      </c>
      <c r="M667" t="s">
        <v>78</v>
      </c>
      <c r="N667" t="s">
        <v>79</v>
      </c>
      <c r="O667" t="s">
        <v>74</v>
      </c>
      <c r="P667" t="s">
        <v>74</v>
      </c>
      <c r="Q667" t="s">
        <v>74</v>
      </c>
      <c r="R667" t="s">
        <v>74</v>
      </c>
      <c r="S667" t="s">
        <v>74</v>
      </c>
      <c r="T667" t="s">
        <v>12880</v>
      </c>
      <c r="U667" t="s">
        <v>12881</v>
      </c>
      <c r="V667" t="s">
        <v>12882</v>
      </c>
      <c r="W667" t="s">
        <v>12883</v>
      </c>
      <c r="X667" t="s">
        <v>12884</v>
      </c>
      <c r="Y667" t="s">
        <v>12885</v>
      </c>
      <c r="Z667" t="s">
        <v>12886</v>
      </c>
      <c r="AA667" t="s">
        <v>12887</v>
      </c>
      <c r="AB667" t="s">
        <v>12888</v>
      </c>
      <c r="AC667" t="s">
        <v>12889</v>
      </c>
      <c r="AD667" t="s">
        <v>12890</v>
      </c>
      <c r="AE667" t="s">
        <v>12891</v>
      </c>
      <c r="AF667" t="s">
        <v>74</v>
      </c>
      <c r="AG667">
        <v>49</v>
      </c>
      <c r="AH667">
        <v>25</v>
      </c>
      <c r="AI667">
        <v>28</v>
      </c>
      <c r="AJ667">
        <v>2</v>
      </c>
      <c r="AK667">
        <v>55</v>
      </c>
      <c r="AL667" t="s">
        <v>194</v>
      </c>
      <c r="AM667" t="s">
        <v>262</v>
      </c>
      <c r="AN667" t="s">
        <v>263</v>
      </c>
      <c r="AO667" t="s">
        <v>3466</v>
      </c>
      <c r="AP667" t="s">
        <v>3467</v>
      </c>
      <c r="AQ667" t="s">
        <v>74</v>
      </c>
      <c r="AR667" t="s">
        <v>3468</v>
      </c>
      <c r="AS667" t="s">
        <v>3469</v>
      </c>
      <c r="AT667" t="s">
        <v>10046</v>
      </c>
      <c r="AU667">
        <v>2016</v>
      </c>
      <c r="AV667">
        <v>39</v>
      </c>
      <c r="AW667">
        <v>3</v>
      </c>
      <c r="AX667" t="s">
        <v>74</v>
      </c>
      <c r="AY667" t="s">
        <v>74</v>
      </c>
      <c r="AZ667" t="s">
        <v>74</v>
      </c>
      <c r="BA667" t="s">
        <v>74</v>
      </c>
      <c r="BB667">
        <v>511</v>
      </c>
      <c r="BC667">
        <v>521</v>
      </c>
      <c r="BD667" t="s">
        <v>74</v>
      </c>
      <c r="BE667" t="s">
        <v>12892</v>
      </c>
      <c r="BF667" t="str">
        <f>HYPERLINK("http://dx.doi.org/10.1007/s00300-015-1803-z","http://dx.doi.org/10.1007/s00300-015-1803-z")</f>
        <v>http://dx.doi.org/10.1007/s00300-015-1803-z</v>
      </c>
      <c r="BG667" t="s">
        <v>74</v>
      </c>
      <c r="BH667" t="s">
        <v>74</v>
      </c>
      <c r="BI667">
        <v>11</v>
      </c>
      <c r="BJ667" t="s">
        <v>291</v>
      </c>
      <c r="BK667" t="s">
        <v>102</v>
      </c>
      <c r="BL667" t="s">
        <v>133</v>
      </c>
      <c r="BM667" t="s">
        <v>11142</v>
      </c>
      <c r="BN667" t="s">
        <v>74</v>
      </c>
      <c r="BO667" t="s">
        <v>380</v>
      </c>
      <c r="BP667" t="s">
        <v>74</v>
      </c>
      <c r="BQ667" t="s">
        <v>74</v>
      </c>
      <c r="BR667" t="s">
        <v>106</v>
      </c>
      <c r="BS667" t="s">
        <v>12893</v>
      </c>
      <c r="BT667" t="str">
        <f>HYPERLINK("https%3A%2F%2Fwww.webofscience.com%2Fwos%2Fwoscc%2Ffull-record%2FWOS:000371640300008","View Full Record in Web of Science")</f>
        <v>View Full Record in Web of Science</v>
      </c>
    </row>
    <row r="668" spans="1:72" x14ac:dyDescent="0.15">
      <c r="A668" t="s">
        <v>72</v>
      </c>
      <c r="B668" t="s">
        <v>12894</v>
      </c>
      <c r="C668" t="s">
        <v>74</v>
      </c>
      <c r="D668" t="s">
        <v>74</v>
      </c>
      <c r="E668" t="s">
        <v>74</v>
      </c>
      <c r="F668" t="s">
        <v>12895</v>
      </c>
      <c r="G668" t="s">
        <v>74</v>
      </c>
      <c r="H668" t="s">
        <v>74</v>
      </c>
      <c r="I668" t="s">
        <v>12896</v>
      </c>
      <c r="J668" t="s">
        <v>3453</v>
      </c>
      <c r="K668" t="s">
        <v>74</v>
      </c>
      <c r="L668" t="s">
        <v>74</v>
      </c>
      <c r="M668" t="s">
        <v>78</v>
      </c>
      <c r="N668" t="s">
        <v>79</v>
      </c>
      <c r="O668" t="s">
        <v>74</v>
      </c>
      <c r="P668" t="s">
        <v>74</v>
      </c>
      <c r="Q668" t="s">
        <v>74</v>
      </c>
      <c r="R668" t="s">
        <v>74</v>
      </c>
      <c r="S668" t="s">
        <v>74</v>
      </c>
      <c r="T668" t="s">
        <v>12897</v>
      </c>
      <c r="U668" t="s">
        <v>12898</v>
      </c>
      <c r="V668" t="s">
        <v>12899</v>
      </c>
      <c r="W668" t="s">
        <v>12900</v>
      </c>
      <c r="X668" t="s">
        <v>12901</v>
      </c>
      <c r="Y668" t="s">
        <v>12902</v>
      </c>
      <c r="Z668" t="s">
        <v>12903</v>
      </c>
      <c r="AA668" t="s">
        <v>12904</v>
      </c>
      <c r="AB668" t="s">
        <v>12905</v>
      </c>
      <c r="AC668" t="s">
        <v>12906</v>
      </c>
      <c r="AD668" t="s">
        <v>12907</v>
      </c>
      <c r="AE668" t="s">
        <v>12908</v>
      </c>
      <c r="AF668" t="s">
        <v>74</v>
      </c>
      <c r="AG668">
        <v>33</v>
      </c>
      <c r="AH668">
        <v>11</v>
      </c>
      <c r="AI668">
        <v>14</v>
      </c>
      <c r="AJ668">
        <v>0</v>
      </c>
      <c r="AK668">
        <v>20</v>
      </c>
      <c r="AL668" t="s">
        <v>194</v>
      </c>
      <c r="AM668" t="s">
        <v>262</v>
      </c>
      <c r="AN668" t="s">
        <v>263</v>
      </c>
      <c r="AO668" t="s">
        <v>3466</v>
      </c>
      <c r="AP668" t="s">
        <v>3467</v>
      </c>
      <c r="AQ668" t="s">
        <v>74</v>
      </c>
      <c r="AR668" t="s">
        <v>3468</v>
      </c>
      <c r="AS668" t="s">
        <v>3469</v>
      </c>
      <c r="AT668" t="s">
        <v>10046</v>
      </c>
      <c r="AU668">
        <v>2016</v>
      </c>
      <c r="AV668">
        <v>39</v>
      </c>
      <c r="AW668">
        <v>3</v>
      </c>
      <c r="AX668" t="s">
        <v>74</v>
      </c>
      <c r="AY668" t="s">
        <v>74</v>
      </c>
      <c r="AZ668" t="s">
        <v>74</v>
      </c>
      <c r="BA668" t="s">
        <v>74</v>
      </c>
      <c r="BB668">
        <v>561</v>
      </c>
      <c r="BC668">
        <v>564</v>
      </c>
      <c r="BD668" t="s">
        <v>74</v>
      </c>
      <c r="BE668" t="s">
        <v>12909</v>
      </c>
      <c r="BF668" t="str">
        <f>HYPERLINK("http://dx.doi.org/10.1007/s00300-015-1794-9","http://dx.doi.org/10.1007/s00300-015-1794-9")</f>
        <v>http://dx.doi.org/10.1007/s00300-015-1794-9</v>
      </c>
      <c r="BG668" t="s">
        <v>74</v>
      </c>
      <c r="BH668" t="s">
        <v>74</v>
      </c>
      <c r="BI668">
        <v>4</v>
      </c>
      <c r="BJ668" t="s">
        <v>291</v>
      </c>
      <c r="BK668" t="s">
        <v>102</v>
      </c>
      <c r="BL668" t="s">
        <v>133</v>
      </c>
      <c r="BM668" t="s">
        <v>11142</v>
      </c>
      <c r="BN668" t="s">
        <v>74</v>
      </c>
      <c r="BO668" t="s">
        <v>380</v>
      </c>
      <c r="BP668" t="s">
        <v>74</v>
      </c>
      <c r="BQ668" t="s">
        <v>74</v>
      </c>
      <c r="BR668" t="s">
        <v>106</v>
      </c>
      <c r="BS668" t="s">
        <v>12910</v>
      </c>
      <c r="BT668" t="str">
        <f>HYPERLINK("https%3A%2F%2Fwww.webofscience.com%2Fwos%2Fwoscc%2Ffull-record%2FWOS:000371640300013","View Full Record in Web of Science")</f>
        <v>View Full Record in Web of Science</v>
      </c>
    </row>
    <row r="669" spans="1:72" x14ac:dyDescent="0.15">
      <c r="A669" t="s">
        <v>72</v>
      </c>
      <c r="B669" t="s">
        <v>12911</v>
      </c>
      <c r="C669" t="s">
        <v>74</v>
      </c>
      <c r="D669" t="s">
        <v>74</v>
      </c>
      <c r="E669" t="s">
        <v>74</v>
      </c>
      <c r="F669" t="s">
        <v>12912</v>
      </c>
      <c r="G669" t="s">
        <v>74</v>
      </c>
      <c r="H669" t="s">
        <v>74</v>
      </c>
      <c r="I669" t="s">
        <v>12913</v>
      </c>
      <c r="J669" t="s">
        <v>1076</v>
      </c>
      <c r="K669" t="s">
        <v>74</v>
      </c>
      <c r="L669" t="s">
        <v>74</v>
      </c>
      <c r="M669" t="s">
        <v>78</v>
      </c>
      <c r="N669" t="s">
        <v>79</v>
      </c>
      <c r="O669" t="s">
        <v>74</v>
      </c>
      <c r="P669" t="s">
        <v>74</v>
      </c>
      <c r="Q669" t="s">
        <v>74</v>
      </c>
      <c r="R669" t="s">
        <v>74</v>
      </c>
      <c r="S669" t="s">
        <v>74</v>
      </c>
      <c r="T669" t="s">
        <v>12914</v>
      </c>
      <c r="U669" t="s">
        <v>12915</v>
      </c>
      <c r="V669" t="s">
        <v>12916</v>
      </c>
      <c r="W669" t="s">
        <v>12917</v>
      </c>
      <c r="X669" t="s">
        <v>12918</v>
      </c>
      <c r="Y669" t="s">
        <v>12919</v>
      </c>
      <c r="Z669" t="s">
        <v>12920</v>
      </c>
      <c r="AA669" t="s">
        <v>12921</v>
      </c>
      <c r="AB669" t="s">
        <v>12922</v>
      </c>
      <c r="AC669" t="s">
        <v>12923</v>
      </c>
      <c r="AD669" t="s">
        <v>11024</v>
      </c>
      <c r="AE669" t="s">
        <v>74</v>
      </c>
      <c r="AF669" t="s">
        <v>74</v>
      </c>
      <c r="AG669">
        <v>59</v>
      </c>
      <c r="AH669">
        <v>16</v>
      </c>
      <c r="AI669">
        <v>17</v>
      </c>
      <c r="AJ669">
        <v>0</v>
      </c>
      <c r="AK669">
        <v>22</v>
      </c>
      <c r="AL669" t="s">
        <v>582</v>
      </c>
      <c r="AM669" t="s">
        <v>583</v>
      </c>
      <c r="AN669" t="s">
        <v>584</v>
      </c>
      <c r="AO669" t="s">
        <v>1089</v>
      </c>
      <c r="AP669" t="s">
        <v>1090</v>
      </c>
      <c r="AQ669" t="s">
        <v>74</v>
      </c>
      <c r="AR669" t="s">
        <v>1091</v>
      </c>
      <c r="AS669" t="s">
        <v>1092</v>
      </c>
      <c r="AT669" t="s">
        <v>10046</v>
      </c>
      <c r="AU669">
        <v>2016</v>
      </c>
      <c r="AV669">
        <v>10</v>
      </c>
      <c r="AW669">
        <v>1</v>
      </c>
      <c r="AX669" t="s">
        <v>74</v>
      </c>
      <c r="AY669" t="s">
        <v>74</v>
      </c>
      <c r="AZ669" t="s">
        <v>74</v>
      </c>
      <c r="BA669" t="s">
        <v>74</v>
      </c>
      <c r="BB669">
        <v>1</v>
      </c>
      <c r="BC669">
        <v>10</v>
      </c>
      <c r="BD669" t="s">
        <v>74</v>
      </c>
      <c r="BE669" t="s">
        <v>12924</v>
      </c>
      <c r="BF669" t="str">
        <f>HYPERLINK("http://dx.doi.org/10.1016/j.polar.2015.12.003","http://dx.doi.org/10.1016/j.polar.2015.12.003")</f>
        <v>http://dx.doi.org/10.1016/j.polar.2015.12.003</v>
      </c>
      <c r="BG669" t="s">
        <v>74</v>
      </c>
      <c r="BH669" t="s">
        <v>74</v>
      </c>
      <c r="BI669">
        <v>10</v>
      </c>
      <c r="BJ669" t="s">
        <v>1094</v>
      </c>
      <c r="BK669" t="s">
        <v>102</v>
      </c>
      <c r="BL669" t="s">
        <v>1095</v>
      </c>
      <c r="BM669" t="s">
        <v>11190</v>
      </c>
      <c r="BN669" t="s">
        <v>74</v>
      </c>
      <c r="BO669" t="s">
        <v>222</v>
      </c>
      <c r="BP669" t="s">
        <v>74</v>
      </c>
      <c r="BQ669" t="s">
        <v>74</v>
      </c>
      <c r="BR669" t="s">
        <v>106</v>
      </c>
      <c r="BS669" t="s">
        <v>12925</v>
      </c>
      <c r="BT669" t="str">
        <f>HYPERLINK("https%3A%2F%2Fwww.webofscience.com%2Fwos%2Fwoscc%2Ffull-record%2FWOS:000371396900001","View Full Record in Web of Science")</f>
        <v>View Full Record in Web of Science</v>
      </c>
    </row>
    <row r="670" spans="1:72" x14ac:dyDescent="0.15">
      <c r="A670" t="s">
        <v>72</v>
      </c>
      <c r="B670" t="s">
        <v>12926</v>
      </c>
      <c r="C670" t="s">
        <v>74</v>
      </c>
      <c r="D670" t="s">
        <v>74</v>
      </c>
      <c r="E670" t="s">
        <v>74</v>
      </c>
      <c r="F670" t="s">
        <v>12927</v>
      </c>
      <c r="G670" t="s">
        <v>74</v>
      </c>
      <c r="H670" t="s">
        <v>74</v>
      </c>
      <c r="I670" t="s">
        <v>12928</v>
      </c>
      <c r="J670" t="s">
        <v>1076</v>
      </c>
      <c r="K670" t="s">
        <v>74</v>
      </c>
      <c r="L670" t="s">
        <v>74</v>
      </c>
      <c r="M670" t="s">
        <v>78</v>
      </c>
      <c r="N670" t="s">
        <v>79</v>
      </c>
      <c r="O670" t="s">
        <v>74</v>
      </c>
      <c r="P670" t="s">
        <v>74</v>
      </c>
      <c r="Q670" t="s">
        <v>74</v>
      </c>
      <c r="R670" t="s">
        <v>74</v>
      </c>
      <c r="S670" t="s">
        <v>74</v>
      </c>
      <c r="T670" t="s">
        <v>12929</v>
      </c>
      <c r="U670" t="s">
        <v>12930</v>
      </c>
      <c r="V670" t="s">
        <v>12931</v>
      </c>
      <c r="W670" t="s">
        <v>12932</v>
      </c>
      <c r="X670" t="s">
        <v>12933</v>
      </c>
      <c r="Y670" t="s">
        <v>12934</v>
      </c>
      <c r="Z670" t="s">
        <v>12935</v>
      </c>
      <c r="AA670" t="s">
        <v>12936</v>
      </c>
      <c r="AB670" t="s">
        <v>12937</v>
      </c>
      <c r="AC670" t="s">
        <v>12938</v>
      </c>
      <c r="AD670" t="s">
        <v>12938</v>
      </c>
      <c r="AE670" t="s">
        <v>12939</v>
      </c>
      <c r="AF670" t="s">
        <v>74</v>
      </c>
      <c r="AG670">
        <v>59</v>
      </c>
      <c r="AH670">
        <v>25</v>
      </c>
      <c r="AI670">
        <v>26</v>
      </c>
      <c r="AJ670">
        <v>0</v>
      </c>
      <c r="AK670">
        <v>35</v>
      </c>
      <c r="AL670" t="s">
        <v>626</v>
      </c>
      <c r="AM670" t="s">
        <v>583</v>
      </c>
      <c r="AN670" t="s">
        <v>627</v>
      </c>
      <c r="AO670" t="s">
        <v>1089</v>
      </c>
      <c r="AP670" t="s">
        <v>1090</v>
      </c>
      <c r="AQ670" t="s">
        <v>74</v>
      </c>
      <c r="AR670" t="s">
        <v>1091</v>
      </c>
      <c r="AS670" t="s">
        <v>1092</v>
      </c>
      <c r="AT670" t="s">
        <v>10046</v>
      </c>
      <c r="AU670">
        <v>2016</v>
      </c>
      <c r="AV670">
        <v>10</v>
      </c>
      <c r="AW670">
        <v>1</v>
      </c>
      <c r="AX670" t="s">
        <v>74</v>
      </c>
      <c r="AY670" t="s">
        <v>74</v>
      </c>
      <c r="AZ670" t="s">
        <v>74</v>
      </c>
      <c r="BA670" t="s">
        <v>74</v>
      </c>
      <c r="BB670">
        <v>60</v>
      </c>
      <c r="BC670">
        <v>70</v>
      </c>
      <c r="BD670" t="s">
        <v>74</v>
      </c>
      <c r="BE670" t="s">
        <v>12940</v>
      </c>
      <c r="BF670" t="str">
        <f>HYPERLINK("http://dx.doi.org/10.1016/j.polar.2015.11.001","http://dx.doi.org/10.1016/j.polar.2015.11.001")</f>
        <v>http://dx.doi.org/10.1016/j.polar.2015.11.001</v>
      </c>
      <c r="BG670" t="s">
        <v>74</v>
      </c>
      <c r="BH670" t="s">
        <v>74</v>
      </c>
      <c r="BI670">
        <v>11</v>
      </c>
      <c r="BJ670" t="s">
        <v>1094</v>
      </c>
      <c r="BK670" t="s">
        <v>102</v>
      </c>
      <c r="BL670" t="s">
        <v>1095</v>
      </c>
      <c r="BM670" t="s">
        <v>11190</v>
      </c>
      <c r="BN670" t="s">
        <v>74</v>
      </c>
      <c r="BO670" t="s">
        <v>74</v>
      </c>
      <c r="BP670" t="s">
        <v>74</v>
      </c>
      <c r="BQ670" t="s">
        <v>74</v>
      </c>
      <c r="BR670" t="s">
        <v>106</v>
      </c>
      <c r="BS670" t="s">
        <v>12941</v>
      </c>
      <c r="BT670" t="str">
        <f>HYPERLINK("https%3A%2F%2Fwww.webofscience.com%2Fwos%2Fwoscc%2Ffull-record%2FWOS:000371396900007","View Full Record in Web of Science")</f>
        <v>View Full Record in Web of Science</v>
      </c>
    </row>
    <row r="671" spans="1:72" x14ac:dyDescent="0.15">
      <c r="A671" t="s">
        <v>72</v>
      </c>
      <c r="B671" t="s">
        <v>12942</v>
      </c>
      <c r="C671" t="s">
        <v>74</v>
      </c>
      <c r="D671" t="s">
        <v>74</v>
      </c>
      <c r="E671" t="s">
        <v>74</v>
      </c>
      <c r="F671" t="s">
        <v>12943</v>
      </c>
      <c r="G671" t="s">
        <v>74</v>
      </c>
      <c r="H671" t="s">
        <v>74</v>
      </c>
      <c r="I671" t="s">
        <v>12944</v>
      </c>
      <c r="J671" t="s">
        <v>1076</v>
      </c>
      <c r="K671" t="s">
        <v>74</v>
      </c>
      <c r="L671" t="s">
        <v>74</v>
      </c>
      <c r="M671" t="s">
        <v>78</v>
      </c>
      <c r="N671" t="s">
        <v>79</v>
      </c>
      <c r="O671" t="s">
        <v>74</v>
      </c>
      <c r="P671" t="s">
        <v>74</v>
      </c>
      <c r="Q671" t="s">
        <v>74</v>
      </c>
      <c r="R671" t="s">
        <v>74</v>
      </c>
      <c r="S671" t="s">
        <v>74</v>
      </c>
      <c r="T671" t="s">
        <v>12945</v>
      </c>
      <c r="U671" t="s">
        <v>12946</v>
      </c>
      <c r="V671" t="s">
        <v>12947</v>
      </c>
      <c r="W671" t="s">
        <v>12948</v>
      </c>
      <c r="X671" t="s">
        <v>12949</v>
      </c>
      <c r="Y671" t="s">
        <v>12950</v>
      </c>
      <c r="Z671" t="s">
        <v>12951</v>
      </c>
      <c r="AA671" t="s">
        <v>12952</v>
      </c>
      <c r="AB671" t="s">
        <v>12953</v>
      </c>
      <c r="AC671" t="s">
        <v>12954</v>
      </c>
      <c r="AD671" t="s">
        <v>12955</v>
      </c>
      <c r="AE671" t="s">
        <v>12956</v>
      </c>
      <c r="AF671" t="s">
        <v>74</v>
      </c>
      <c r="AG671">
        <v>31</v>
      </c>
      <c r="AH671">
        <v>4</v>
      </c>
      <c r="AI671">
        <v>4</v>
      </c>
      <c r="AJ671">
        <v>0</v>
      </c>
      <c r="AK671">
        <v>25</v>
      </c>
      <c r="AL671" t="s">
        <v>582</v>
      </c>
      <c r="AM671" t="s">
        <v>583</v>
      </c>
      <c r="AN671" t="s">
        <v>584</v>
      </c>
      <c r="AO671" t="s">
        <v>1089</v>
      </c>
      <c r="AP671" t="s">
        <v>1090</v>
      </c>
      <c r="AQ671" t="s">
        <v>74</v>
      </c>
      <c r="AR671" t="s">
        <v>1091</v>
      </c>
      <c r="AS671" t="s">
        <v>1092</v>
      </c>
      <c r="AT671" t="s">
        <v>10046</v>
      </c>
      <c r="AU671">
        <v>2016</v>
      </c>
      <c r="AV671">
        <v>10</v>
      </c>
      <c r="AW671">
        <v>1</v>
      </c>
      <c r="AX671" t="s">
        <v>74</v>
      </c>
      <c r="AY671" t="s">
        <v>74</v>
      </c>
      <c r="AZ671" t="s">
        <v>74</v>
      </c>
      <c r="BA671" t="s">
        <v>74</v>
      </c>
      <c r="BB671">
        <v>71</v>
      </c>
      <c r="BC671">
        <v>78</v>
      </c>
      <c r="BD671" t="s">
        <v>74</v>
      </c>
      <c r="BE671" t="s">
        <v>12957</v>
      </c>
      <c r="BF671" t="str">
        <f>HYPERLINK("http://dx.doi.org/10.1016/j.polar.2015.12.002","http://dx.doi.org/10.1016/j.polar.2015.12.002")</f>
        <v>http://dx.doi.org/10.1016/j.polar.2015.12.002</v>
      </c>
      <c r="BG671" t="s">
        <v>74</v>
      </c>
      <c r="BH671" t="s">
        <v>74</v>
      </c>
      <c r="BI671">
        <v>8</v>
      </c>
      <c r="BJ671" t="s">
        <v>1094</v>
      </c>
      <c r="BK671" t="s">
        <v>102</v>
      </c>
      <c r="BL671" t="s">
        <v>1095</v>
      </c>
      <c r="BM671" t="s">
        <v>11190</v>
      </c>
      <c r="BN671" t="s">
        <v>74</v>
      </c>
      <c r="BO671" t="s">
        <v>74</v>
      </c>
      <c r="BP671" t="s">
        <v>74</v>
      </c>
      <c r="BQ671" t="s">
        <v>74</v>
      </c>
      <c r="BR671" t="s">
        <v>106</v>
      </c>
      <c r="BS671" t="s">
        <v>12958</v>
      </c>
      <c r="BT671" t="str">
        <f>HYPERLINK("https%3A%2F%2Fwww.webofscience.com%2Fwos%2Fwoscc%2Ffull-record%2FWOS:000371396900008","View Full Record in Web of Science")</f>
        <v>View Full Record in Web of Science</v>
      </c>
    </row>
    <row r="672" spans="1:72" x14ac:dyDescent="0.15">
      <c r="A672" t="s">
        <v>72</v>
      </c>
      <c r="B672" t="s">
        <v>12959</v>
      </c>
      <c r="C672" t="s">
        <v>74</v>
      </c>
      <c r="D672" t="s">
        <v>74</v>
      </c>
      <c r="E672" t="s">
        <v>74</v>
      </c>
      <c r="F672" t="s">
        <v>12960</v>
      </c>
      <c r="G672" t="s">
        <v>74</v>
      </c>
      <c r="H672" t="s">
        <v>74</v>
      </c>
      <c r="I672" t="s">
        <v>12961</v>
      </c>
      <c r="J672" t="s">
        <v>10948</v>
      </c>
      <c r="K672" t="s">
        <v>74</v>
      </c>
      <c r="L672" t="s">
        <v>74</v>
      </c>
      <c r="M672" t="s">
        <v>78</v>
      </c>
      <c r="N672" t="s">
        <v>79</v>
      </c>
      <c r="O672" t="s">
        <v>74</v>
      </c>
      <c r="P672" t="s">
        <v>74</v>
      </c>
      <c r="Q672" t="s">
        <v>74</v>
      </c>
      <c r="R672" t="s">
        <v>74</v>
      </c>
      <c r="S672" t="s">
        <v>74</v>
      </c>
      <c r="T672" t="s">
        <v>12962</v>
      </c>
      <c r="U672" t="s">
        <v>12963</v>
      </c>
      <c r="V672" t="s">
        <v>12964</v>
      </c>
      <c r="W672" t="s">
        <v>12965</v>
      </c>
      <c r="X672" t="s">
        <v>12966</v>
      </c>
      <c r="Y672" t="s">
        <v>12967</v>
      </c>
      <c r="Z672" t="s">
        <v>12968</v>
      </c>
      <c r="AA672" t="s">
        <v>12969</v>
      </c>
      <c r="AB672" t="s">
        <v>12970</v>
      </c>
      <c r="AC672" t="s">
        <v>12971</v>
      </c>
      <c r="AD672" t="s">
        <v>12972</v>
      </c>
      <c r="AE672" t="s">
        <v>12973</v>
      </c>
      <c r="AF672" t="s">
        <v>74</v>
      </c>
      <c r="AG672">
        <v>54</v>
      </c>
      <c r="AH672">
        <v>2</v>
      </c>
      <c r="AI672">
        <v>3</v>
      </c>
      <c r="AJ672">
        <v>0</v>
      </c>
      <c r="AK672">
        <v>31</v>
      </c>
      <c r="AL672" t="s">
        <v>12974</v>
      </c>
      <c r="AM672" t="s">
        <v>10957</v>
      </c>
      <c r="AN672" t="s">
        <v>12975</v>
      </c>
      <c r="AO672" t="s">
        <v>10959</v>
      </c>
      <c r="AP672" t="s">
        <v>10960</v>
      </c>
      <c r="AQ672" t="s">
        <v>74</v>
      </c>
      <c r="AR672" t="s">
        <v>10961</v>
      </c>
      <c r="AS672" t="s">
        <v>10962</v>
      </c>
      <c r="AT672" t="s">
        <v>10046</v>
      </c>
      <c r="AU672">
        <v>2016</v>
      </c>
      <c r="AV672">
        <v>37</v>
      </c>
      <c r="AW672">
        <v>1</v>
      </c>
      <c r="AX672" t="s">
        <v>74</v>
      </c>
      <c r="AY672" t="s">
        <v>74</v>
      </c>
      <c r="AZ672" t="s">
        <v>74</v>
      </c>
      <c r="BA672" t="s">
        <v>74</v>
      </c>
      <c r="BB672">
        <v>89</v>
      </c>
      <c r="BC672">
        <v>104</v>
      </c>
      <c r="BD672" t="s">
        <v>74</v>
      </c>
      <c r="BE672" t="s">
        <v>12976</v>
      </c>
      <c r="BF672" t="str">
        <f>HYPERLINK("http://dx.doi.org/10.1515/popore-2016-0001","http://dx.doi.org/10.1515/popore-2016-0001")</f>
        <v>http://dx.doi.org/10.1515/popore-2016-0001</v>
      </c>
      <c r="BG672" t="s">
        <v>74</v>
      </c>
      <c r="BH672" t="s">
        <v>74</v>
      </c>
      <c r="BI672">
        <v>16</v>
      </c>
      <c r="BJ672" t="s">
        <v>1094</v>
      </c>
      <c r="BK672" t="s">
        <v>102</v>
      </c>
      <c r="BL672" t="s">
        <v>1095</v>
      </c>
      <c r="BM672" t="s">
        <v>10964</v>
      </c>
      <c r="BN672" t="s">
        <v>74</v>
      </c>
      <c r="BO672" t="s">
        <v>495</v>
      </c>
      <c r="BP672" t="s">
        <v>74</v>
      </c>
      <c r="BQ672" t="s">
        <v>74</v>
      </c>
      <c r="BR672" t="s">
        <v>106</v>
      </c>
      <c r="BS672" t="s">
        <v>12977</v>
      </c>
      <c r="BT672" t="str">
        <f>HYPERLINK("https%3A%2F%2Fwww.webofscience.com%2Fwos%2Fwoscc%2Ffull-record%2FWOS:000372467800005","View Full Record in Web of Science")</f>
        <v>View Full Record in Web of Science</v>
      </c>
    </row>
    <row r="673" spans="1:72" x14ac:dyDescent="0.15">
      <c r="A673" t="s">
        <v>72</v>
      </c>
      <c r="B673" t="s">
        <v>12978</v>
      </c>
      <c r="C673" t="s">
        <v>74</v>
      </c>
      <c r="D673" t="s">
        <v>74</v>
      </c>
      <c r="E673" t="s">
        <v>74</v>
      </c>
      <c r="F673" t="s">
        <v>12979</v>
      </c>
      <c r="G673" t="s">
        <v>74</v>
      </c>
      <c r="H673" t="s">
        <v>74</v>
      </c>
      <c r="I673" t="s">
        <v>12980</v>
      </c>
      <c r="J673" t="s">
        <v>1888</v>
      </c>
      <c r="K673" t="s">
        <v>74</v>
      </c>
      <c r="L673" t="s">
        <v>74</v>
      </c>
      <c r="M673" t="s">
        <v>78</v>
      </c>
      <c r="N673" t="s">
        <v>949</v>
      </c>
      <c r="O673" t="s">
        <v>74</v>
      </c>
      <c r="P673" t="s">
        <v>74</v>
      </c>
      <c r="Q673" t="s">
        <v>74</v>
      </c>
      <c r="R673" t="s">
        <v>74</v>
      </c>
      <c r="S673" t="s">
        <v>74</v>
      </c>
      <c r="T673" t="s">
        <v>12981</v>
      </c>
      <c r="U673" t="s">
        <v>12982</v>
      </c>
      <c r="V673" t="s">
        <v>12983</v>
      </c>
      <c r="W673" t="s">
        <v>12984</v>
      </c>
      <c r="X673" t="s">
        <v>12985</v>
      </c>
      <c r="Y673" t="s">
        <v>12986</v>
      </c>
      <c r="Z673" t="s">
        <v>12987</v>
      </c>
      <c r="AA673" t="s">
        <v>74</v>
      </c>
      <c r="AB673" t="s">
        <v>74</v>
      </c>
      <c r="AC673" t="s">
        <v>12988</v>
      </c>
      <c r="AD673" t="s">
        <v>12988</v>
      </c>
      <c r="AE673" t="s">
        <v>12989</v>
      </c>
      <c r="AF673" t="s">
        <v>74</v>
      </c>
      <c r="AG673">
        <v>167</v>
      </c>
      <c r="AH673">
        <v>41</v>
      </c>
      <c r="AI673">
        <v>48</v>
      </c>
      <c r="AJ673">
        <v>5</v>
      </c>
      <c r="AK673">
        <v>71</v>
      </c>
      <c r="AL673" t="s">
        <v>1829</v>
      </c>
      <c r="AM673" t="s">
        <v>679</v>
      </c>
      <c r="AN673" t="s">
        <v>1830</v>
      </c>
      <c r="AO673" t="s">
        <v>1900</v>
      </c>
      <c r="AP673" t="s">
        <v>7238</v>
      </c>
      <c r="AQ673" t="s">
        <v>74</v>
      </c>
      <c r="AR673" t="s">
        <v>1901</v>
      </c>
      <c r="AS673" t="s">
        <v>1902</v>
      </c>
      <c r="AT673" t="s">
        <v>11578</v>
      </c>
      <c r="AU673">
        <v>2016</v>
      </c>
      <c r="AV673">
        <v>135</v>
      </c>
      <c r="AW673" t="s">
        <v>74</v>
      </c>
      <c r="AX673" t="s">
        <v>74</v>
      </c>
      <c r="AY673" t="s">
        <v>74</v>
      </c>
      <c r="AZ673" t="s">
        <v>74</v>
      </c>
      <c r="BA673" t="s">
        <v>74</v>
      </c>
      <c r="BB673">
        <v>115</v>
      </c>
      <c r="BC673">
        <v>137</v>
      </c>
      <c r="BD673" t="s">
        <v>74</v>
      </c>
      <c r="BE673" t="s">
        <v>12990</v>
      </c>
      <c r="BF673" t="str">
        <f>HYPERLINK("http://dx.doi.org/10.1016/j.quascirev.2016.01.023","http://dx.doi.org/10.1016/j.quascirev.2016.01.023")</f>
        <v>http://dx.doi.org/10.1016/j.quascirev.2016.01.023</v>
      </c>
      <c r="BG673" t="s">
        <v>74</v>
      </c>
      <c r="BH673" t="s">
        <v>74</v>
      </c>
      <c r="BI673">
        <v>23</v>
      </c>
      <c r="BJ673" t="s">
        <v>1904</v>
      </c>
      <c r="BK673" t="s">
        <v>102</v>
      </c>
      <c r="BL673" t="s">
        <v>1905</v>
      </c>
      <c r="BM673" t="s">
        <v>12991</v>
      </c>
      <c r="BN673" t="s">
        <v>74</v>
      </c>
      <c r="BO673" t="s">
        <v>74</v>
      </c>
      <c r="BP673" t="s">
        <v>74</v>
      </c>
      <c r="BQ673" t="s">
        <v>74</v>
      </c>
      <c r="BR673" t="s">
        <v>106</v>
      </c>
      <c r="BS673" t="s">
        <v>12992</v>
      </c>
      <c r="BT673" t="str">
        <f>HYPERLINK("https%3A%2F%2Fwww.webofscience.com%2Fwos%2Fwoscc%2Ffull-record%2FWOS:000372376200009","View Full Record in Web of Science")</f>
        <v>View Full Record in Web of Science</v>
      </c>
    </row>
    <row r="674" spans="1:72" x14ac:dyDescent="0.15">
      <c r="A674" t="s">
        <v>72</v>
      </c>
      <c r="B674" t="s">
        <v>12993</v>
      </c>
      <c r="C674" t="s">
        <v>74</v>
      </c>
      <c r="D674" t="s">
        <v>74</v>
      </c>
      <c r="E674" t="s">
        <v>74</v>
      </c>
      <c r="F674" t="s">
        <v>12994</v>
      </c>
      <c r="G674" t="s">
        <v>74</v>
      </c>
      <c r="H674" t="s">
        <v>74</v>
      </c>
      <c r="I674" t="s">
        <v>12995</v>
      </c>
      <c r="J674" t="s">
        <v>2564</v>
      </c>
      <c r="K674" t="s">
        <v>74</v>
      </c>
      <c r="L674" t="s">
        <v>74</v>
      </c>
      <c r="M674" t="s">
        <v>78</v>
      </c>
      <c r="N674" t="s">
        <v>79</v>
      </c>
      <c r="O674" t="s">
        <v>74</v>
      </c>
      <c r="P674" t="s">
        <v>74</v>
      </c>
      <c r="Q674" t="s">
        <v>74</v>
      </c>
      <c r="R674" t="s">
        <v>74</v>
      </c>
      <c r="S674" t="s">
        <v>74</v>
      </c>
      <c r="T674" t="s">
        <v>12996</v>
      </c>
      <c r="U674" t="s">
        <v>12997</v>
      </c>
      <c r="V674" t="s">
        <v>12998</v>
      </c>
      <c r="W674" t="s">
        <v>12999</v>
      </c>
      <c r="X674" t="s">
        <v>13000</v>
      </c>
      <c r="Y674" t="s">
        <v>13001</v>
      </c>
      <c r="Z674" t="s">
        <v>13002</v>
      </c>
      <c r="AA674" t="s">
        <v>13003</v>
      </c>
      <c r="AB674" t="s">
        <v>13004</v>
      </c>
      <c r="AC674" t="s">
        <v>13005</v>
      </c>
      <c r="AD674" t="s">
        <v>13006</v>
      </c>
      <c r="AE674" t="s">
        <v>13007</v>
      </c>
      <c r="AF674" t="s">
        <v>74</v>
      </c>
      <c r="AG674">
        <v>28</v>
      </c>
      <c r="AH674">
        <v>8</v>
      </c>
      <c r="AI674">
        <v>14</v>
      </c>
      <c r="AJ674">
        <v>1</v>
      </c>
      <c r="AK674">
        <v>39</v>
      </c>
      <c r="AL674" t="s">
        <v>2577</v>
      </c>
      <c r="AM674" t="s">
        <v>2578</v>
      </c>
      <c r="AN674" t="s">
        <v>2579</v>
      </c>
      <c r="AO674" t="s">
        <v>74</v>
      </c>
      <c r="AP674" t="s">
        <v>2580</v>
      </c>
      <c r="AQ674" t="s">
        <v>74</v>
      </c>
      <c r="AR674" t="s">
        <v>2581</v>
      </c>
      <c r="AS674" t="s">
        <v>2582</v>
      </c>
      <c r="AT674" t="s">
        <v>10046</v>
      </c>
      <c r="AU674">
        <v>2016</v>
      </c>
      <c r="AV674">
        <v>8</v>
      </c>
      <c r="AW674">
        <v>3</v>
      </c>
      <c r="AX674" t="s">
        <v>74</v>
      </c>
      <c r="AY674" t="s">
        <v>74</v>
      </c>
      <c r="AZ674" t="s">
        <v>74</v>
      </c>
      <c r="BA674" t="s">
        <v>74</v>
      </c>
      <c r="BB674" t="s">
        <v>74</v>
      </c>
      <c r="BC674" t="s">
        <v>74</v>
      </c>
      <c r="BD674">
        <v>242</v>
      </c>
      <c r="BE674" t="s">
        <v>13008</v>
      </c>
      <c r="BF674" t="str">
        <f>HYPERLINK("http://dx.doi.org/10.3390/rs8030242","http://dx.doi.org/10.3390/rs8030242")</f>
        <v>http://dx.doi.org/10.3390/rs8030242</v>
      </c>
      <c r="BG674" t="s">
        <v>74</v>
      </c>
      <c r="BH674" t="s">
        <v>74</v>
      </c>
      <c r="BI674">
        <v>16</v>
      </c>
      <c r="BJ674" t="s">
        <v>2584</v>
      </c>
      <c r="BK674" t="s">
        <v>102</v>
      </c>
      <c r="BL674" t="s">
        <v>2585</v>
      </c>
      <c r="BM674" t="s">
        <v>10545</v>
      </c>
      <c r="BN674" t="s">
        <v>74</v>
      </c>
      <c r="BO674" t="s">
        <v>13009</v>
      </c>
      <c r="BP674" t="s">
        <v>74</v>
      </c>
      <c r="BQ674" t="s">
        <v>74</v>
      </c>
      <c r="BR674" t="s">
        <v>106</v>
      </c>
      <c r="BS674" t="s">
        <v>13010</v>
      </c>
      <c r="BT674" t="str">
        <f>HYPERLINK("https%3A%2F%2Fwww.webofscience.com%2Fwos%2Fwoscc%2Ffull-record%2FWOS:000373627400045","View Full Record in Web of Science")</f>
        <v>View Full Record in Web of Science</v>
      </c>
    </row>
    <row r="675" spans="1:72" x14ac:dyDescent="0.15">
      <c r="A675" t="s">
        <v>72</v>
      </c>
      <c r="B675" t="s">
        <v>13011</v>
      </c>
      <c r="C675" t="s">
        <v>74</v>
      </c>
      <c r="D675" t="s">
        <v>74</v>
      </c>
      <c r="E675" t="s">
        <v>74</v>
      </c>
      <c r="F675" t="s">
        <v>13012</v>
      </c>
      <c r="G675" t="s">
        <v>74</v>
      </c>
      <c r="H675" t="s">
        <v>74</v>
      </c>
      <c r="I675" t="s">
        <v>13013</v>
      </c>
      <c r="J675" t="s">
        <v>4877</v>
      </c>
      <c r="K675" t="s">
        <v>74</v>
      </c>
      <c r="L675" t="s">
        <v>74</v>
      </c>
      <c r="M675" t="s">
        <v>78</v>
      </c>
      <c r="N675" t="s">
        <v>79</v>
      </c>
      <c r="O675" t="s">
        <v>74</v>
      </c>
      <c r="P675" t="s">
        <v>74</v>
      </c>
      <c r="Q675" t="s">
        <v>74</v>
      </c>
      <c r="R675" t="s">
        <v>74</v>
      </c>
      <c r="S675" t="s">
        <v>74</v>
      </c>
      <c r="T675" t="s">
        <v>13014</v>
      </c>
      <c r="U675" t="s">
        <v>13015</v>
      </c>
      <c r="V675" t="s">
        <v>13016</v>
      </c>
      <c r="W675" t="s">
        <v>13017</v>
      </c>
      <c r="X675" t="s">
        <v>2569</v>
      </c>
      <c r="Y675" t="s">
        <v>13018</v>
      </c>
      <c r="Z675" t="s">
        <v>13019</v>
      </c>
      <c r="AA675" t="s">
        <v>13020</v>
      </c>
      <c r="AB675" t="s">
        <v>13021</v>
      </c>
      <c r="AC675" t="s">
        <v>13022</v>
      </c>
      <c r="AD675" t="s">
        <v>13023</v>
      </c>
      <c r="AE675" t="s">
        <v>13024</v>
      </c>
      <c r="AF675" t="s">
        <v>74</v>
      </c>
      <c r="AG675">
        <v>42</v>
      </c>
      <c r="AH675">
        <v>64</v>
      </c>
      <c r="AI675">
        <v>70</v>
      </c>
      <c r="AJ675">
        <v>6</v>
      </c>
      <c r="AK675">
        <v>89</v>
      </c>
      <c r="AL675" t="s">
        <v>2034</v>
      </c>
      <c r="AM675" t="s">
        <v>262</v>
      </c>
      <c r="AN675" t="s">
        <v>2035</v>
      </c>
      <c r="AO675" t="s">
        <v>4889</v>
      </c>
      <c r="AP675" t="s">
        <v>4890</v>
      </c>
      <c r="AQ675" t="s">
        <v>74</v>
      </c>
      <c r="AR675" t="s">
        <v>4891</v>
      </c>
      <c r="AS675" t="s">
        <v>4892</v>
      </c>
      <c r="AT675" t="s">
        <v>11578</v>
      </c>
      <c r="AU675">
        <v>2016</v>
      </c>
      <c r="AV675">
        <v>174</v>
      </c>
      <c r="AW675" t="s">
        <v>74</v>
      </c>
      <c r="AX675" t="s">
        <v>74</v>
      </c>
      <c r="AY675" t="s">
        <v>74</v>
      </c>
      <c r="AZ675" t="s">
        <v>74</v>
      </c>
      <c r="BA675" t="s">
        <v>74</v>
      </c>
      <c r="BB675">
        <v>56</v>
      </c>
      <c r="BC675">
        <v>68</v>
      </c>
      <c r="BD675" t="s">
        <v>74</v>
      </c>
      <c r="BE675" t="s">
        <v>13025</v>
      </c>
      <c r="BF675" t="str">
        <f>HYPERLINK("http://dx.doi.org/10.1016/j.rse.2015.11.031","http://dx.doi.org/10.1016/j.rse.2015.11.031")</f>
        <v>http://dx.doi.org/10.1016/j.rse.2015.11.031</v>
      </c>
      <c r="BG675" t="s">
        <v>74</v>
      </c>
      <c r="BH675" t="s">
        <v>74</v>
      </c>
      <c r="BI675">
        <v>13</v>
      </c>
      <c r="BJ675" t="s">
        <v>4894</v>
      </c>
      <c r="BK675" t="s">
        <v>102</v>
      </c>
      <c r="BL675" t="s">
        <v>4895</v>
      </c>
      <c r="BM675" t="s">
        <v>13026</v>
      </c>
      <c r="BN675" t="s">
        <v>74</v>
      </c>
      <c r="BO675" t="s">
        <v>74</v>
      </c>
      <c r="BP675" t="s">
        <v>74</v>
      </c>
      <c r="BQ675" t="s">
        <v>74</v>
      </c>
      <c r="BR675" t="s">
        <v>106</v>
      </c>
      <c r="BS675" t="s">
        <v>13027</v>
      </c>
      <c r="BT675" t="str">
        <f>HYPERLINK("https%3A%2F%2Fwww.webofscience.com%2Fwos%2Fwoscc%2Ffull-record%2FWOS:000368746800005","View Full Record in Web of Science")</f>
        <v>View Full Record in Web of Science</v>
      </c>
    </row>
    <row r="676" spans="1:72" x14ac:dyDescent="0.15">
      <c r="A676" t="s">
        <v>72</v>
      </c>
      <c r="B676" t="s">
        <v>13028</v>
      </c>
      <c r="C676" t="s">
        <v>74</v>
      </c>
      <c r="D676" t="s">
        <v>74</v>
      </c>
      <c r="E676" t="s">
        <v>74</v>
      </c>
      <c r="F676" t="s">
        <v>13029</v>
      </c>
      <c r="G676" t="s">
        <v>74</v>
      </c>
      <c r="H676" t="s">
        <v>13030</v>
      </c>
      <c r="I676" t="s">
        <v>13031</v>
      </c>
      <c r="J676" t="s">
        <v>13032</v>
      </c>
      <c r="K676" t="s">
        <v>74</v>
      </c>
      <c r="L676" t="s">
        <v>74</v>
      </c>
      <c r="M676" t="s">
        <v>78</v>
      </c>
      <c r="N676" t="s">
        <v>949</v>
      </c>
      <c r="O676" t="s">
        <v>74</v>
      </c>
      <c r="P676" t="s">
        <v>74</v>
      </c>
      <c r="Q676" t="s">
        <v>74</v>
      </c>
      <c r="R676" t="s">
        <v>74</v>
      </c>
      <c r="S676" t="s">
        <v>74</v>
      </c>
      <c r="T676" t="s">
        <v>13033</v>
      </c>
      <c r="U676" t="s">
        <v>13034</v>
      </c>
      <c r="V676" t="s">
        <v>13035</v>
      </c>
      <c r="W676" t="s">
        <v>13036</v>
      </c>
      <c r="X676" t="s">
        <v>13037</v>
      </c>
      <c r="Y676" t="s">
        <v>12568</v>
      </c>
      <c r="Z676" t="s">
        <v>12569</v>
      </c>
      <c r="AA676" t="s">
        <v>13038</v>
      </c>
      <c r="AB676" t="s">
        <v>13039</v>
      </c>
      <c r="AC676" t="s">
        <v>13040</v>
      </c>
      <c r="AD676" t="s">
        <v>13041</v>
      </c>
      <c r="AE676" t="s">
        <v>13042</v>
      </c>
      <c r="AF676" t="s">
        <v>74</v>
      </c>
      <c r="AG676">
        <v>381</v>
      </c>
      <c r="AH676">
        <v>310</v>
      </c>
      <c r="AI676">
        <v>326</v>
      </c>
      <c r="AJ676">
        <v>13</v>
      </c>
      <c r="AK676">
        <v>364</v>
      </c>
      <c r="AL676" t="s">
        <v>92</v>
      </c>
      <c r="AM676" t="s">
        <v>93</v>
      </c>
      <c r="AN676" t="s">
        <v>94</v>
      </c>
      <c r="AO676" t="s">
        <v>13043</v>
      </c>
      <c r="AP676" t="s">
        <v>13044</v>
      </c>
      <c r="AQ676" t="s">
        <v>74</v>
      </c>
      <c r="AR676" t="s">
        <v>13045</v>
      </c>
      <c r="AS676" t="s">
        <v>13046</v>
      </c>
      <c r="AT676" t="s">
        <v>10046</v>
      </c>
      <c r="AU676">
        <v>2016</v>
      </c>
      <c r="AV676">
        <v>54</v>
      </c>
      <c r="AW676">
        <v>1</v>
      </c>
      <c r="AX676" t="s">
        <v>74</v>
      </c>
      <c r="AY676" t="s">
        <v>74</v>
      </c>
      <c r="AZ676" t="s">
        <v>74</v>
      </c>
      <c r="BA676" t="s">
        <v>74</v>
      </c>
      <c r="BB676">
        <v>162</v>
      </c>
      <c r="BC676">
        <v>219</v>
      </c>
      <c r="BD676" t="s">
        <v>74</v>
      </c>
      <c r="BE676" t="s">
        <v>13047</v>
      </c>
      <c r="BF676" t="str">
        <f>HYPERLINK("http://dx.doi.org/10.1002/2015RG000482","http://dx.doi.org/10.1002/2015RG000482")</f>
        <v>http://dx.doi.org/10.1002/2015RG000482</v>
      </c>
      <c r="BG676" t="s">
        <v>74</v>
      </c>
      <c r="BH676" t="s">
        <v>74</v>
      </c>
      <c r="BI676">
        <v>58</v>
      </c>
      <c r="BJ676" t="s">
        <v>727</v>
      </c>
      <c r="BK676" t="s">
        <v>102</v>
      </c>
      <c r="BL676" t="s">
        <v>727</v>
      </c>
      <c r="BM676" t="s">
        <v>13048</v>
      </c>
      <c r="BN676" t="s">
        <v>74</v>
      </c>
      <c r="BO676" t="s">
        <v>13049</v>
      </c>
      <c r="BP676" t="s">
        <v>1046</v>
      </c>
      <c r="BQ676" t="s">
        <v>1047</v>
      </c>
      <c r="BR676" t="s">
        <v>106</v>
      </c>
      <c r="BS676" t="s">
        <v>13050</v>
      </c>
      <c r="BT676" t="str">
        <f>HYPERLINK("https%3A%2F%2Fwww.webofscience.com%2Fwos%2Fwoscc%2Ffull-record%2FWOS:000374690300005","View Full Record in Web of Science")</f>
        <v>View Full Record in Web of Science</v>
      </c>
    </row>
    <row r="677" spans="1:72" x14ac:dyDescent="0.15">
      <c r="A677" t="s">
        <v>72</v>
      </c>
      <c r="B677" t="s">
        <v>13051</v>
      </c>
      <c r="C677" t="s">
        <v>74</v>
      </c>
      <c r="D677" t="s">
        <v>74</v>
      </c>
      <c r="E677" t="s">
        <v>74</v>
      </c>
      <c r="F677" t="s">
        <v>13052</v>
      </c>
      <c r="G677" t="s">
        <v>74</v>
      </c>
      <c r="H677" t="s">
        <v>74</v>
      </c>
      <c r="I677" t="s">
        <v>13053</v>
      </c>
      <c r="J677" t="s">
        <v>2696</v>
      </c>
      <c r="K677" t="s">
        <v>74</v>
      </c>
      <c r="L677" t="s">
        <v>74</v>
      </c>
      <c r="M677" t="s">
        <v>78</v>
      </c>
      <c r="N677" t="s">
        <v>79</v>
      </c>
      <c r="O677" t="s">
        <v>74</v>
      </c>
      <c r="P677" t="s">
        <v>74</v>
      </c>
      <c r="Q677" t="s">
        <v>74</v>
      </c>
      <c r="R677" t="s">
        <v>74</v>
      </c>
      <c r="S677" t="s">
        <v>74</v>
      </c>
      <c r="T677" t="s">
        <v>13054</v>
      </c>
      <c r="U677" t="s">
        <v>13055</v>
      </c>
      <c r="V677" t="s">
        <v>13056</v>
      </c>
      <c r="W677" t="s">
        <v>13057</v>
      </c>
      <c r="X677" t="s">
        <v>13058</v>
      </c>
      <c r="Y677" t="s">
        <v>13059</v>
      </c>
      <c r="Z677" t="s">
        <v>13060</v>
      </c>
      <c r="AA677" t="s">
        <v>13061</v>
      </c>
      <c r="AB677" t="s">
        <v>13062</v>
      </c>
      <c r="AC677" t="s">
        <v>13063</v>
      </c>
      <c r="AD677" t="s">
        <v>13064</v>
      </c>
      <c r="AE677" t="s">
        <v>13065</v>
      </c>
      <c r="AF677" t="s">
        <v>74</v>
      </c>
      <c r="AG677">
        <v>61</v>
      </c>
      <c r="AH677">
        <v>30</v>
      </c>
      <c r="AI677">
        <v>34</v>
      </c>
      <c r="AJ677">
        <v>2</v>
      </c>
      <c r="AK677">
        <v>30</v>
      </c>
      <c r="AL677" t="s">
        <v>2709</v>
      </c>
      <c r="AM677" t="s">
        <v>773</v>
      </c>
      <c r="AN677" t="s">
        <v>2710</v>
      </c>
      <c r="AO677" t="s">
        <v>2711</v>
      </c>
      <c r="AP677" t="s">
        <v>74</v>
      </c>
      <c r="AQ677" t="s">
        <v>74</v>
      </c>
      <c r="AR677" t="s">
        <v>2712</v>
      </c>
      <c r="AS677" t="s">
        <v>2713</v>
      </c>
      <c r="AT677" t="s">
        <v>10046</v>
      </c>
      <c r="AU677">
        <v>2016</v>
      </c>
      <c r="AV677">
        <v>3</v>
      </c>
      <c r="AW677">
        <v>3</v>
      </c>
      <c r="AX677" t="s">
        <v>74</v>
      </c>
      <c r="AY677" t="s">
        <v>74</v>
      </c>
      <c r="AZ677" t="s">
        <v>74</v>
      </c>
      <c r="BA677" t="s">
        <v>74</v>
      </c>
      <c r="BB677" t="s">
        <v>74</v>
      </c>
      <c r="BC677" t="s">
        <v>74</v>
      </c>
      <c r="BD677">
        <v>150669</v>
      </c>
      <c r="BE677" t="s">
        <v>13066</v>
      </c>
      <c r="BF677" t="str">
        <f>HYPERLINK("http://dx.doi.org/10.1098/rsos.150669","http://dx.doi.org/10.1098/rsos.150669")</f>
        <v>http://dx.doi.org/10.1098/rsos.150669</v>
      </c>
      <c r="BG677" t="s">
        <v>74</v>
      </c>
      <c r="BH677" t="s">
        <v>74</v>
      </c>
      <c r="BI677">
        <v>16</v>
      </c>
      <c r="BJ677" t="s">
        <v>753</v>
      </c>
      <c r="BK677" t="s">
        <v>102</v>
      </c>
      <c r="BL677" t="s">
        <v>754</v>
      </c>
      <c r="BM677" t="s">
        <v>13067</v>
      </c>
      <c r="BN677">
        <v>27069657</v>
      </c>
      <c r="BO677" t="s">
        <v>1215</v>
      </c>
      <c r="BP677" t="s">
        <v>74</v>
      </c>
      <c r="BQ677" t="s">
        <v>74</v>
      </c>
      <c r="BR677" t="s">
        <v>106</v>
      </c>
      <c r="BS677" t="s">
        <v>13068</v>
      </c>
      <c r="BT677" t="str">
        <f>HYPERLINK("https%3A%2F%2Fwww.webofscience.com%2Fwos%2Fwoscc%2Ffull-record%2FWOS:000377969200019","View Full Record in Web of Science")</f>
        <v>View Full Record in Web of Science</v>
      </c>
    </row>
    <row r="678" spans="1:72" x14ac:dyDescent="0.15">
      <c r="A678" t="s">
        <v>72</v>
      </c>
      <c r="B678" t="s">
        <v>13069</v>
      </c>
      <c r="C678" t="s">
        <v>74</v>
      </c>
      <c r="D678" t="s">
        <v>74</v>
      </c>
      <c r="E678" t="s">
        <v>74</v>
      </c>
      <c r="F678" t="s">
        <v>13070</v>
      </c>
      <c r="G678" t="s">
        <v>74</v>
      </c>
      <c r="H678" t="s">
        <v>74</v>
      </c>
      <c r="I678" t="s">
        <v>13071</v>
      </c>
      <c r="J678" t="s">
        <v>6989</v>
      </c>
      <c r="K678" t="s">
        <v>74</v>
      </c>
      <c r="L678" t="s">
        <v>74</v>
      </c>
      <c r="M678" t="s">
        <v>78</v>
      </c>
      <c r="N678" t="s">
        <v>79</v>
      </c>
      <c r="O678" t="s">
        <v>74</v>
      </c>
      <c r="P678" t="s">
        <v>74</v>
      </c>
      <c r="Q678" t="s">
        <v>74</v>
      </c>
      <c r="R678" t="s">
        <v>74</v>
      </c>
      <c r="S678" t="s">
        <v>74</v>
      </c>
      <c r="T678" t="s">
        <v>13072</v>
      </c>
      <c r="U678" t="s">
        <v>13073</v>
      </c>
      <c r="V678" t="s">
        <v>13074</v>
      </c>
      <c r="W678" t="s">
        <v>13075</v>
      </c>
      <c r="X678" t="s">
        <v>13076</v>
      </c>
      <c r="Y678" t="s">
        <v>13077</v>
      </c>
      <c r="Z678" t="s">
        <v>13078</v>
      </c>
      <c r="AA678" t="s">
        <v>13079</v>
      </c>
      <c r="AB678" t="s">
        <v>13080</v>
      </c>
      <c r="AC678" t="s">
        <v>13081</v>
      </c>
      <c r="AD678" t="s">
        <v>13082</v>
      </c>
      <c r="AE678" t="s">
        <v>13083</v>
      </c>
      <c r="AF678" t="s">
        <v>74</v>
      </c>
      <c r="AG678">
        <v>36</v>
      </c>
      <c r="AH678">
        <v>12</v>
      </c>
      <c r="AI678">
        <v>13</v>
      </c>
      <c r="AJ678">
        <v>1</v>
      </c>
      <c r="AK678">
        <v>30</v>
      </c>
      <c r="AL678" t="s">
        <v>3709</v>
      </c>
      <c r="AM678" t="s">
        <v>3710</v>
      </c>
      <c r="AN678" t="s">
        <v>3711</v>
      </c>
      <c r="AO678" t="s">
        <v>7001</v>
      </c>
      <c r="AP678" t="s">
        <v>7002</v>
      </c>
      <c r="AQ678" t="s">
        <v>74</v>
      </c>
      <c r="AR678" t="s">
        <v>7003</v>
      </c>
      <c r="AS678" t="s">
        <v>7004</v>
      </c>
      <c r="AT678" t="s">
        <v>10046</v>
      </c>
      <c r="AU678">
        <v>2016</v>
      </c>
      <c r="AV678">
        <v>61</v>
      </c>
      <c r="AW678">
        <v>5</v>
      </c>
      <c r="AX678" t="s">
        <v>74</v>
      </c>
      <c r="AY678" t="s">
        <v>74</v>
      </c>
      <c r="AZ678" t="s">
        <v>74</v>
      </c>
      <c r="BA678" t="s">
        <v>74</v>
      </c>
      <c r="BB678">
        <v>383</v>
      </c>
      <c r="BC678">
        <v>390</v>
      </c>
      <c r="BD678" t="s">
        <v>74</v>
      </c>
      <c r="BE678" t="s">
        <v>13084</v>
      </c>
      <c r="BF678" t="str">
        <f>HYPERLINK("http://dx.doi.org/10.1007/s11434-016-1015-0","http://dx.doi.org/10.1007/s11434-016-1015-0")</f>
        <v>http://dx.doi.org/10.1007/s11434-016-1015-0</v>
      </c>
      <c r="BG678" t="s">
        <v>74</v>
      </c>
      <c r="BH678" t="s">
        <v>74</v>
      </c>
      <c r="BI678">
        <v>8</v>
      </c>
      <c r="BJ678" t="s">
        <v>753</v>
      </c>
      <c r="BK678" t="s">
        <v>102</v>
      </c>
      <c r="BL678" t="s">
        <v>754</v>
      </c>
      <c r="BM678" t="s">
        <v>13085</v>
      </c>
      <c r="BN678" t="s">
        <v>74</v>
      </c>
      <c r="BO678" t="s">
        <v>74</v>
      </c>
      <c r="BP678" t="s">
        <v>74</v>
      </c>
      <c r="BQ678" t="s">
        <v>74</v>
      </c>
      <c r="BR678" t="s">
        <v>106</v>
      </c>
      <c r="BS678" t="s">
        <v>13086</v>
      </c>
      <c r="BT678" t="str">
        <f>HYPERLINK("https%3A%2F%2Fwww.webofscience.com%2Fwos%2Fwoscc%2Ffull-record%2FWOS:000371276900007","View Full Record in Web of Science")</f>
        <v>View Full Record in Web of Science</v>
      </c>
    </row>
    <row r="679" spans="1:72" x14ac:dyDescent="0.15">
      <c r="A679" t="s">
        <v>72</v>
      </c>
      <c r="B679" t="s">
        <v>13087</v>
      </c>
      <c r="C679" t="s">
        <v>74</v>
      </c>
      <c r="D679" t="s">
        <v>74</v>
      </c>
      <c r="E679" t="s">
        <v>74</v>
      </c>
      <c r="F679" t="s">
        <v>13088</v>
      </c>
      <c r="G679" t="s">
        <v>74</v>
      </c>
      <c r="H679" t="s">
        <v>74</v>
      </c>
      <c r="I679" t="s">
        <v>13089</v>
      </c>
      <c r="J679" t="s">
        <v>13090</v>
      </c>
      <c r="K679" t="s">
        <v>74</v>
      </c>
      <c r="L679" t="s">
        <v>74</v>
      </c>
      <c r="M679" t="s">
        <v>78</v>
      </c>
      <c r="N679" t="s">
        <v>79</v>
      </c>
      <c r="O679" t="s">
        <v>74</v>
      </c>
      <c r="P679" t="s">
        <v>74</v>
      </c>
      <c r="Q679" t="s">
        <v>74</v>
      </c>
      <c r="R679" t="s">
        <v>74</v>
      </c>
      <c r="S679" t="s">
        <v>74</v>
      </c>
      <c r="T679" t="s">
        <v>13091</v>
      </c>
      <c r="U679" t="s">
        <v>13092</v>
      </c>
      <c r="V679" t="s">
        <v>13093</v>
      </c>
      <c r="W679" t="s">
        <v>13094</v>
      </c>
      <c r="X679" t="s">
        <v>145</v>
      </c>
      <c r="Y679" t="s">
        <v>13095</v>
      </c>
      <c r="Z679" t="s">
        <v>13096</v>
      </c>
      <c r="AA679" t="s">
        <v>74</v>
      </c>
      <c r="AB679" t="s">
        <v>13097</v>
      </c>
      <c r="AC679" t="s">
        <v>13098</v>
      </c>
      <c r="AD679" t="s">
        <v>13099</v>
      </c>
      <c r="AE679" t="s">
        <v>13100</v>
      </c>
      <c r="AF679" t="s">
        <v>74</v>
      </c>
      <c r="AG679">
        <v>33</v>
      </c>
      <c r="AH679">
        <v>5</v>
      </c>
      <c r="AI679">
        <v>5</v>
      </c>
      <c r="AJ679">
        <v>0</v>
      </c>
      <c r="AK679">
        <v>9</v>
      </c>
      <c r="AL679" t="s">
        <v>559</v>
      </c>
      <c r="AM679" t="s">
        <v>560</v>
      </c>
      <c r="AN679" t="s">
        <v>561</v>
      </c>
      <c r="AO679" t="s">
        <v>13101</v>
      </c>
      <c r="AP679" t="s">
        <v>13102</v>
      </c>
      <c r="AQ679" t="s">
        <v>74</v>
      </c>
      <c r="AR679" t="s">
        <v>13103</v>
      </c>
      <c r="AS679" t="s">
        <v>13104</v>
      </c>
      <c r="AT679" t="s">
        <v>10046</v>
      </c>
      <c r="AU679">
        <v>2016</v>
      </c>
      <c r="AV679">
        <v>9</v>
      </c>
      <c r="AW679">
        <v>1</v>
      </c>
      <c r="AX679" t="s">
        <v>74</v>
      </c>
      <c r="AY679" t="s">
        <v>74</v>
      </c>
      <c r="AZ679" t="s">
        <v>589</v>
      </c>
      <c r="BA679" t="s">
        <v>74</v>
      </c>
      <c r="BB679">
        <v>73</v>
      </c>
      <c r="BC679">
        <v>81</v>
      </c>
      <c r="BD679" t="s">
        <v>74</v>
      </c>
      <c r="BE679" t="s">
        <v>13105</v>
      </c>
      <c r="BF679" t="str">
        <f>HYPERLINK("http://dx.doi.org/10.1007/s12080-015-0270-z","http://dx.doi.org/10.1007/s12080-015-0270-z")</f>
        <v>http://dx.doi.org/10.1007/s12080-015-0270-z</v>
      </c>
      <c r="BG679" t="s">
        <v>74</v>
      </c>
      <c r="BH679" t="s">
        <v>74</v>
      </c>
      <c r="BI679">
        <v>9</v>
      </c>
      <c r="BJ679" t="s">
        <v>4041</v>
      </c>
      <c r="BK679" t="s">
        <v>102</v>
      </c>
      <c r="BL679" t="s">
        <v>465</v>
      </c>
      <c r="BM679" t="s">
        <v>13106</v>
      </c>
      <c r="BN679" t="s">
        <v>74</v>
      </c>
      <c r="BO679" t="s">
        <v>203</v>
      </c>
      <c r="BP679" t="s">
        <v>74</v>
      </c>
      <c r="BQ679" t="s">
        <v>74</v>
      </c>
      <c r="BR679" t="s">
        <v>106</v>
      </c>
      <c r="BS679" t="s">
        <v>13107</v>
      </c>
      <c r="BT679" t="str">
        <f>HYPERLINK("https%3A%2F%2Fwww.webofscience.com%2Fwos%2Fwoscc%2Ffull-record%2FWOS:000373308600008","View Full Record in Web of Science")</f>
        <v>View Full Record in Web of Science</v>
      </c>
    </row>
    <row r="680" spans="1:72" x14ac:dyDescent="0.15">
      <c r="A680" t="s">
        <v>72</v>
      </c>
      <c r="B680" t="s">
        <v>13108</v>
      </c>
      <c r="C680" t="s">
        <v>74</v>
      </c>
      <c r="D680" t="s">
        <v>74</v>
      </c>
      <c r="E680" t="s">
        <v>74</v>
      </c>
      <c r="F680" t="s">
        <v>13109</v>
      </c>
      <c r="G680" t="s">
        <v>74</v>
      </c>
      <c r="H680" t="s">
        <v>74</v>
      </c>
      <c r="I680" t="s">
        <v>13110</v>
      </c>
      <c r="J680" t="s">
        <v>4385</v>
      </c>
      <c r="K680" t="s">
        <v>74</v>
      </c>
      <c r="L680" t="s">
        <v>74</v>
      </c>
      <c r="M680" t="s">
        <v>78</v>
      </c>
      <c r="N680" t="s">
        <v>79</v>
      </c>
      <c r="O680" t="s">
        <v>74</v>
      </c>
      <c r="P680" t="s">
        <v>74</v>
      </c>
      <c r="Q680" t="s">
        <v>74</v>
      </c>
      <c r="R680" t="s">
        <v>74</v>
      </c>
      <c r="S680" t="s">
        <v>74</v>
      </c>
      <c r="T680" t="s">
        <v>13111</v>
      </c>
      <c r="U680" t="s">
        <v>13112</v>
      </c>
      <c r="V680" t="s">
        <v>13113</v>
      </c>
      <c r="W680" t="s">
        <v>13114</v>
      </c>
      <c r="X680" t="s">
        <v>13115</v>
      </c>
      <c r="Y680" t="s">
        <v>13116</v>
      </c>
      <c r="Z680" t="s">
        <v>13117</v>
      </c>
      <c r="AA680" t="s">
        <v>13118</v>
      </c>
      <c r="AB680" t="s">
        <v>13119</v>
      </c>
      <c r="AC680" t="s">
        <v>13120</v>
      </c>
      <c r="AD680" t="s">
        <v>13121</v>
      </c>
      <c r="AE680" t="s">
        <v>13122</v>
      </c>
      <c r="AF680" t="s">
        <v>74</v>
      </c>
      <c r="AG680">
        <v>43</v>
      </c>
      <c r="AH680">
        <v>2</v>
      </c>
      <c r="AI680">
        <v>2</v>
      </c>
      <c r="AJ680">
        <v>1</v>
      </c>
      <c r="AK680">
        <v>41</v>
      </c>
      <c r="AL680" t="s">
        <v>582</v>
      </c>
      <c r="AM680" t="s">
        <v>583</v>
      </c>
      <c r="AN680" t="s">
        <v>584</v>
      </c>
      <c r="AO680" t="s">
        <v>4395</v>
      </c>
      <c r="AP680" t="s">
        <v>4396</v>
      </c>
      <c r="AQ680" t="s">
        <v>74</v>
      </c>
      <c r="AR680" t="s">
        <v>4397</v>
      </c>
      <c r="AS680" t="s">
        <v>4398</v>
      </c>
      <c r="AT680" t="s">
        <v>10046</v>
      </c>
      <c r="AU680">
        <v>2016</v>
      </c>
      <c r="AV680">
        <v>476</v>
      </c>
      <c r="AW680" t="s">
        <v>74</v>
      </c>
      <c r="AX680" t="s">
        <v>74</v>
      </c>
      <c r="AY680" t="s">
        <v>74</v>
      </c>
      <c r="AZ680" t="s">
        <v>74</v>
      </c>
      <c r="BA680" t="s">
        <v>74</v>
      </c>
      <c r="BB680">
        <v>72</v>
      </c>
      <c r="BC680">
        <v>77</v>
      </c>
      <c r="BD680" t="s">
        <v>74</v>
      </c>
      <c r="BE680" t="s">
        <v>13123</v>
      </c>
      <c r="BF680" t="str">
        <f>HYPERLINK("http://dx.doi.org/10.1016/j.jembe.2015.12.008","http://dx.doi.org/10.1016/j.jembe.2015.12.008")</f>
        <v>http://dx.doi.org/10.1016/j.jembe.2015.12.008</v>
      </c>
      <c r="BG680" t="s">
        <v>74</v>
      </c>
      <c r="BH680" t="s">
        <v>74</v>
      </c>
      <c r="BI680">
        <v>6</v>
      </c>
      <c r="BJ680" t="s">
        <v>4400</v>
      </c>
      <c r="BK680" t="s">
        <v>102</v>
      </c>
      <c r="BL680" t="s">
        <v>1839</v>
      </c>
      <c r="BM680" t="s">
        <v>13124</v>
      </c>
      <c r="BN680" t="s">
        <v>74</v>
      </c>
      <c r="BO680" t="s">
        <v>222</v>
      </c>
      <c r="BP680" t="s">
        <v>74</v>
      </c>
      <c r="BQ680" t="s">
        <v>74</v>
      </c>
      <c r="BR680" t="s">
        <v>106</v>
      </c>
      <c r="BS680" t="s">
        <v>13125</v>
      </c>
      <c r="BT680" t="str">
        <f>HYPERLINK("https%3A%2F%2Fwww.webofscience.com%2Fwos%2Fwoscc%2Ffull-record%2FWOS:000369457100010","View Full Record in Web of Science")</f>
        <v>View Full Record in Web of Science</v>
      </c>
    </row>
    <row r="681" spans="1:72" x14ac:dyDescent="0.15">
      <c r="A681" t="s">
        <v>72</v>
      </c>
      <c r="B681" t="s">
        <v>13126</v>
      </c>
      <c r="C681" t="s">
        <v>74</v>
      </c>
      <c r="D681" t="s">
        <v>74</v>
      </c>
      <c r="E681" t="s">
        <v>74</v>
      </c>
      <c r="F681" t="s">
        <v>13127</v>
      </c>
      <c r="G681" t="s">
        <v>74</v>
      </c>
      <c r="H681" t="s">
        <v>74</v>
      </c>
      <c r="I681" t="s">
        <v>13128</v>
      </c>
      <c r="J681" t="s">
        <v>5076</v>
      </c>
      <c r="K681" t="s">
        <v>74</v>
      </c>
      <c r="L681" t="s">
        <v>74</v>
      </c>
      <c r="M681" t="s">
        <v>78</v>
      </c>
      <c r="N681" t="s">
        <v>79</v>
      </c>
      <c r="O681" t="s">
        <v>74</v>
      </c>
      <c r="P681" t="s">
        <v>74</v>
      </c>
      <c r="Q681" t="s">
        <v>74</v>
      </c>
      <c r="R681" t="s">
        <v>74</v>
      </c>
      <c r="S681" t="s">
        <v>74</v>
      </c>
      <c r="T681" t="s">
        <v>13129</v>
      </c>
      <c r="U681" t="s">
        <v>13130</v>
      </c>
      <c r="V681" t="s">
        <v>13131</v>
      </c>
      <c r="W681" t="s">
        <v>13132</v>
      </c>
      <c r="X681" t="s">
        <v>1057</v>
      </c>
      <c r="Y681" t="s">
        <v>13133</v>
      </c>
      <c r="Z681" t="s">
        <v>13134</v>
      </c>
      <c r="AA681" t="s">
        <v>13135</v>
      </c>
      <c r="AB681" t="s">
        <v>13136</v>
      </c>
      <c r="AC681" t="s">
        <v>13137</v>
      </c>
      <c r="AD681" t="s">
        <v>13138</v>
      </c>
      <c r="AE681" t="s">
        <v>13139</v>
      </c>
      <c r="AF681" t="s">
        <v>74</v>
      </c>
      <c r="AG681">
        <v>82</v>
      </c>
      <c r="AH681">
        <v>5</v>
      </c>
      <c r="AI681">
        <v>6</v>
      </c>
      <c r="AJ681">
        <v>0</v>
      </c>
      <c r="AK681">
        <v>26</v>
      </c>
      <c r="AL681" t="s">
        <v>626</v>
      </c>
      <c r="AM681" t="s">
        <v>583</v>
      </c>
      <c r="AN681" t="s">
        <v>627</v>
      </c>
      <c r="AO681" t="s">
        <v>5087</v>
      </c>
      <c r="AP681" t="s">
        <v>5088</v>
      </c>
      <c r="AQ681" t="s">
        <v>74</v>
      </c>
      <c r="AR681" t="s">
        <v>5089</v>
      </c>
      <c r="AS681" t="s">
        <v>5090</v>
      </c>
      <c r="AT681" t="s">
        <v>10046</v>
      </c>
      <c r="AU681">
        <v>2016</v>
      </c>
      <c r="AV681">
        <v>175</v>
      </c>
      <c r="AW681" t="s">
        <v>74</v>
      </c>
      <c r="AX681" t="s">
        <v>74</v>
      </c>
      <c r="AY681" t="s">
        <v>74</v>
      </c>
      <c r="AZ681" t="s">
        <v>74</v>
      </c>
      <c r="BA681" t="s">
        <v>74</v>
      </c>
      <c r="BB681">
        <v>75</v>
      </c>
      <c r="BC681">
        <v>86</v>
      </c>
      <c r="BD681" t="s">
        <v>74</v>
      </c>
      <c r="BE681" t="s">
        <v>13140</v>
      </c>
      <c r="BF681" t="str">
        <f>HYPERLINK("http://dx.doi.org/10.1016/j.fishres.2015.11.015","http://dx.doi.org/10.1016/j.fishres.2015.11.015")</f>
        <v>http://dx.doi.org/10.1016/j.fishres.2015.11.015</v>
      </c>
      <c r="BG681" t="s">
        <v>74</v>
      </c>
      <c r="BH681" t="s">
        <v>74</v>
      </c>
      <c r="BI681">
        <v>12</v>
      </c>
      <c r="BJ681" t="s">
        <v>1070</v>
      </c>
      <c r="BK681" t="s">
        <v>102</v>
      </c>
      <c r="BL681" t="s">
        <v>1070</v>
      </c>
      <c r="BM681" t="s">
        <v>13141</v>
      </c>
      <c r="BN681" t="s">
        <v>74</v>
      </c>
      <c r="BO681" t="s">
        <v>74</v>
      </c>
      <c r="BP681" t="s">
        <v>74</v>
      </c>
      <c r="BQ681" t="s">
        <v>74</v>
      </c>
      <c r="BR681" t="s">
        <v>106</v>
      </c>
      <c r="BS681" t="s">
        <v>13142</v>
      </c>
      <c r="BT681" t="str">
        <f>HYPERLINK("https%3A%2F%2Fwww.webofscience.com%2Fwos%2Fwoscc%2Ffull-record%2FWOS:000368216100009","View Full Record in Web of Science")</f>
        <v>View Full Record in Web of Science</v>
      </c>
    </row>
    <row r="682" spans="1:72" x14ac:dyDescent="0.15">
      <c r="A682" t="s">
        <v>72</v>
      </c>
      <c r="B682" t="s">
        <v>13143</v>
      </c>
      <c r="C682" t="s">
        <v>74</v>
      </c>
      <c r="D682" t="s">
        <v>74</v>
      </c>
      <c r="E682" t="s">
        <v>74</v>
      </c>
      <c r="F682" t="s">
        <v>13144</v>
      </c>
      <c r="G682" t="s">
        <v>74</v>
      </c>
      <c r="H682" t="s">
        <v>74</v>
      </c>
      <c r="I682" t="s">
        <v>13145</v>
      </c>
      <c r="J682" t="s">
        <v>13146</v>
      </c>
      <c r="K682" t="s">
        <v>74</v>
      </c>
      <c r="L682" t="s">
        <v>74</v>
      </c>
      <c r="M682" t="s">
        <v>78</v>
      </c>
      <c r="N682" t="s">
        <v>79</v>
      </c>
      <c r="O682" t="s">
        <v>74</v>
      </c>
      <c r="P682" t="s">
        <v>74</v>
      </c>
      <c r="Q682" t="s">
        <v>74</v>
      </c>
      <c r="R682" t="s">
        <v>74</v>
      </c>
      <c r="S682" t="s">
        <v>74</v>
      </c>
      <c r="T682" t="s">
        <v>13147</v>
      </c>
      <c r="U682" t="s">
        <v>13148</v>
      </c>
      <c r="V682" t="s">
        <v>13149</v>
      </c>
      <c r="W682" t="s">
        <v>13150</v>
      </c>
      <c r="X682" t="s">
        <v>13151</v>
      </c>
      <c r="Y682" t="s">
        <v>13152</v>
      </c>
      <c r="Z682" t="s">
        <v>13153</v>
      </c>
      <c r="AA682" t="s">
        <v>13154</v>
      </c>
      <c r="AB682" t="s">
        <v>13155</v>
      </c>
      <c r="AC682" t="s">
        <v>13156</v>
      </c>
      <c r="AD682" t="s">
        <v>13157</v>
      </c>
      <c r="AE682" t="s">
        <v>13158</v>
      </c>
      <c r="AF682" t="s">
        <v>74</v>
      </c>
      <c r="AG682">
        <v>160</v>
      </c>
      <c r="AH682">
        <v>11</v>
      </c>
      <c r="AI682">
        <v>12</v>
      </c>
      <c r="AJ682">
        <v>1</v>
      </c>
      <c r="AK682">
        <v>29</v>
      </c>
      <c r="AL682" t="s">
        <v>5677</v>
      </c>
      <c r="AM682" t="s">
        <v>773</v>
      </c>
      <c r="AN682" t="s">
        <v>5678</v>
      </c>
      <c r="AO682" t="s">
        <v>13159</v>
      </c>
      <c r="AP682" t="s">
        <v>13160</v>
      </c>
      <c r="AQ682" t="s">
        <v>74</v>
      </c>
      <c r="AR682" t="s">
        <v>13161</v>
      </c>
      <c r="AS682" t="s">
        <v>13162</v>
      </c>
      <c r="AT682" t="s">
        <v>10046</v>
      </c>
      <c r="AU682">
        <v>2016</v>
      </c>
      <c r="AV682">
        <v>58</v>
      </c>
      <c r="AW682" t="s">
        <v>74</v>
      </c>
      <c r="AX682" t="s">
        <v>74</v>
      </c>
      <c r="AY682" t="s">
        <v>74</v>
      </c>
      <c r="AZ682" t="s">
        <v>74</v>
      </c>
      <c r="BA682" t="s">
        <v>74</v>
      </c>
      <c r="BB682">
        <v>183</v>
      </c>
      <c r="BC682">
        <v>201</v>
      </c>
      <c r="BD682" t="s">
        <v>74</v>
      </c>
      <c r="BE682" t="s">
        <v>13163</v>
      </c>
      <c r="BF682" t="str">
        <f>HYPERLINK("http://dx.doi.org/10.1016/j.cretres.2015.09.014","http://dx.doi.org/10.1016/j.cretres.2015.09.014")</f>
        <v>http://dx.doi.org/10.1016/j.cretres.2015.09.014</v>
      </c>
      <c r="BG682" t="s">
        <v>74</v>
      </c>
      <c r="BH682" t="s">
        <v>74</v>
      </c>
      <c r="BI682">
        <v>19</v>
      </c>
      <c r="BJ682" t="s">
        <v>13164</v>
      </c>
      <c r="BK682" t="s">
        <v>102</v>
      </c>
      <c r="BL682" t="s">
        <v>13164</v>
      </c>
      <c r="BM682" t="s">
        <v>13165</v>
      </c>
      <c r="BN682" t="s">
        <v>74</v>
      </c>
      <c r="BO682" t="s">
        <v>74</v>
      </c>
      <c r="BP682" t="s">
        <v>74</v>
      </c>
      <c r="BQ682" t="s">
        <v>74</v>
      </c>
      <c r="BR682" t="s">
        <v>106</v>
      </c>
      <c r="BS682" t="s">
        <v>13166</v>
      </c>
      <c r="BT682" t="str">
        <f>HYPERLINK("https%3A%2F%2Fwww.webofscience.com%2Fwos%2Fwoscc%2Ffull-record%2FWOS:000366960700017","View Full Record in Web of Science")</f>
        <v>View Full Record in Web of Science</v>
      </c>
    </row>
    <row r="683" spans="1:72" x14ac:dyDescent="0.15">
      <c r="A683" t="s">
        <v>72</v>
      </c>
      <c r="B683" t="s">
        <v>13167</v>
      </c>
      <c r="C683" t="s">
        <v>74</v>
      </c>
      <c r="D683" t="s">
        <v>74</v>
      </c>
      <c r="E683" t="s">
        <v>74</v>
      </c>
      <c r="F683" t="s">
        <v>13168</v>
      </c>
      <c r="G683" t="s">
        <v>74</v>
      </c>
      <c r="H683" t="s">
        <v>74</v>
      </c>
      <c r="I683" t="s">
        <v>13169</v>
      </c>
      <c r="J683" t="s">
        <v>13170</v>
      </c>
      <c r="K683" t="s">
        <v>74</v>
      </c>
      <c r="L683" t="s">
        <v>74</v>
      </c>
      <c r="M683" t="s">
        <v>78</v>
      </c>
      <c r="N683" t="s">
        <v>79</v>
      </c>
      <c r="O683" t="s">
        <v>74</v>
      </c>
      <c r="P683" t="s">
        <v>74</v>
      </c>
      <c r="Q683" t="s">
        <v>74</v>
      </c>
      <c r="R683" t="s">
        <v>74</v>
      </c>
      <c r="S683" t="s">
        <v>74</v>
      </c>
      <c r="T683" t="s">
        <v>74</v>
      </c>
      <c r="U683" t="s">
        <v>13171</v>
      </c>
      <c r="V683" t="s">
        <v>13172</v>
      </c>
      <c r="W683" t="s">
        <v>13173</v>
      </c>
      <c r="X683" t="s">
        <v>13174</v>
      </c>
      <c r="Y683" t="s">
        <v>13175</v>
      </c>
      <c r="Z683" t="s">
        <v>13176</v>
      </c>
      <c r="AA683" t="s">
        <v>13177</v>
      </c>
      <c r="AB683" t="s">
        <v>13178</v>
      </c>
      <c r="AC683" t="s">
        <v>74</v>
      </c>
      <c r="AD683" t="s">
        <v>74</v>
      </c>
      <c r="AE683" t="s">
        <v>74</v>
      </c>
      <c r="AF683" t="s">
        <v>74</v>
      </c>
      <c r="AG683">
        <v>47</v>
      </c>
      <c r="AH683">
        <v>30</v>
      </c>
      <c r="AI683">
        <v>33</v>
      </c>
      <c r="AJ683">
        <v>2</v>
      </c>
      <c r="AK683">
        <v>23</v>
      </c>
      <c r="AL683" t="s">
        <v>8888</v>
      </c>
      <c r="AM683" t="s">
        <v>8889</v>
      </c>
      <c r="AN683" t="s">
        <v>8890</v>
      </c>
      <c r="AO683" t="s">
        <v>13179</v>
      </c>
      <c r="AP683" t="s">
        <v>74</v>
      </c>
      <c r="AQ683" t="s">
        <v>74</v>
      </c>
      <c r="AR683" t="s">
        <v>13180</v>
      </c>
      <c r="AS683" t="s">
        <v>13181</v>
      </c>
      <c r="AT683" t="s">
        <v>13182</v>
      </c>
      <c r="AU683">
        <v>2016</v>
      </c>
      <c r="AV683">
        <v>4</v>
      </c>
      <c r="AW683" t="s">
        <v>74</v>
      </c>
      <c r="AX683" t="s">
        <v>74</v>
      </c>
      <c r="AY683" t="s">
        <v>74</v>
      </c>
      <c r="AZ683" t="s">
        <v>74</v>
      </c>
      <c r="BA683" t="s">
        <v>74</v>
      </c>
      <c r="BB683" t="s">
        <v>74</v>
      </c>
      <c r="BC683" t="s">
        <v>74</v>
      </c>
      <c r="BD683">
        <v>5</v>
      </c>
      <c r="BE683" t="s">
        <v>13183</v>
      </c>
      <c r="BF683" t="str">
        <f>HYPERLINK("http://dx.doi.org/10.3389/fbioe.2016.00005","http://dx.doi.org/10.3389/fbioe.2016.00005")</f>
        <v>http://dx.doi.org/10.3389/fbioe.2016.00005</v>
      </c>
      <c r="BG683" t="s">
        <v>74</v>
      </c>
      <c r="BH683" t="s">
        <v>74</v>
      </c>
      <c r="BI683">
        <v>9</v>
      </c>
      <c r="BJ683" t="s">
        <v>13184</v>
      </c>
      <c r="BK683" t="s">
        <v>102</v>
      </c>
      <c r="BL683" t="s">
        <v>13185</v>
      </c>
      <c r="BM683" t="s">
        <v>13186</v>
      </c>
      <c r="BN683">
        <v>26973832</v>
      </c>
      <c r="BO683" t="s">
        <v>1684</v>
      </c>
      <c r="BP683" t="s">
        <v>74</v>
      </c>
      <c r="BQ683" t="s">
        <v>74</v>
      </c>
      <c r="BR683" t="s">
        <v>106</v>
      </c>
      <c r="BS683" t="s">
        <v>13187</v>
      </c>
      <c r="BT683" t="str">
        <f>HYPERLINK("https%3A%2F%2Fwww.webofscience.com%2Fwos%2Fwoscc%2Ffull-record%2FWOS:000390187100001","View Full Record in Web of Science")</f>
        <v>View Full Record in Web of Science</v>
      </c>
    </row>
    <row r="684" spans="1:72" x14ac:dyDescent="0.15">
      <c r="A684" t="s">
        <v>72</v>
      </c>
      <c r="B684" t="s">
        <v>13188</v>
      </c>
      <c r="C684" t="s">
        <v>74</v>
      </c>
      <c r="D684" t="s">
        <v>74</v>
      </c>
      <c r="E684" t="s">
        <v>74</v>
      </c>
      <c r="F684" t="s">
        <v>13189</v>
      </c>
      <c r="G684" t="s">
        <v>74</v>
      </c>
      <c r="H684" t="s">
        <v>74</v>
      </c>
      <c r="I684" t="s">
        <v>13190</v>
      </c>
      <c r="J684" t="s">
        <v>1288</v>
      </c>
      <c r="K684" t="s">
        <v>74</v>
      </c>
      <c r="L684" t="s">
        <v>74</v>
      </c>
      <c r="M684" t="s">
        <v>78</v>
      </c>
      <c r="N684" t="s">
        <v>79</v>
      </c>
      <c r="O684" t="s">
        <v>74</v>
      </c>
      <c r="P684" t="s">
        <v>74</v>
      </c>
      <c r="Q684" t="s">
        <v>74</v>
      </c>
      <c r="R684" t="s">
        <v>74</v>
      </c>
      <c r="S684" t="s">
        <v>74</v>
      </c>
      <c r="T684" t="s">
        <v>74</v>
      </c>
      <c r="U684" t="s">
        <v>13191</v>
      </c>
      <c r="V684" t="s">
        <v>13192</v>
      </c>
      <c r="W684" t="s">
        <v>13193</v>
      </c>
      <c r="X684" t="s">
        <v>13194</v>
      </c>
      <c r="Y684" t="s">
        <v>13195</v>
      </c>
      <c r="Z684" t="s">
        <v>13196</v>
      </c>
      <c r="AA684" t="s">
        <v>13197</v>
      </c>
      <c r="AB684" t="s">
        <v>13198</v>
      </c>
      <c r="AC684" t="s">
        <v>13199</v>
      </c>
      <c r="AD684" t="s">
        <v>13200</v>
      </c>
      <c r="AE684" t="s">
        <v>13201</v>
      </c>
      <c r="AF684" t="s">
        <v>74</v>
      </c>
      <c r="AG684">
        <v>60</v>
      </c>
      <c r="AH684">
        <v>44</v>
      </c>
      <c r="AI684">
        <v>46</v>
      </c>
      <c r="AJ684">
        <v>0</v>
      </c>
      <c r="AK684">
        <v>8</v>
      </c>
      <c r="AL684" t="s">
        <v>92</v>
      </c>
      <c r="AM684" t="s">
        <v>93</v>
      </c>
      <c r="AN684" t="s">
        <v>94</v>
      </c>
      <c r="AO684" t="s">
        <v>1296</v>
      </c>
      <c r="AP684" t="s">
        <v>1297</v>
      </c>
      <c r="AQ684" t="s">
        <v>74</v>
      </c>
      <c r="AR684" t="s">
        <v>1298</v>
      </c>
      <c r="AS684" t="s">
        <v>1299</v>
      </c>
      <c r="AT684" t="s">
        <v>13202</v>
      </c>
      <c r="AU684">
        <v>2016</v>
      </c>
      <c r="AV684">
        <v>43</v>
      </c>
      <c r="AW684">
        <v>4</v>
      </c>
      <c r="AX684" t="s">
        <v>74</v>
      </c>
      <c r="AY684" t="s">
        <v>74</v>
      </c>
      <c r="AZ684" t="s">
        <v>74</v>
      </c>
      <c r="BA684" t="s">
        <v>74</v>
      </c>
      <c r="BB684">
        <v>1702</v>
      </c>
      <c r="BC684">
        <v>1709</v>
      </c>
      <c r="BD684" t="s">
        <v>74</v>
      </c>
      <c r="BE684" t="s">
        <v>13203</v>
      </c>
      <c r="BF684" t="str">
        <f>HYPERLINK("http://dx.doi.org/10.1002/2016GL068082","http://dx.doi.org/10.1002/2016GL068082")</f>
        <v>http://dx.doi.org/10.1002/2016GL068082</v>
      </c>
      <c r="BG684" t="s">
        <v>74</v>
      </c>
      <c r="BH684" t="s">
        <v>74</v>
      </c>
      <c r="BI684">
        <v>8</v>
      </c>
      <c r="BJ684" t="s">
        <v>269</v>
      </c>
      <c r="BK684" t="s">
        <v>102</v>
      </c>
      <c r="BL684" t="s">
        <v>270</v>
      </c>
      <c r="BM684" t="s">
        <v>13204</v>
      </c>
      <c r="BN684" t="s">
        <v>74</v>
      </c>
      <c r="BO684" t="s">
        <v>3849</v>
      </c>
      <c r="BP684" t="s">
        <v>74</v>
      </c>
      <c r="BQ684" t="s">
        <v>74</v>
      </c>
      <c r="BR684" t="s">
        <v>106</v>
      </c>
      <c r="BS684" t="s">
        <v>13205</v>
      </c>
      <c r="BT684" t="str">
        <f>HYPERLINK("https%3A%2F%2Fwww.webofscience.com%2Fwos%2Fwoscc%2Ffull-record%2FWOS:000373109000038","View Full Record in Web of Science")</f>
        <v>View Full Record in Web of Science</v>
      </c>
    </row>
    <row r="685" spans="1:72" x14ac:dyDescent="0.15">
      <c r="A685" t="s">
        <v>72</v>
      </c>
      <c r="B685" t="s">
        <v>13206</v>
      </c>
      <c r="C685" t="s">
        <v>74</v>
      </c>
      <c r="D685" t="s">
        <v>74</v>
      </c>
      <c r="E685" t="s">
        <v>74</v>
      </c>
      <c r="F685" t="s">
        <v>13207</v>
      </c>
      <c r="G685" t="s">
        <v>74</v>
      </c>
      <c r="H685" t="s">
        <v>74</v>
      </c>
      <c r="I685" t="s">
        <v>13208</v>
      </c>
      <c r="J685" t="s">
        <v>1288</v>
      </c>
      <c r="K685" t="s">
        <v>74</v>
      </c>
      <c r="L685" t="s">
        <v>74</v>
      </c>
      <c r="M685" t="s">
        <v>78</v>
      </c>
      <c r="N685" t="s">
        <v>79</v>
      </c>
      <c r="O685" t="s">
        <v>74</v>
      </c>
      <c r="P685" t="s">
        <v>74</v>
      </c>
      <c r="Q685" t="s">
        <v>74</v>
      </c>
      <c r="R685" t="s">
        <v>74</v>
      </c>
      <c r="S685" t="s">
        <v>74</v>
      </c>
      <c r="T685" t="s">
        <v>74</v>
      </c>
      <c r="U685" t="s">
        <v>13209</v>
      </c>
      <c r="V685" t="s">
        <v>13210</v>
      </c>
      <c r="W685" t="s">
        <v>13211</v>
      </c>
      <c r="X685" t="s">
        <v>13212</v>
      </c>
      <c r="Y685" t="s">
        <v>13213</v>
      </c>
      <c r="Z685" t="s">
        <v>13214</v>
      </c>
      <c r="AA685" t="s">
        <v>13215</v>
      </c>
      <c r="AB685" t="s">
        <v>13216</v>
      </c>
      <c r="AC685" t="s">
        <v>13217</v>
      </c>
      <c r="AD685" t="s">
        <v>13218</v>
      </c>
      <c r="AE685" t="s">
        <v>13219</v>
      </c>
      <c r="AF685" t="s">
        <v>74</v>
      </c>
      <c r="AG685">
        <v>43</v>
      </c>
      <c r="AH685">
        <v>53</v>
      </c>
      <c r="AI685">
        <v>56</v>
      </c>
      <c r="AJ685">
        <v>2</v>
      </c>
      <c r="AK685">
        <v>35</v>
      </c>
      <c r="AL685" t="s">
        <v>92</v>
      </c>
      <c r="AM685" t="s">
        <v>93</v>
      </c>
      <c r="AN685" t="s">
        <v>94</v>
      </c>
      <c r="AO685" t="s">
        <v>1296</v>
      </c>
      <c r="AP685" t="s">
        <v>1297</v>
      </c>
      <c r="AQ685" t="s">
        <v>74</v>
      </c>
      <c r="AR685" t="s">
        <v>1298</v>
      </c>
      <c r="AS685" t="s">
        <v>1299</v>
      </c>
      <c r="AT685" t="s">
        <v>13202</v>
      </c>
      <c r="AU685">
        <v>2016</v>
      </c>
      <c r="AV685">
        <v>43</v>
      </c>
      <c r="AW685">
        <v>4</v>
      </c>
      <c r="AX685" t="s">
        <v>74</v>
      </c>
      <c r="AY685" t="s">
        <v>74</v>
      </c>
      <c r="AZ685" t="s">
        <v>74</v>
      </c>
      <c r="BA685" t="s">
        <v>74</v>
      </c>
      <c r="BB685">
        <v>1669</v>
      </c>
      <c r="BC685">
        <v>1678</v>
      </c>
      <c r="BD685" t="s">
        <v>74</v>
      </c>
      <c r="BE685" t="s">
        <v>13220</v>
      </c>
      <c r="BF685" t="str">
        <f>HYPERLINK("http://dx.doi.org/10.1002/2016GL067757","http://dx.doi.org/10.1002/2016GL067757")</f>
        <v>http://dx.doi.org/10.1002/2016GL067757</v>
      </c>
      <c r="BG685" t="s">
        <v>74</v>
      </c>
      <c r="BH685" t="s">
        <v>74</v>
      </c>
      <c r="BI685">
        <v>10</v>
      </c>
      <c r="BJ685" t="s">
        <v>269</v>
      </c>
      <c r="BK685" t="s">
        <v>102</v>
      </c>
      <c r="BL685" t="s">
        <v>270</v>
      </c>
      <c r="BM685" t="s">
        <v>13204</v>
      </c>
      <c r="BN685" t="s">
        <v>74</v>
      </c>
      <c r="BO685" t="s">
        <v>293</v>
      </c>
      <c r="BP685" t="s">
        <v>74</v>
      </c>
      <c r="BQ685" t="s">
        <v>74</v>
      </c>
      <c r="BR685" t="s">
        <v>106</v>
      </c>
      <c r="BS685" t="s">
        <v>13221</v>
      </c>
      <c r="BT685" t="str">
        <f>HYPERLINK("https%3A%2F%2Fwww.webofscience.com%2Fwos%2Fwoscc%2Ffull-record%2FWOS:000373109000034","View Full Record in Web of Science")</f>
        <v>View Full Record in Web of Science</v>
      </c>
    </row>
    <row r="686" spans="1:72" x14ac:dyDescent="0.15">
      <c r="A686" t="s">
        <v>72</v>
      </c>
      <c r="B686" t="s">
        <v>13222</v>
      </c>
      <c r="C686" t="s">
        <v>74</v>
      </c>
      <c r="D686" t="s">
        <v>74</v>
      </c>
      <c r="E686" t="s">
        <v>74</v>
      </c>
      <c r="F686" t="s">
        <v>13223</v>
      </c>
      <c r="G686" t="s">
        <v>74</v>
      </c>
      <c r="H686" t="s">
        <v>74</v>
      </c>
      <c r="I686" t="s">
        <v>13224</v>
      </c>
      <c r="J686" t="s">
        <v>1708</v>
      </c>
      <c r="K686" t="s">
        <v>74</v>
      </c>
      <c r="L686" t="s">
        <v>74</v>
      </c>
      <c r="M686" t="s">
        <v>78</v>
      </c>
      <c r="N686" t="s">
        <v>79</v>
      </c>
      <c r="O686" t="s">
        <v>74</v>
      </c>
      <c r="P686" t="s">
        <v>74</v>
      </c>
      <c r="Q686" t="s">
        <v>74</v>
      </c>
      <c r="R686" t="s">
        <v>74</v>
      </c>
      <c r="S686" t="s">
        <v>74</v>
      </c>
      <c r="T686" t="s">
        <v>13225</v>
      </c>
      <c r="U686" t="s">
        <v>13226</v>
      </c>
      <c r="V686" t="s">
        <v>13227</v>
      </c>
      <c r="W686" t="s">
        <v>13228</v>
      </c>
      <c r="X686" t="s">
        <v>13229</v>
      </c>
      <c r="Y686" t="s">
        <v>13230</v>
      </c>
      <c r="Z686" t="s">
        <v>13231</v>
      </c>
      <c r="AA686" t="s">
        <v>13232</v>
      </c>
      <c r="AB686" t="s">
        <v>13233</v>
      </c>
      <c r="AC686" t="s">
        <v>13234</v>
      </c>
      <c r="AD686" t="s">
        <v>13235</v>
      </c>
      <c r="AE686" t="s">
        <v>13236</v>
      </c>
      <c r="AF686" t="s">
        <v>74</v>
      </c>
      <c r="AG686">
        <v>55</v>
      </c>
      <c r="AH686">
        <v>31</v>
      </c>
      <c r="AI686">
        <v>34</v>
      </c>
      <c r="AJ686">
        <v>0</v>
      </c>
      <c r="AK686">
        <v>11</v>
      </c>
      <c r="AL686" t="s">
        <v>92</v>
      </c>
      <c r="AM686" t="s">
        <v>93</v>
      </c>
      <c r="AN686" t="s">
        <v>94</v>
      </c>
      <c r="AO686" t="s">
        <v>1720</v>
      </c>
      <c r="AP686" t="s">
        <v>1721</v>
      </c>
      <c r="AQ686" t="s">
        <v>74</v>
      </c>
      <c r="AR686" t="s">
        <v>1722</v>
      </c>
      <c r="AS686" t="s">
        <v>1723</v>
      </c>
      <c r="AT686" t="s">
        <v>13237</v>
      </c>
      <c r="AU686">
        <v>2016</v>
      </c>
      <c r="AV686">
        <v>121</v>
      </c>
      <c r="AW686">
        <v>4</v>
      </c>
      <c r="AX686" t="s">
        <v>74</v>
      </c>
      <c r="AY686" t="s">
        <v>74</v>
      </c>
      <c r="AZ686" t="s">
        <v>74</v>
      </c>
      <c r="BA686" t="s">
        <v>74</v>
      </c>
      <c r="BB686">
        <v>1431</v>
      </c>
      <c r="BC686">
        <v>1441</v>
      </c>
      <c r="BD686" t="s">
        <v>74</v>
      </c>
      <c r="BE686" t="s">
        <v>13238</v>
      </c>
      <c r="BF686" t="str">
        <f>HYPERLINK("http://dx.doi.org/10.1002/2015JD024336","http://dx.doi.org/10.1002/2015JD024336")</f>
        <v>http://dx.doi.org/10.1002/2015JD024336</v>
      </c>
      <c r="BG686" t="s">
        <v>74</v>
      </c>
      <c r="BH686" t="s">
        <v>74</v>
      </c>
      <c r="BI686">
        <v>11</v>
      </c>
      <c r="BJ686" t="s">
        <v>1726</v>
      </c>
      <c r="BK686" t="s">
        <v>102</v>
      </c>
      <c r="BL686" t="s">
        <v>1726</v>
      </c>
      <c r="BM686" t="s">
        <v>13239</v>
      </c>
      <c r="BN686" t="s">
        <v>74</v>
      </c>
      <c r="BO686" t="s">
        <v>293</v>
      </c>
      <c r="BP686" t="s">
        <v>74</v>
      </c>
      <c r="BQ686" t="s">
        <v>74</v>
      </c>
      <c r="BR686" t="s">
        <v>106</v>
      </c>
      <c r="BS686" t="s">
        <v>13240</v>
      </c>
      <c r="BT686" t="str">
        <f>HYPERLINK("https%3A%2F%2Fwww.webofscience.com%2Fwos%2Fwoscc%2Ffull-record%2FWOS:000372977900003","View Full Record in Web of Science")</f>
        <v>View Full Record in Web of Science</v>
      </c>
    </row>
    <row r="687" spans="1:72" x14ac:dyDescent="0.15">
      <c r="A687" t="s">
        <v>72</v>
      </c>
      <c r="B687" t="s">
        <v>13241</v>
      </c>
      <c r="C687" t="s">
        <v>74</v>
      </c>
      <c r="D687" t="s">
        <v>74</v>
      </c>
      <c r="E687" t="s">
        <v>74</v>
      </c>
      <c r="F687" t="s">
        <v>13242</v>
      </c>
      <c r="G687" t="s">
        <v>74</v>
      </c>
      <c r="H687" t="s">
        <v>74</v>
      </c>
      <c r="I687" t="s">
        <v>13243</v>
      </c>
      <c r="J687" t="s">
        <v>1708</v>
      </c>
      <c r="K687" t="s">
        <v>74</v>
      </c>
      <c r="L687" t="s">
        <v>74</v>
      </c>
      <c r="M687" t="s">
        <v>78</v>
      </c>
      <c r="N687" t="s">
        <v>79</v>
      </c>
      <c r="O687" t="s">
        <v>74</v>
      </c>
      <c r="P687" t="s">
        <v>74</v>
      </c>
      <c r="Q687" t="s">
        <v>74</v>
      </c>
      <c r="R687" t="s">
        <v>74</v>
      </c>
      <c r="S687" t="s">
        <v>74</v>
      </c>
      <c r="T687" t="s">
        <v>13244</v>
      </c>
      <c r="U687" t="s">
        <v>13245</v>
      </c>
      <c r="V687" t="s">
        <v>13246</v>
      </c>
      <c r="W687" t="s">
        <v>13247</v>
      </c>
      <c r="X687" t="s">
        <v>13248</v>
      </c>
      <c r="Y687" t="s">
        <v>13249</v>
      </c>
      <c r="Z687" t="s">
        <v>13250</v>
      </c>
      <c r="AA687" t="s">
        <v>13251</v>
      </c>
      <c r="AB687" t="s">
        <v>13252</v>
      </c>
      <c r="AC687" t="s">
        <v>13253</v>
      </c>
      <c r="AD687" t="s">
        <v>13254</v>
      </c>
      <c r="AE687" t="s">
        <v>13255</v>
      </c>
      <c r="AF687" t="s">
        <v>74</v>
      </c>
      <c r="AG687">
        <v>57</v>
      </c>
      <c r="AH687">
        <v>10</v>
      </c>
      <c r="AI687">
        <v>13</v>
      </c>
      <c r="AJ687">
        <v>0</v>
      </c>
      <c r="AK687">
        <v>15</v>
      </c>
      <c r="AL687" t="s">
        <v>92</v>
      </c>
      <c r="AM687" t="s">
        <v>93</v>
      </c>
      <c r="AN687" t="s">
        <v>94</v>
      </c>
      <c r="AO687" t="s">
        <v>1720</v>
      </c>
      <c r="AP687" t="s">
        <v>1721</v>
      </c>
      <c r="AQ687" t="s">
        <v>74</v>
      </c>
      <c r="AR687" t="s">
        <v>1722</v>
      </c>
      <c r="AS687" t="s">
        <v>1723</v>
      </c>
      <c r="AT687" t="s">
        <v>13237</v>
      </c>
      <c r="AU687">
        <v>2016</v>
      </c>
      <c r="AV687">
        <v>121</v>
      </c>
      <c r="AW687">
        <v>4</v>
      </c>
      <c r="AX687" t="s">
        <v>74</v>
      </c>
      <c r="AY687" t="s">
        <v>74</v>
      </c>
      <c r="AZ687" t="s">
        <v>74</v>
      </c>
      <c r="BA687" t="s">
        <v>74</v>
      </c>
      <c r="BB687">
        <v>1559</v>
      </c>
      <c r="BC687">
        <v>1574</v>
      </c>
      <c r="BD687" t="s">
        <v>74</v>
      </c>
      <c r="BE687" t="s">
        <v>13256</v>
      </c>
      <c r="BF687" t="str">
        <f>HYPERLINK("http://dx.doi.org/10.1002/2015JD023900","http://dx.doi.org/10.1002/2015JD023900")</f>
        <v>http://dx.doi.org/10.1002/2015JD023900</v>
      </c>
      <c r="BG687" t="s">
        <v>74</v>
      </c>
      <c r="BH687" t="s">
        <v>74</v>
      </c>
      <c r="BI687">
        <v>16</v>
      </c>
      <c r="BJ687" t="s">
        <v>1726</v>
      </c>
      <c r="BK687" t="s">
        <v>102</v>
      </c>
      <c r="BL687" t="s">
        <v>1726</v>
      </c>
      <c r="BM687" t="s">
        <v>13239</v>
      </c>
      <c r="BN687" t="s">
        <v>74</v>
      </c>
      <c r="BO687" t="s">
        <v>420</v>
      </c>
      <c r="BP687" t="s">
        <v>74</v>
      </c>
      <c r="BQ687" t="s">
        <v>74</v>
      </c>
      <c r="BR687" t="s">
        <v>106</v>
      </c>
      <c r="BS687" t="s">
        <v>13257</v>
      </c>
      <c r="BT687" t="str">
        <f>HYPERLINK("https%3A%2F%2Fwww.webofscience.com%2Fwos%2Fwoscc%2Ffull-record%2FWOS:000372977900011","View Full Record in Web of Science")</f>
        <v>View Full Record in Web of Science</v>
      </c>
    </row>
    <row r="688" spans="1:72" x14ac:dyDescent="0.15">
      <c r="A688" t="s">
        <v>72</v>
      </c>
      <c r="B688" t="s">
        <v>13258</v>
      </c>
      <c r="C688" t="s">
        <v>74</v>
      </c>
      <c r="D688" t="s">
        <v>74</v>
      </c>
      <c r="E688" t="s">
        <v>74</v>
      </c>
      <c r="F688" t="s">
        <v>13259</v>
      </c>
      <c r="G688" t="s">
        <v>74</v>
      </c>
      <c r="H688" t="s">
        <v>74</v>
      </c>
      <c r="I688" t="s">
        <v>13260</v>
      </c>
      <c r="J688" t="s">
        <v>1708</v>
      </c>
      <c r="K688" t="s">
        <v>74</v>
      </c>
      <c r="L688" t="s">
        <v>74</v>
      </c>
      <c r="M688" t="s">
        <v>78</v>
      </c>
      <c r="N688" t="s">
        <v>79</v>
      </c>
      <c r="O688" t="s">
        <v>74</v>
      </c>
      <c r="P688" t="s">
        <v>74</v>
      </c>
      <c r="Q688" t="s">
        <v>74</v>
      </c>
      <c r="R688" t="s">
        <v>74</v>
      </c>
      <c r="S688" t="s">
        <v>74</v>
      </c>
      <c r="T688" t="s">
        <v>13261</v>
      </c>
      <c r="U688" t="s">
        <v>13262</v>
      </c>
      <c r="V688" t="s">
        <v>13263</v>
      </c>
      <c r="W688" t="s">
        <v>13264</v>
      </c>
      <c r="X688" t="s">
        <v>13265</v>
      </c>
      <c r="Y688" t="s">
        <v>13266</v>
      </c>
      <c r="Z688" t="s">
        <v>13267</v>
      </c>
      <c r="AA688" t="s">
        <v>13268</v>
      </c>
      <c r="AB688" t="s">
        <v>13269</v>
      </c>
      <c r="AC688" t="s">
        <v>13270</v>
      </c>
      <c r="AD688" t="s">
        <v>13270</v>
      </c>
      <c r="AE688" t="s">
        <v>13271</v>
      </c>
      <c r="AF688" t="s">
        <v>74</v>
      </c>
      <c r="AG688">
        <v>65</v>
      </c>
      <c r="AH688">
        <v>7</v>
      </c>
      <c r="AI688">
        <v>8</v>
      </c>
      <c r="AJ688">
        <v>0</v>
      </c>
      <c r="AK688">
        <v>10</v>
      </c>
      <c r="AL688" t="s">
        <v>92</v>
      </c>
      <c r="AM688" t="s">
        <v>93</v>
      </c>
      <c r="AN688" t="s">
        <v>94</v>
      </c>
      <c r="AO688" t="s">
        <v>1720</v>
      </c>
      <c r="AP688" t="s">
        <v>1721</v>
      </c>
      <c r="AQ688" t="s">
        <v>74</v>
      </c>
      <c r="AR688" t="s">
        <v>1722</v>
      </c>
      <c r="AS688" t="s">
        <v>1723</v>
      </c>
      <c r="AT688" t="s">
        <v>13237</v>
      </c>
      <c r="AU688">
        <v>2016</v>
      </c>
      <c r="AV688">
        <v>121</v>
      </c>
      <c r="AW688">
        <v>4</v>
      </c>
      <c r="AX688" t="s">
        <v>74</v>
      </c>
      <c r="AY688" t="s">
        <v>74</v>
      </c>
      <c r="AZ688" t="s">
        <v>74</v>
      </c>
      <c r="BA688" t="s">
        <v>74</v>
      </c>
      <c r="BB688">
        <v>1671</v>
      </c>
      <c r="BC688">
        <v>1682</v>
      </c>
      <c r="BD688" t="s">
        <v>74</v>
      </c>
      <c r="BE688" t="s">
        <v>13272</v>
      </c>
      <c r="BF688" t="str">
        <f>HYPERLINK("http://dx.doi.org/10.1002/2015JD024423","http://dx.doi.org/10.1002/2015JD024423")</f>
        <v>http://dx.doi.org/10.1002/2015JD024423</v>
      </c>
      <c r="BG688" t="s">
        <v>74</v>
      </c>
      <c r="BH688" t="s">
        <v>74</v>
      </c>
      <c r="BI688">
        <v>12</v>
      </c>
      <c r="BJ688" t="s">
        <v>1726</v>
      </c>
      <c r="BK688" t="s">
        <v>102</v>
      </c>
      <c r="BL688" t="s">
        <v>1726</v>
      </c>
      <c r="BM688" t="s">
        <v>13239</v>
      </c>
      <c r="BN688" t="s">
        <v>74</v>
      </c>
      <c r="BO688" t="s">
        <v>420</v>
      </c>
      <c r="BP688" t="s">
        <v>74</v>
      </c>
      <c r="BQ688" t="s">
        <v>74</v>
      </c>
      <c r="BR688" t="s">
        <v>106</v>
      </c>
      <c r="BS688" t="s">
        <v>13273</v>
      </c>
      <c r="BT688" t="str">
        <f>HYPERLINK("https%3A%2F%2Fwww.webofscience.com%2Fwos%2Fwoscc%2Ffull-record%2FWOS:000372977900019","View Full Record in Web of Science")</f>
        <v>View Full Record in Web of Science</v>
      </c>
    </row>
    <row r="689" spans="1:72" x14ac:dyDescent="0.15">
      <c r="A689" t="s">
        <v>72</v>
      </c>
      <c r="B689" t="s">
        <v>13274</v>
      </c>
      <c r="C689" t="s">
        <v>74</v>
      </c>
      <c r="D689" t="s">
        <v>74</v>
      </c>
      <c r="E689" t="s">
        <v>74</v>
      </c>
      <c r="F689" t="s">
        <v>13275</v>
      </c>
      <c r="G689" t="s">
        <v>74</v>
      </c>
      <c r="H689" t="s">
        <v>74</v>
      </c>
      <c r="I689" t="s">
        <v>13276</v>
      </c>
      <c r="J689" t="s">
        <v>1708</v>
      </c>
      <c r="K689" t="s">
        <v>74</v>
      </c>
      <c r="L689" t="s">
        <v>74</v>
      </c>
      <c r="M689" t="s">
        <v>78</v>
      </c>
      <c r="N689" t="s">
        <v>79</v>
      </c>
      <c r="O689" t="s">
        <v>74</v>
      </c>
      <c r="P689" t="s">
        <v>74</v>
      </c>
      <c r="Q689" t="s">
        <v>74</v>
      </c>
      <c r="R689" t="s">
        <v>74</v>
      </c>
      <c r="S689" t="s">
        <v>74</v>
      </c>
      <c r="T689" t="s">
        <v>13277</v>
      </c>
      <c r="U689" t="s">
        <v>13278</v>
      </c>
      <c r="V689" t="s">
        <v>13279</v>
      </c>
      <c r="W689" t="s">
        <v>13280</v>
      </c>
      <c r="X689" t="s">
        <v>13281</v>
      </c>
      <c r="Y689" t="s">
        <v>13282</v>
      </c>
      <c r="Z689" t="s">
        <v>13283</v>
      </c>
      <c r="AA689" t="s">
        <v>74</v>
      </c>
      <c r="AB689" t="s">
        <v>13284</v>
      </c>
      <c r="AC689" t="s">
        <v>13285</v>
      </c>
      <c r="AD689" t="s">
        <v>13286</v>
      </c>
      <c r="AE689" t="s">
        <v>13287</v>
      </c>
      <c r="AF689" t="s">
        <v>74</v>
      </c>
      <c r="AG689">
        <v>38</v>
      </c>
      <c r="AH689">
        <v>9</v>
      </c>
      <c r="AI689">
        <v>10</v>
      </c>
      <c r="AJ689">
        <v>0</v>
      </c>
      <c r="AK689">
        <v>26</v>
      </c>
      <c r="AL689" t="s">
        <v>92</v>
      </c>
      <c r="AM689" t="s">
        <v>93</v>
      </c>
      <c r="AN689" t="s">
        <v>94</v>
      </c>
      <c r="AO689" t="s">
        <v>1720</v>
      </c>
      <c r="AP689" t="s">
        <v>1721</v>
      </c>
      <c r="AQ689" t="s">
        <v>74</v>
      </c>
      <c r="AR689" t="s">
        <v>1722</v>
      </c>
      <c r="AS689" t="s">
        <v>1723</v>
      </c>
      <c r="AT689" t="s">
        <v>13237</v>
      </c>
      <c r="AU689">
        <v>2016</v>
      </c>
      <c r="AV689">
        <v>121</v>
      </c>
      <c r="AW689">
        <v>4</v>
      </c>
      <c r="AX689" t="s">
        <v>74</v>
      </c>
      <c r="AY689" t="s">
        <v>74</v>
      </c>
      <c r="AZ689" t="s">
        <v>74</v>
      </c>
      <c r="BA689" t="s">
        <v>74</v>
      </c>
      <c r="BB689">
        <v>1943</v>
      </c>
      <c r="BC689">
        <v>1954</v>
      </c>
      <c r="BD689" t="s">
        <v>74</v>
      </c>
      <c r="BE689" t="s">
        <v>13288</v>
      </c>
      <c r="BF689" t="str">
        <f>HYPERLINK("http://dx.doi.org/10.1002/2015JD024235","http://dx.doi.org/10.1002/2015JD024235")</f>
        <v>http://dx.doi.org/10.1002/2015JD024235</v>
      </c>
      <c r="BG689" t="s">
        <v>74</v>
      </c>
      <c r="BH689" t="s">
        <v>74</v>
      </c>
      <c r="BI689">
        <v>12</v>
      </c>
      <c r="BJ689" t="s">
        <v>1726</v>
      </c>
      <c r="BK689" t="s">
        <v>102</v>
      </c>
      <c r="BL689" t="s">
        <v>1726</v>
      </c>
      <c r="BM689" t="s">
        <v>13239</v>
      </c>
      <c r="BN689" t="s">
        <v>74</v>
      </c>
      <c r="BO689" t="s">
        <v>842</v>
      </c>
      <c r="BP689" t="s">
        <v>74</v>
      </c>
      <c r="BQ689" t="s">
        <v>74</v>
      </c>
      <c r="BR689" t="s">
        <v>106</v>
      </c>
      <c r="BS689" t="s">
        <v>13289</v>
      </c>
      <c r="BT689" t="str">
        <f>HYPERLINK("https%3A%2F%2Fwww.webofscience.com%2Fwos%2Fwoscc%2Ffull-record%2FWOS:000372977900036","View Full Record in Web of Science")</f>
        <v>View Full Record in Web of Science</v>
      </c>
    </row>
    <row r="690" spans="1:72" x14ac:dyDescent="0.15">
      <c r="A690" t="s">
        <v>72</v>
      </c>
      <c r="B690" t="s">
        <v>13290</v>
      </c>
      <c r="C690" t="s">
        <v>74</v>
      </c>
      <c r="D690" t="s">
        <v>74</v>
      </c>
      <c r="E690" t="s">
        <v>74</v>
      </c>
      <c r="F690" t="s">
        <v>13291</v>
      </c>
      <c r="G690" t="s">
        <v>74</v>
      </c>
      <c r="H690" t="s">
        <v>74</v>
      </c>
      <c r="I690" t="s">
        <v>13292</v>
      </c>
      <c r="J690" t="s">
        <v>1708</v>
      </c>
      <c r="K690" t="s">
        <v>74</v>
      </c>
      <c r="L690" t="s">
        <v>74</v>
      </c>
      <c r="M690" t="s">
        <v>78</v>
      </c>
      <c r="N690" t="s">
        <v>79</v>
      </c>
      <c r="O690" t="s">
        <v>74</v>
      </c>
      <c r="P690" t="s">
        <v>74</v>
      </c>
      <c r="Q690" t="s">
        <v>74</v>
      </c>
      <c r="R690" t="s">
        <v>74</v>
      </c>
      <c r="S690" t="s">
        <v>74</v>
      </c>
      <c r="T690" t="s">
        <v>13293</v>
      </c>
      <c r="U690" t="s">
        <v>13294</v>
      </c>
      <c r="V690" t="s">
        <v>13295</v>
      </c>
      <c r="W690" t="s">
        <v>13296</v>
      </c>
      <c r="X690" t="s">
        <v>13297</v>
      </c>
      <c r="Y690" t="s">
        <v>13298</v>
      </c>
      <c r="Z690" t="s">
        <v>13299</v>
      </c>
      <c r="AA690" t="s">
        <v>13300</v>
      </c>
      <c r="AB690" t="s">
        <v>13301</v>
      </c>
      <c r="AC690" t="s">
        <v>13302</v>
      </c>
      <c r="AD690" t="s">
        <v>13303</v>
      </c>
      <c r="AE690" t="s">
        <v>13304</v>
      </c>
      <c r="AF690" t="s">
        <v>74</v>
      </c>
      <c r="AG690">
        <v>61</v>
      </c>
      <c r="AH690">
        <v>16</v>
      </c>
      <c r="AI690">
        <v>16</v>
      </c>
      <c r="AJ690">
        <v>2</v>
      </c>
      <c r="AK690">
        <v>34</v>
      </c>
      <c r="AL690" t="s">
        <v>92</v>
      </c>
      <c r="AM690" t="s">
        <v>93</v>
      </c>
      <c r="AN690" t="s">
        <v>94</v>
      </c>
      <c r="AO690" t="s">
        <v>1720</v>
      </c>
      <c r="AP690" t="s">
        <v>1721</v>
      </c>
      <c r="AQ690" t="s">
        <v>74</v>
      </c>
      <c r="AR690" t="s">
        <v>1722</v>
      </c>
      <c r="AS690" t="s">
        <v>1723</v>
      </c>
      <c r="AT690" t="s">
        <v>13237</v>
      </c>
      <c r="AU690">
        <v>2016</v>
      </c>
      <c r="AV690">
        <v>121</v>
      </c>
      <c r="AW690">
        <v>4</v>
      </c>
      <c r="AX690" t="s">
        <v>74</v>
      </c>
      <c r="AY690" t="s">
        <v>74</v>
      </c>
      <c r="AZ690" t="s">
        <v>74</v>
      </c>
      <c r="BA690" t="s">
        <v>74</v>
      </c>
      <c r="BB690">
        <v>1459</v>
      </c>
      <c r="BC690">
        <v>1474</v>
      </c>
      <c r="BD690" t="s">
        <v>74</v>
      </c>
      <c r="BE690" t="s">
        <v>13305</v>
      </c>
      <c r="BF690" t="str">
        <f>HYPERLINK("http://dx.doi.org/10.1002/2015JD024247","http://dx.doi.org/10.1002/2015JD024247")</f>
        <v>http://dx.doi.org/10.1002/2015JD024247</v>
      </c>
      <c r="BG690" t="s">
        <v>74</v>
      </c>
      <c r="BH690" t="s">
        <v>74</v>
      </c>
      <c r="BI690">
        <v>16</v>
      </c>
      <c r="BJ690" t="s">
        <v>1726</v>
      </c>
      <c r="BK690" t="s">
        <v>102</v>
      </c>
      <c r="BL690" t="s">
        <v>1726</v>
      </c>
      <c r="BM690" t="s">
        <v>13239</v>
      </c>
      <c r="BN690" t="s">
        <v>74</v>
      </c>
      <c r="BO690" t="s">
        <v>420</v>
      </c>
      <c r="BP690" t="s">
        <v>74</v>
      </c>
      <c r="BQ690" t="s">
        <v>74</v>
      </c>
      <c r="BR690" t="s">
        <v>106</v>
      </c>
      <c r="BS690" t="s">
        <v>13306</v>
      </c>
      <c r="BT690" t="str">
        <f>HYPERLINK("https%3A%2F%2Fwww.webofscience.com%2Fwos%2Fwoscc%2Ffull-record%2FWOS:000372977900005","View Full Record in Web of Science")</f>
        <v>View Full Record in Web of Science</v>
      </c>
    </row>
    <row r="691" spans="1:72" x14ac:dyDescent="0.15">
      <c r="A691" t="s">
        <v>72</v>
      </c>
      <c r="B691" t="s">
        <v>13307</v>
      </c>
      <c r="C691" t="s">
        <v>74</v>
      </c>
      <c r="D691" t="s">
        <v>74</v>
      </c>
      <c r="E691" t="s">
        <v>74</v>
      </c>
      <c r="F691" t="s">
        <v>13308</v>
      </c>
      <c r="G691" t="s">
        <v>74</v>
      </c>
      <c r="H691" t="s">
        <v>74</v>
      </c>
      <c r="I691" t="s">
        <v>13309</v>
      </c>
      <c r="J691" t="s">
        <v>1708</v>
      </c>
      <c r="K691" t="s">
        <v>74</v>
      </c>
      <c r="L691" t="s">
        <v>74</v>
      </c>
      <c r="M691" t="s">
        <v>78</v>
      </c>
      <c r="N691" t="s">
        <v>79</v>
      </c>
      <c r="O691" t="s">
        <v>74</v>
      </c>
      <c r="P691" t="s">
        <v>74</v>
      </c>
      <c r="Q691" t="s">
        <v>74</v>
      </c>
      <c r="R691" t="s">
        <v>74</v>
      </c>
      <c r="S691" t="s">
        <v>74</v>
      </c>
      <c r="T691" t="s">
        <v>13310</v>
      </c>
      <c r="U691" t="s">
        <v>13311</v>
      </c>
      <c r="V691" t="s">
        <v>13312</v>
      </c>
      <c r="W691" t="s">
        <v>13313</v>
      </c>
      <c r="X691" t="s">
        <v>145</v>
      </c>
      <c r="Y691" t="s">
        <v>13314</v>
      </c>
      <c r="Z691" t="s">
        <v>13315</v>
      </c>
      <c r="AA691" t="s">
        <v>13316</v>
      </c>
      <c r="AB691" t="s">
        <v>13317</v>
      </c>
      <c r="AC691" t="s">
        <v>13318</v>
      </c>
      <c r="AD691" t="s">
        <v>13319</v>
      </c>
      <c r="AE691" t="s">
        <v>13320</v>
      </c>
      <c r="AF691" t="s">
        <v>74</v>
      </c>
      <c r="AG691">
        <v>69</v>
      </c>
      <c r="AH691">
        <v>26</v>
      </c>
      <c r="AI691">
        <v>28</v>
      </c>
      <c r="AJ691">
        <v>1</v>
      </c>
      <c r="AK691">
        <v>31</v>
      </c>
      <c r="AL691" t="s">
        <v>92</v>
      </c>
      <c r="AM691" t="s">
        <v>93</v>
      </c>
      <c r="AN691" t="s">
        <v>94</v>
      </c>
      <c r="AO691" t="s">
        <v>1720</v>
      </c>
      <c r="AP691" t="s">
        <v>1721</v>
      </c>
      <c r="AQ691" t="s">
        <v>74</v>
      </c>
      <c r="AR691" t="s">
        <v>1722</v>
      </c>
      <c r="AS691" t="s">
        <v>1723</v>
      </c>
      <c r="AT691" t="s">
        <v>13237</v>
      </c>
      <c r="AU691">
        <v>2016</v>
      </c>
      <c r="AV691">
        <v>121</v>
      </c>
      <c r="AW691">
        <v>4</v>
      </c>
      <c r="AX691" t="s">
        <v>74</v>
      </c>
      <c r="AY691" t="s">
        <v>74</v>
      </c>
      <c r="AZ691" t="s">
        <v>74</v>
      </c>
      <c r="BA691" t="s">
        <v>74</v>
      </c>
      <c r="BB691">
        <v>1532</v>
      </c>
      <c r="BC691">
        <v>1548</v>
      </c>
      <c r="BD691" t="s">
        <v>74</v>
      </c>
      <c r="BE691" t="s">
        <v>13321</v>
      </c>
      <c r="BF691" t="str">
        <f>HYPERLINK("http://dx.doi.org/10.1002/2015JD024037","http://dx.doi.org/10.1002/2015JD024037")</f>
        <v>http://dx.doi.org/10.1002/2015JD024037</v>
      </c>
      <c r="BG691" t="s">
        <v>74</v>
      </c>
      <c r="BH691" t="s">
        <v>74</v>
      </c>
      <c r="BI691">
        <v>17</v>
      </c>
      <c r="BJ691" t="s">
        <v>1726</v>
      </c>
      <c r="BK691" t="s">
        <v>102</v>
      </c>
      <c r="BL691" t="s">
        <v>1726</v>
      </c>
      <c r="BM691" t="s">
        <v>13239</v>
      </c>
      <c r="BN691" t="s">
        <v>74</v>
      </c>
      <c r="BO691" t="s">
        <v>363</v>
      </c>
      <c r="BP691" t="s">
        <v>74</v>
      </c>
      <c r="BQ691" t="s">
        <v>74</v>
      </c>
      <c r="BR691" t="s">
        <v>106</v>
      </c>
      <c r="BS691" t="s">
        <v>13322</v>
      </c>
      <c r="BT691" t="str">
        <f>HYPERLINK("https%3A%2F%2Fwww.webofscience.com%2Fwos%2Fwoscc%2Ffull-record%2FWOS:000372977900009","View Full Record in Web of Science")</f>
        <v>View Full Record in Web of Science</v>
      </c>
    </row>
    <row r="692" spans="1:72" x14ac:dyDescent="0.15">
      <c r="A692" t="s">
        <v>72</v>
      </c>
      <c r="B692" t="s">
        <v>13323</v>
      </c>
      <c r="C692" t="s">
        <v>74</v>
      </c>
      <c r="D692" t="s">
        <v>74</v>
      </c>
      <c r="E692" t="s">
        <v>74</v>
      </c>
      <c r="F692" t="s">
        <v>13324</v>
      </c>
      <c r="G692" t="s">
        <v>74</v>
      </c>
      <c r="H692" t="s">
        <v>74</v>
      </c>
      <c r="I692" t="s">
        <v>13325</v>
      </c>
      <c r="J692" t="s">
        <v>1196</v>
      </c>
      <c r="K692" t="s">
        <v>74</v>
      </c>
      <c r="L692" t="s">
        <v>74</v>
      </c>
      <c r="M692" t="s">
        <v>78</v>
      </c>
      <c r="N692" t="s">
        <v>79</v>
      </c>
      <c r="O692" t="s">
        <v>74</v>
      </c>
      <c r="P692" t="s">
        <v>74</v>
      </c>
      <c r="Q692" t="s">
        <v>74</v>
      </c>
      <c r="R692" t="s">
        <v>74</v>
      </c>
      <c r="S692" t="s">
        <v>74</v>
      </c>
      <c r="T692" t="s">
        <v>74</v>
      </c>
      <c r="U692" t="s">
        <v>13326</v>
      </c>
      <c r="V692" t="s">
        <v>13327</v>
      </c>
      <c r="W692" t="s">
        <v>13328</v>
      </c>
      <c r="X692" t="s">
        <v>13329</v>
      </c>
      <c r="Y692" t="s">
        <v>13330</v>
      </c>
      <c r="Z692" t="s">
        <v>13331</v>
      </c>
      <c r="AA692" t="s">
        <v>13332</v>
      </c>
      <c r="AB692" t="s">
        <v>13333</v>
      </c>
      <c r="AC692" t="s">
        <v>13334</v>
      </c>
      <c r="AD692" t="s">
        <v>13335</v>
      </c>
      <c r="AE692" t="s">
        <v>13336</v>
      </c>
      <c r="AF692" t="s">
        <v>74</v>
      </c>
      <c r="AG692">
        <v>103</v>
      </c>
      <c r="AH692">
        <v>26</v>
      </c>
      <c r="AI692">
        <v>29</v>
      </c>
      <c r="AJ692">
        <v>1</v>
      </c>
      <c r="AK692">
        <v>19</v>
      </c>
      <c r="AL692" t="s">
        <v>1207</v>
      </c>
      <c r="AM692" t="s">
        <v>1208</v>
      </c>
      <c r="AN692" t="s">
        <v>1209</v>
      </c>
      <c r="AO692" t="s">
        <v>1210</v>
      </c>
      <c r="AP692" t="s">
        <v>74</v>
      </c>
      <c r="AQ692" t="s">
        <v>74</v>
      </c>
      <c r="AR692" t="s">
        <v>1196</v>
      </c>
      <c r="AS692" t="s">
        <v>1211</v>
      </c>
      <c r="AT692" t="s">
        <v>13337</v>
      </c>
      <c r="AU692">
        <v>2016</v>
      </c>
      <c r="AV692">
        <v>11</v>
      </c>
      <c r="AW692">
        <v>2</v>
      </c>
      <c r="AX692" t="s">
        <v>74</v>
      </c>
      <c r="AY692" t="s">
        <v>74</v>
      </c>
      <c r="AZ692" t="s">
        <v>74</v>
      </c>
      <c r="BA692" t="s">
        <v>74</v>
      </c>
      <c r="BB692" t="s">
        <v>74</v>
      </c>
      <c r="BC692" t="s">
        <v>74</v>
      </c>
      <c r="BD692" t="s">
        <v>13338</v>
      </c>
      <c r="BE692" t="s">
        <v>13339</v>
      </c>
      <c r="BF692" t="str">
        <f>HYPERLINK("http://dx.doi.org/10.1371/journal.pone.0150099","http://dx.doi.org/10.1371/journal.pone.0150099")</f>
        <v>http://dx.doi.org/10.1371/journal.pone.0150099</v>
      </c>
      <c r="BG692" t="s">
        <v>74</v>
      </c>
      <c r="BH692" t="s">
        <v>74</v>
      </c>
      <c r="BI692">
        <v>32</v>
      </c>
      <c r="BJ692" t="s">
        <v>753</v>
      </c>
      <c r="BK692" t="s">
        <v>942</v>
      </c>
      <c r="BL692" t="s">
        <v>754</v>
      </c>
      <c r="BM692" t="s">
        <v>13340</v>
      </c>
      <c r="BN692">
        <v>26918440</v>
      </c>
      <c r="BO692" t="s">
        <v>10031</v>
      </c>
      <c r="BP692" t="s">
        <v>74</v>
      </c>
      <c r="BQ692" t="s">
        <v>74</v>
      </c>
      <c r="BR692" t="s">
        <v>106</v>
      </c>
      <c r="BS692" t="s">
        <v>13341</v>
      </c>
      <c r="BT692" t="str">
        <f>HYPERLINK("https%3A%2F%2Fwww.webofscience.com%2Fwos%2Fwoscc%2Ffull-record%2FWOS:000371274400086","View Full Record in Web of Science")</f>
        <v>View Full Record in Web of Science</v>
      </c>
    </row>
    <row r="693" spans="1:72" x14ac:dyDescent="0.15">
      <c r="A693" t="s">
        <v>72</v>
      </c>
      <c r="B693" t="s">
        <v>13342</v>
      </c>
      <c r="C693" t="s">
        <v>74</v>
      </c>
      <c r="D693" t="s">
        <v>74</v>
      </c>
      <c r="E693" t="s">
        <v>74</v>
      </c>
      <c r="F693" t="s">
        <v>13343</v>
      </c>
      <c r="G693" t="s">
        <v>74</v>
      </c>
      <c r="H693" t="s">
        <v>74</v>
      </c>
      <c r="I693" t="s">
        <v>13344</v>
      </c>
      <c r="J693" t="s">
        <v>8875</v>
      </c>
      <c r="K693" t="s">
        <v>74</v>
      </c>
      <c r="L693" t="s">
        <v>74</v>
      </c>
      <c r="M693" t="s">
        <v>78</v>
      </c>
      <c r="N693" t="s">
        <v>79</v>
      </c>
      <c r="O693" t="s">
        <v>74</v>
      </c>
      <c r="P693" t="s">
        <v>74</v>
      </c>
      <c r="Q693" t="s">
        <v>74</v>
      </c>
      <c r="R693" t="s">
        <v>74</v>
      </c>
      <c r="S693" t="s">
        <v>74</v>
      </c>
      <c r="T693" t="s">
        <v>13345</v>
      </c>
      <c r="U693" t="s">
        <v>13346</v>
      </c>
      <c r="V693" t="s">
        <v>13347</v>
      </c>
      <c r="W693" t="s">
        <v>13348</v>
      </c>
      <c r="X693" t="s">
        <v>7608</v>
      </c>
      <c r="Y693" t="s">
        <v>13349</v>
      </c>
      <c r="Z693" t="s">
        <v>7610</v>
      </c>
      <c r="AA693" t="s">
        <v>13350</v>
      </c>
      <c r="AB693" t="s">
        <v>7612</v>
      </c>
      <c r="AC693" t="s">
        <v>13351</v>
      </c>
      <c r="AD693" t="s">
        <v>13352</v>
      </c>
      <c r="AE693" t="s">
        <v>13353</v>
      </c>
      <c r="AF693" t="s">
        <v>74</v>
      </c>
      <c r="AG693">
        <v>42</v>
      </c>
      <c r="AH693">
        <v>125</v>
      </c>
      <c r="AI693">
        <v>142</v>
      </c>
      <c r="AJ693">
        <v>6</v>
      </c>
      <c r="AK693">
        <v>22</v>
      </c>
      <c r="AL693" t="s">
        <v>8888</v>
      </c>
      <c r="AM693" t="s">
        <v>8889</v>
      </c>
      <c r="AN693" t="s">
        <v>8890</v>
      </c>
      <c r="AO693" t="s">
        <v>74</v>
      </c>
      <c r="AP693" t="s">
        <v>8891</v>
      </c>
      <c r="AQ693" t="s">
        <v>74</v>
      </c>
      <c r="AR693" t="s">
        <v>8892</v>
      </c>
      <c r="AS693" t="s">
        <v>8893</v>
      </c>
      <c r="AT693" t="s">
        <v>13337</v>
      </c>
      <c r="AU693">
        <v>2016</v>
      </c>
      <c r="AV693">
        <v>7</v>
      </c>
      <c r="AW693" t="s">
        <v>74</v>
      </c>
      <c r="AX693" t="s">
        <v>74</v>
      </c>
      <c r="AY693" t="s">
        <v>74</v>
      </c>
      <c r="AZ693" t="s">
        <v>74</v>
      </c>
      <c r="BA693" t="s">
        <v>74</v>
      </c>
      <c r="BB693" t="s">
        <v>74</v>
      </c>
      <c r="BC693" t="s">
        <v>74</v>
      </c>
      <c r="BD693">
        <v>227</v>
      </c>
      <c r="BE693" t="s">
        <v>13354</v>
      </c>
      <c r="BF693" t="str">
        <f>HYPERLINK("http://dx.doi.org/10.3389/fmicb.2016.00227","http://dx.doi.org/10.3389/fmicb.2016.00227")</f>
        <v>http://dx.doi.org/10.3389/fmicb.2016.00227</v>
      </c>
      <c r="BG693" t="s">
        <v>74</v>
      </c>
      <c r="BH693" t="s">
        <v>74</v>
      </c>
      <c r="BI693">
        <v>10</v>
      </c>
      <c r="BJ693" t="s">
        <v>2538</v>
      </c>
      <c r="BK693" t="s">
        <v>102</v>
      </c>
      <c r="BL693" t="s">
        <v>2538</v>
      </c>
      <c r="BM693" t="s">
        <v>13355</v>
      </c>
      <c r="BN693">
        <v>26955371</v>
      </c>
      <c r="BO693" t="s">
        <v>1684</v>
      </c>
      <c r="BP693" t="s">
        <v>74</v>
      </c>
      <c r="BQ693" t="s">
        <v>74</v>
      </c>
      <c r="BR693" t="s">
        <v>106</v>
      </c>
      <c r="BS693" t="s">
        <v>13356</v>
      </c>
      <c r="BT693" t="str">
        <f>HYPERLINK("https%3A%2F%2Fwww.webofscience.com%2Fwos%2Fwoscc%2Ffull-record%2FWOS:000370872300001","View Full Record in Web of Science")</f>
        <v>View Full Record in Web of Science</v>
      </c>
    </row>
    <row r="694" spans="1:72" x14ac:dyDescent="0.15">
      <c r="A694" t="s">
        <v>72</v>
      </c>
      <c r="B694" t="s">
        <v>13357</v>
      </c>
      <c r="C694" t="s">
        <v>74</v>
      </c>
      <c r="D694" t="s">
        <v>74</v>
      </c>
      <c r="E694" t="s">
        <v>74</v>
      </c>
      <c r="F694" t="s">
        <v>13358</v>
      </c>
      <c r="G694" t="s">
        <v>74</v>
      </c>
      <c r="H694" t="s">
        <v>74</v>
      </c>
      <c r="I694" t="s">
        <v>13359</v>
      </c>
      <c r="J694" t="s">
        <v>13360</v>
      </c>
      <c r="K694" t="s">
        <v>74</v>
      </c>
      <c r="L694" t="s">
        <v>74</v>
      </c>
      <c r="M694" t="s">
        <v>78</v>
      </c>
      <c r="N694" t="s">
        <v>79</v>
      </c>
      <c r="O694" t="s">
        <v>74</v>
      </c>
      <c r="P694" t="s">
        <v>74</v>
      </c>
      <c r="Q694" t="s">
        <v>74</v>
      </c>
      <c r="R694" t="s">
        <v>74</v>
      </c>
      <c r="S694" t="s">
        <v>74</v>
      </c>
      <c r="T694" t="s">
        <v>13361</v>
      </c>
      <c r="U694" t="s">
        <v>13362</v>
      </c>
      <c r="V694" t="s">
        <v>13363</v>
      </c>
      <c r="W694" t="s">
        <v>13364</v>
      </c>
      <c r="X694" t="s">
        <v>13365</v>
      </c>
      <c r="Y694" t="s">
        <v>13366</v>
      </c>
      <c r="Z694" t="s">
        <v>13367</v>
      </c>
      <c r="AA694" t="s">
        <v>74</v>
      </c>
      <c r="AB694" t="s">
        <v>74</v>
      </c>
      <c r="AC694" t="s">
        <v>13368</v>
      </c>
      <c r="AD694" t="s">
        <v>13369</v>
      </c>
      <c r="AE694" t="s">
        <v>13370</v>
      </c>
      <c r="AF694" t="s">
        <v>74</v>
      </c>
      <c r="AG694">
        <v>49</v>
      </c>
      <c r="AH694">
        <v>8</v>
      </c>
      <c r="AI694">
        <v>9</v>
      </c>
      <c r="AJ694">
        <v>0</v>
      </c>
      <c r="AK694">
        <v>8</v>
      </c>
      <c r="AL694" t="s">
        <v>6320</v>
      </c>
      <c r="AM694" t="s">
        <v>6321</v>
      </c>
      <c r="AN694" t="s">
        <v>6322</v>
      </c>
      <c r="AO694" t="s">
        <v>13371</v>
      </c>
      <c r="AP694" t="s">
        <v>74</v>
      </c>
      <c r="AQ694" t="s">
        <v>74</v>
      </c>
      <c r="AR694" t="s">
        <v>13372</v>
      </c>
      <c r="AS694" t="s">
        <v>13373</v>
      </c>
      <c r="AT694" t="s">
        <v>13374</v>
      </c>
      <c r="AU694">
        <v>2016</v>
      </c>
      <c r="AV694">
        <v>110</v>
      </c>
      <c r="AW694">
        <v>4</v>
      </c>
      <c r="AX694" t="s">
        <v>74</v>
      </c>
      <c r="AY694" t="s">
        <v>74</v>
      </c>
      <c r="AZ694" t="s">
        <v>74</v>
      </c>
      <c r="BA694" t="s">
        <v>74</v>
      </c>
      <c r="BB694">
        <v>649</v>
      </c>
      <c r="BC694">
        <v>658</v>
      </c>
      <c r="BD694" t="s">
        <v>74</v>
      </c>
      <c r="BE694" t="s">
        <v>13375</v>
      </c>
      <c r="BF694" t="str">
        <f>HYPERLINK("http://dx.doi.org/10.18520/cs/v110/i4/649-658","http://dx.doi.org/10.18520/cs/v110/i4/649-658")</f>
        <v>http://dx.doi.org/10.18520/cs/v110/i4/649-658</v>
      </c>
      <c r="BG694" t="s">
        <v>74</v>
      </c>
      <c r="BH694" t="s">
        <v>74</v>
      </c>
      <c r="BI694">
        <v>10</v>
      </c>
      <c r="BJ694" t="s">
        <v>753</v>
      </c>
      <c r="BK694" t="s">
        <v>102</v>
      </c>
      <c r="BL694" t="s">
        <v>754</v>
      </c>
      <c r="BM694" t="s">
        <v>13376</v>
      </c>
      <c r="BN694" t="s">
        <v>74</v>
      </c>
      <c r="BO694" t="s">
        <v>74</v>
      </c>
      <c r="BP694" t="s">
        <v>74</v>
      </c>
      <c r="BQ694" t="s">
        <v>74</v>
      </c>
      <c r="BR694" t="s">
        <v>106</v>
      </c>
      <c r="BS694" t="s">
        <v>13377</v>
      </c>
      <c r="BT694" t="str">
        <f>HYPERLINK("https%3A%2F%2Fwww.webofscience.com%2Fwos%2Fwoscc%2Ffull-record%2FWOS:000370491500037","View Full Record in Web of Science")</f>
        <v>View Full Record in Web of Science</v>
      </c>
    </row>
    <row r="695" spans="1:72" x14ac:dyDescent="0.15">
      <c r="A695" t="s">
        <v>72</v>
      </c>
      <c r="B695" t="s">
        <v>13378</v>
      </c>
      <c r="C695" t="s">
        <v>74</v>
      </c>
      <c r="D695" t="s">
        <v>74</v>
      </c>
      <c r="E695" t="s">
        <v>74</v>
      </c>
      <c r="F695" t="s">
        <v>13379</v>
      </c>
      <c r="G695" t="s">
        <v>74</v>
      </c>
      <c r="H695" t="s">
        <v>74</v>
      </c>
      <c r="I695" t="s">
        <v>13380</v>
      </c>
      <c r="J695" t="s">
        <v>1350</v>
      </c>
      <c r="K695" t="s">
        <v>74</v>
      </c>
      <c r="L695" t="s">
        <v>74</v>
      </c>
      <c r="M695" t="s">
        <v>78</v>
      </c>
      <c r="N695" t="s">
        <v>79</v>
      </c>
      <c r="O695" t="s">
        <v>74</v>
      </c>
      <c r="P695" t="s">
        <v>74</v>
      </c>
      <c r="Q695" t="s">
        <v>74</v>
      </c>
      <c r="R695" t="s">
        <v>74</v>
      </c>
      <c r="S695" t="s">
        <v>74</v>
      </c>
      <c r="T695" t="s">
        <v>74</v>
      </c>
      <c r="U695" t="s">
        <v>13381</v>
      </c>
      <c r="V695" t="s">
        <v>13382</v>
      </c>
      <c r="W695" t="s">
        <v>13383</v>
      </c>
      <c r="X695" t="s">
        <v>13384</v>
      </c>
      <c r="Y695" t="s">
        <v>13385</v>
      </c>
      <c r="Z695" t="s">
        <v>13386</v>
      </c>
      <c r="AA695" t="s">
        <v>13387</v>
      </c>
      <c r="AB695" t="s">
        <v>13388</v>
      </c>
      <c r="AC695" t="s">
        <v>13389</v>
      </c>
      <c r="AD695" t="s">
        <v>13390</v>
      </c>
      <c r="AE695" t="s">
        <v>13391</v>
      </c>
      <c r="AF695" t="s">
        <v>74</v>
      </c>
      <c r="AG695">
        <v>62</v>
      </c>
      <c r="AH695">
        <v>49</v>
      </c>
      <c r="AI695">
        <v>52</v>
      </c>
      <c r="AJ695">
        <v>2</v>
      </c>
      <c r="AK695">
        <v>84</v>
      </c>
      <c r="AL695" t="s">
        <v>746</v>
      </c>
      <c r="AM695" t="s">
        <v>747</v>
      </c>
      <c r="AN695" t="s">
        <v>748</v>
      </c>
      <c r="AO695" t="s">
        <v>1362</v>
      </c>
      <c r="AP695" t="s">
        <v>74</v>
      </c>
      <c r="AQ695" t="s">
        <v>74</v>
      </c>
      <c r="AR695" t="s">
        <v>1363</v>
      </c>
      <c r="AS695" t="s">
        <v>1364</v>
      </c>
      <c r="AT695" t="s">
        <v>13392</v>
      </c>
      <c r="AU695">
        <v>2016</v>
      </c>
      <c r="AV695">
        <v>6</v>
      </c>
      <c r="AW695" t="s">
        <v>74</v>
      </c>
      <c r="AX695" t="s">
        <v>74</v>
      </c>
      <c r="AY695" t="s">
        <v>74</v>
      </c>
      <c r="AZ695" t="s">
        <v>74</v>
      </c>
      <c r="BA695" t="s">
        <v>74</v>
      </c>
      <c r="BB695" t="s">
        <v>74</v>
      </c>
      <c r="BC695" t="s">
        <v>74</v>
      </c>
      <c r="BD695">
        <v>22139</v>
      </c>
      <c r="BE695" t="s">
        <v>13393</v>
      </c>
      <c r="BF695" t="str">
        <f>HYPERLINK("http://dx.doi.org/10.1038/srep22139","http://dx.doi.org/10.1038/srep22139")</f>
        <v>http://dx.doi.org/10.1038/srep22139</v>
      </c>
      <c r="BG695" t="s">
        <v>74</v>
      </c>
      <c r="BH695" t="s">
        <v>74</v>
      </c>
      <c r="BI695">
        <v>9</v>
      </c>
      <c r="BJ695" t="s">
        <v>753</v>
      </c>
      <c r="BK695" t="s">
        <v>102</v>
      </c>
      <c r="BL695" t="s">
        <v>754</v>
      </c>
      <c r="BM695" t="s">
        <v>13394</v>
      </c>
      <c r="BN695">
        <v>26907101</v>
      </c>
      <c r="BO695" t="s">
        <v>1684</v>
      </c>
      <c r="BP695" t="s">
        <v>74</v>
      </c>
      <c r="BQ695" t="s">
        <v>74</v>
      </c>
      <c r="BR695" t="s">
        <v>106</v>
      </c>
      <c r="BS695" t="s">
        <v>13395</v>
      </c>
      <c r="BT695" t="str">
        <f>HYPERLINK("https%3A%2F%2Fwww.webofscience.com%2Fwos%2Fwoscc%2Ffull-record%2FWOS:000370754700001","View Full Record in Web of Science")</f>
        <v>View Full Record in Web of Science</v>
      </c>
    </row>
    <row r="696" spans="1:72" x14ac:dyDescent="0.15">
      <c r="A696" t="s">
        <v>72</v>
      </c>
      <c r="B696" t="s">
        <v>13396</v>
      </c>
      <c r="C696" t="s">
        <v>74</v>
      </c>
      <c r="D696" t="s">
        <v>74</v>
      </c>
      <c r="E696" t="s">
        <v>74</v>
      </c>
      <c r="F696" t="s">
        <v>13397</v>
      </c>
      <c r="G696" t="s">
        <v>74</v>
      </c>
      <c r="H696" t="s">
        <v>74</v>
      </c>
      <c r="I696" t="s">
        <v>13398</v>
      </c>
      <c r="J696" t="s">
        <v>13399</v>
      </c>
      <c r="K696" t="s">
        <v>74</v>
      </c>
      <c r="L696" t="s">
        <v>74</v>
      </c>
      <c r="M696" t="s">
        <v>78</v>
      </c>
      <c r="N696" t="s">
        <v>79</v>
      </c>
      <c r="O696" t="s">
        <v>74</v>
      </c>
      <c r="P696" t="s">
        <v>74</v>
      </c>
      <c r="Q696" t="s">
        <v>74</v>
      </c>
      <c r="R696" t="s">
        <v>74</v>
      </c>
      <c r="S696" t="s">
        <v>74</v>
      </c>
      <c r="T696" t="s">
        <v>13400</v>
      </c>
      <c r="U696" t="s">
        <v>13401</v>
      </c>
      <c r="V696" t="s">
        <v>13402</v>
      </c>
      <c r="W696" t="s">
        <v>13403</v>
      </c>
      <c r="X696" t="s">
        <v>13404</v>
      </c>
      <c r="Y696" t="s">
        <v>13405</v>
      </c>
      <c r="Z696" t="s">
        <v>13406</v>
      </c>
      <c r="AA696" t="s">
        <v>74</v>
      </c>
      <c r="AB696" t="s">
        <v>13407</v>
      </c>
      <c r="AC696" t="s">
        <v>13408</v>
      </c>
      <c r="AD696" t="s">
        <v>13409</v>
      </c>
      <c r="AE696" t="s">
        <v>13410</v>
      </c>
      <c r="AF696" t="s">
        <v>74</v>
      </c>
      <c r="AG696">
        <v>100</v>
      </c>
      <c r="AH696">
        <v>35</v>
      </c>
      <c r="AI696">
        <v>36</v>
      </c>
      <c r="AJ696">
        <v>3</v>
      </c>
      <c r="AK696">
        <v>36</v>
      </c>
      <c r="AL696" t="s">
        <v>13411</v>
      </c>
      <c r="AM696" t="s">
        <v>773</v>
      </c>
      <c r="AN696" t="s">
        <v>13412</v>
      </c>
      <c r="AO696" t="s">
        <v>13413</v>
      </c>
      <c r="AP696" t="s">
        <v>74</v>
      </c>
      <c r="AQ696" t="s">
        <v>74</v>
      </c>
      <c r="AR696" t="s">
        <v>13399</v>
      </c>
      <c r="AS696" t="s">
        <v>13414</v>
      </c>
      <c r="AT696" t="s">
        <v>13415</v>
      </c>
      <c r="AU696">
        <v>2016</v>
      </c>
      <c r="AV696">
        <v>4</v>
      </c>
      <c r="AW696" t="s">
        <v>74</v>
      </c>
      <c r="AX696" t="s">
        <v>74</v>
      </c>
      <c r="AY696" t="s">
        <v>74</v>
      </c>
      <c r="AZ696" t="s">
        <v>74</v>
      </c>
      <c r="BA696" t="s">
        <v>74</v>
      </c>
      <c r="BB696" t="s">
        <v>74</v>
      </c>
      <c r="BC696" t="s">
        <v>74</v>
      </c>
      <c r="BD696" t="s">
        <v>13416</v>
      </c>
      <c r="BE696" t="s">
        <v>13417</v>
      </c>
      <c r="BF696" t="str">
        <f>HYPERLINK("http://dx.doi.org/10.7717/peerj.1713","http://dx.doi.org/10.7717/peerj.1713")</f>
        <v>http://dx.doi.org/10.7717/peerj.1713</v>
      </c>
      <c r="BG696" t="s">
        <v>74</v>
      </c>
      <c r="BH696" t="s">
        <v>74</v>
      </c>
      <c r="BI696">
        <v>22</v>
      </c>
      <c r="BJ696" t="s">
        <v>753</v>
      </c>
      <c r="BK696" t="s">
        <v>102</v>
      </c>
      <c r="BL696" t="s">
        <v>754</v>
      </c>
      <c r="BM696" t="s">
        <v>13418</v>
      </c>
      <c r="BN696">
        <v>26925334</v>
      </c>
      <c r="BO696" t="s">
        <v>993</v>
      </c>
      <c r="BP696" t="s">
        <v>74</v>
      </c>
      <c r="BQ696" t="s">
        <v>74</v>
      </c>
      <c r="BR696" t="s">
        <v>106</v>
      </c>
      <c r="BS696" t="s">
        <v>13419</v>
      </c>
      <c r="BT696" t="str">
        <f>HYPERLINK("https%3A%2F%2Fwww.webofscience.com%2Fwos%2Fwoscc%2Ffull-record%2FWOS:000371661300002","View Full Record in Web of Science")</f>
        <v>View Full Record in Web of Science</v>
      </c>
    </row>
    <row r="697" spans="1:72" x14ac:dyDescent="0.15">
      <c r="A697" t="s">
        <v>72</v>
      </c>
      <c r="B697" t="s">
        <v>13420</v>
      </c>
      <c r="C697" t="s">
        <v>74</v>
      </c>
      <c r="D697" t="s">
        <v>74</v>
      </c>
      <c r="E697" t="s">
        <v>74</v>
      </c>
      <c r="F697" t="s">
        <v>13421</v>
      </c>
      <c r="G697" t="s">
        <v>74</v>
      </c>
      <c r="H697" t="s">
        <v>74</v>
      </c>
      <c r="I697" t="s">
        <v>13422</v>
      </c>
      <c r="J697" t="s">
        <v>1350</v>
      </c>
      <c r="K697" t="s">
        <v>74</v>
      </c>
      <c r="L697" t="s">
        <v>74</v>
      </c>
      <c r="M697" t="s">
        <v>78</v>
      </c>
      <c r="N697" t="s">
        <v>79</v>
      </c>
      <c r="O697" t="s">
        <v>74</v>
      </c>
      <c r="P697" t="s">
        <v>74</v>
      </c>
      <c r="Q697" t="s">
        <v>74</v>
      </c>
      <c r="R697" t="s">
        <v>74</v>
      </c>
      <c r="S697" t="s">
        <v>74</v>
      </c>
      <c r="T697" t="s">
        <v>74</v>
      </c>
      <c r="U697" t="s">
        <v>13423</v>
      </c>
      <c r="V697" t="s">
        <v>13424</v>
      </c>
      <c r="W697" t="s">
        <v>13425</v>
      </c>
      <c r="X697" t="s">
        <v>13426</v>
      </c>
      <c r="Y697" t="s">
        <v>13427</v>
      </c>
      <c r="Z697" t="s">
        <v>13428</v>
      </c>
      <c r="AA697" t="s">
        <v>13429</v>
      </c>
      <c r="AB697" t="s">
        <v>13430</v>
      </c>
      <c r="AC697" t="s">
        <v>13431</v>
      </c>
      <c r="AD697" t="s">
        <v>13431</v>
      </c>
      <c r="AE697" t="s">
        <v>13432</v>
      </c>
      <c r="AF697" t="s">
        <v>74</v>
      </c>
      <c r="AG697">
        <v>68</v>
      </c>
      <c r="AH697">
        <v>10</v>
      </c>
      <c r="AI697">
        <v>11</v>
      </c>
      <c r="AJ697">
        <v>1</v>
      </c>
      <c r="AK697">
        <v>24</v>
      </c>
      <c r="AL697" t="s">
        <v>746</v>
      </c>
      <c r="AM697" t="s">
        <v>747</v>
      </c>
      <c r="AN697" t="s">
        <v>748</v>
      </c>
      <c r="AO697" t="s">
        <v>1362</v>
      </c>
      <c r="AP697" t="s">
        <v>74</v>
      </c>
      <c r="AQ697" t="s">
        <v>74</v>
      </c>
      <c r="AR697" t="s">
        <v>1363</v>
      </c>
      <c r="AS697" t="s">
        <v>1364</v>
      </c>
      <c r="AT697" t="s">
        <v>13415</v>
      </c>
      <c r="AU697">
        <v>2016</v>
      </c>
      <c r="AV697">
        <v>6</v>
      </c>
      <c r="AW697" t="s">
        <v>74</v>
      </c>
      <c r="AX697" t="s">
        <v>74</v>
      </c>
      <c r="AY697" t="s">
        <v>74</v>
      </c>
      <c r="AZ697" t="s">
        <v>74</v>
      </c>
      <c r="BA697" t="s">
        <v>74</v>
      </c>
      <c r="BB697" t="s">
        <v>74</v>
      </c>
      <c r="BC697" t="s">
        <v>74</v>
      </c>
      <c r="BD697">
        <v>21533</v>
      </c>
      <c r="BE697" t="s">
        <v>13433</v>
      </c>
      <c r="BF697" t="str">
        <f>HYPERLINK("http://dx.doi.org/10.1038/srep21533","http://dx.doi.org/10.1038/srep21533")</f>
        <v>http://dx.doi.org/10.1038/srep21533</v>
      </c>
      <c r="BG697" t="s">
        <v>74</v>
      </c>
      <c r="BH697" t="s">
        <v>74</v>
      </c>
      <c r="BI697">
        <v>12</v>
      </c>
      <c r="BJ697" t="s">
        <v>753</v>
      </c>
      <c r="BK697" t="s">
        <v>102</v>
      </c>
      <c r="BL697" t="s">
        <v>754</v>
      </c>
      <c r="BM697" t="s">
        <v>13434</v>
      </c>
      <c r="BN697">
        <v>26903274</v>
      </c>
      <c r="BO697" t="s">
        <v>1215</v>
      </c>
      <c r="BP697" t="s">
        <v>74</v>
      </c>
      <c r="BQ697" t="s">
        <v>74</v>
      </c>
      <c r="BR697" t="s">
        <v>106</v>
      </c>
      <c r="BS697" t="s">
        <v>13435</v>
      </c>
      <c r="BT697" t="str">
        <f>HYPERLINK("https%3A%2F%2Fwww.webofscience.com%2Fwos%2Fwoscc%2Ffull-record%2FWOS:000370626400001","View Full Record in Web of Science")</f>
        <v>View Full Record in Web of Science</v>
      </c>
    </row>
    <row r="698" spans="1:72" x14ac:dyDescent="0.15">
      <c r="A698" t="s">
        <v>72</v>
      </c>
      <c r="B698" t="s">
        <v>13436</v>
      </c>
      <c r="C698" t="s">
        <v>74</v>
      </c>
      <c r="D698" t="s">
        <v>74</v>
      </c>
      <c r="E698" t="s">
        <v>74</v>
      </c>
      <c r="F698" t="s">
        <v>13437</v>
      </c>
      <c r="G698" t="s">
        <v>74</v>
      </c>
      <c r="H698" t="s">
        <v>74</v>
      </c>
      <c r="I698" t="s">
        <v>13438</v>
      </c>
      <c r="J698" t="s">
        <v>1445</v>
      </c>
      <c r="K698" t="s">
        <v>74</v>
      </c>
      <c r="L698" t="s">
        <v>74</v>
      </c>
      <c r="M698" t="s">
        <v>78</v>
      </c>
      <c r="N698" t="s">
        <v>79</v>
      </c>
      <c r="O698" t="s">
        <v>74</v>
      </c>
      <c r="P698" t="s">
        <v>74</v>
      </c>
      <c r="Q698" t="s">
        <v>74</v>
      </c>
      <c r="R698" t="s">
        <v>74</v>
      </c>
      <c r="S698" t="s">
        <v>74</v>
      </c>
      <c r="T698" t="s">
        <v>13439</v>
      </c>
      <c r="U698" t="s">
        <v>13440</v>
      </c>
      <c r="V698" t="s">
        <v>13441</v>
      </c>
      <c r="W698" t="s">
        <v>13442</v>
      </c>
      <c r="X698" t="s">
        <v>13443</v>
      </c>
      <c r="Y698" t="s">
        <v>13444</v>
      </c>
      <c r="Z698" t="s">
        <v>13445</v>
      </c>
      <c r="AA698" t="s">
        <v>13446</v>
      </c>
      <c r="AB698" t="s">
        <v>13447</v>
      </c>
      <c r="AC698" t="s">
        <v>13448</v>
      </c>
      <c r="AD698" t="s">
        <v>13449</v>
      </c>
      <c r="AE698" t="s">
        <v>13450</v>
      </c>
      <c r="AF698" t="s">
        <v>74</v>
      </c>
      <c r="AG698">
        <v>87</v>
      </c>
      <c r="AH698">
        <v>17</v>
      </c>
      <c r="AI698">
        <v>17</v>
      </c>
      <c r="AJ698">
        <v>0</v>
      </c>
      <c r="AK698">
        <v>9</v>
      </c>
      <c r="AL698" t="s">
        <v>626</v>
      </c>
      <c r="AM698" t="s">
        <v>583</v>
      </c>
      <c r="AN698" t="s">
        <v>627</v>
      </c>
      <c r="AO698" t="s">
        <v>1458</v>
      </c>
      <c r="AP698" t="s">
        <v>1459</v>
      </c>
      <c r="AQ698" t="s">
        <v>74</v>
      </c>
      <c r="AR698" t="s">
        <v>1445</v>
      </c>
      <c r="AS698" t="s">
        <v>1460</v>
      </c>
      <c r="AT698" t="s">
        <v>13451</v>
      </c>
      <c r="AU698">
        <v>2016</v>
      </c>
      <c r="AV698">
        <v>670</v>
      </c>
      <c r="AW698" t="s">
        <v>74</v>
      </c>
      <c r="AX698" t="s">
        <v>74</v>
      </c>
      <c r="AY698" t="s">
        <v>74</v>
      </c>
      <c r="AZ698" t="s">
        <v>74</v>
      </c>
      <c r="BA698" t="s">
        <v>74</v>
      </c>
      <c r="BB698">
        <v>30</v>
      </c>
      <c r="BC698">
        <v>37</v>
      </c>
      <c r="BD698" t="s">
        <v>74</v>
      </c>
      <c r="BE698" t="s">
        <v>13452</v>
      </c>
      <c r="BF698" t="str">
        <f>HYPERLINK("http://dx.doi.org/10.1016/j.tecto.2015.12.011","http://dx.doi.org/10.1016/j.tecto.2015.12.011")</f>
        <v>http://dx.doi.org/10.1016/j.tecto.2015.12.011</v>
      </c>
      <c r="BG698" t="s">
        <v>74</v>
      </c>
      <c r="BH698" t="s">
        <v>74</v>
      </c>
      <c r="BI698">
        <v>8</v>
      </c>
      <c r="BJ698" t="s">
        <v>727</v>
      </c>
      <c r="BK698" t="s">
        <v>102</v>
      </c>
      <c r="BL698" t="s">
        <v>727</v>
      </c>
      <c r="BM698" t="s">
        <v>13453</v>
      </c>
      <c r="BN698" t="s">
        <v>74</v>
      </c>
      <c r="BO698" t="s">
        <v>74</v>
      </c>
      <c r="BP698" t="s">
        <v>74</v>
      </c>
      <c r="BQ698" t="s">
        <v>74</v>
      </c>
      <c r="BR698" t="s">
        <v>106</v>
      </c>
      <c r="BS698" t="s">
        <v>13454</v>
      </c>
      <c r="BT698" t="str">
        <f>HYPERLINK("https%3A%2F%2Fwww.webofscience.com%2Fwos%2Fwoscc%2Ffull-record%2FWOS:000371374700003","View Full Record in Web of Science")</f>
        <v>View Full Record in Web of Science</v>
      </c>
    </row>
    <row r="699" spans="1:72" x14ac:dyDescent="0.15">
      <c r="A699" t="s">
        <v>72</v>
      </c>
      <c r="B699" t="s">
        <v>13455</v>
      </c>
      <c r="C699" t="s">
        <v>74</v>
      </c>
      <c r="D699" t="s">
        <v>74</v>
      </c>
      <c r="E699" t="s">
        <v>74</v>
      </c>
      <c r="F699" t="s">
        <v>13456</v>
      </c>
      <c r="G699" t="s">
        <v>74</v>
      </c>
      <c r="H699" t="s">
        <v>74</v>
      </c>
      <c r="I699" t="s">
        <v>13457</v>
      </c>
      <c r="J699" t="s">
        <v>1350</v>
      </c>
      <c r="K699" t="s">
        <v>74</v>
      </c>
      <c r="L699" t="s">
        <v>74</v>
      </c>
      <c r="M699" t="s">
        <v>78</v>
      </c>
      <c r="N699" t="s">
        <v>79</v>
      </c>
      <c r="O699" t="s">
        <v>74</v>
      </c>
      <c r="P699" t="s">
        <v>74</v>
      </c>
      <c r="Q699" t="s">
        <v>74</v>
      </c>
      <c r="R699" t="s">
        <v>74</v>
      </c>
      <c r="S699" t="s">
        <v>74</v>
      </c>
      <c r="T699" t="s">
        <v>74</v>
      </c>
      <c r="U699" t="s">
        <v>13458</v>
      </c>
      <c r="V699" t="s">
        <v>13459</v>
      </c>
      <c r="W699" t="s">
        <v>13460</v>
      </c>
      <c r="X699" t="s">
        <v>13461</v>
      </c>
      <c r="Y699" t="s">
        <v>13462</v>
      </c>
      <c r="Z699" t="s">
        <v>13463</v>
      </c>
      <c r="AA699" t="s">
        <v>13464</v>
      </c>
      <c r="AB699" t="s">
        <v>13465</v>
      </c>
      <c r="AC699" t="s">
        <v>13466</v>
      </c>
      <c r="AD699" t="s">
        <v>13467</v>
      </c>
      <c r="AE699" t="s">
        <v>13468</v>
      </c>
      <c r="AF699" t="s">
        <v>74</v>
      </c>
      <c r="AG699">
        <v>56</v>
      </c>
      <c r="AH699">
        <v>130</v>
      </c>
      <c r="AI699">
        <v>147</v>
      </c>
      <c r="AJ699">
        <v>5</v>
      </c>
      <c r="AK699">
        <v>88</v>
      </c>
      <c r="AL699" t="s">
        <v>746</v>
      </c>
      <c r="AM699" t="s">
        <v>747</v>
      </c>
      <c r="AN699" t="s">
        <v>748</v>
      </c>
      <c r="AO699" t="s">
        <v>1362</v>
      </c>
      <c r="AP699" t="s">
        <v>74</v>
      </c>
      <c r="AQ699" t="s">
        <v>74</v>
      </c>
      <c r="AR699" t="s">
        <v>1363</v>
      </c>
      <c r="AS699" t="s">
        <v>1364</v>
      </c>
      <c r="AT699" t="s">
        <v>13451</v>
      </c>
      <c r="AU699">
        <v>2016</v>
      </c>
      <c r="AV699">
        <v>6</v>
      </c>
      <c r="AW699" t="s">
        <v>74</v>
      </c>
      <c r="AX699" t="s">
        <v>74</v>
      </c>
      <c r="AY699" t="s">
        <v>74</v>
      </c>
      <c r="AZ699" t="s">
        <v>74</v>
      </c>
      <c r="BA699" t="s">
        <v>74</v>
      </c>
      <c r="BB699" t="s">
        <v>74</v>
      </c>
      <c r="BC699" t="s">
        <v>74</v>
      </c>
      <c r="BD699">
        <v>21691</v>
      </c>
      <c r="BE699" t="s">
        <v>13469</v>
      </c>
      <c r="BF699" t="str">
        <f>HYPERLINK("http://dx.doi.org/10.1038/srep21691","http://dx.doi.org/10.1038/srep21691")</f>
        <v>http://dx.doi.org/10.1038/srep21691</v>
      </c>
      <c r="BG699" t="s">
        <v>74</v>
      </c>
      <c r="BH699" t="s">
        <v>74</v>
      </c>
      <c r="BI699">
        <v>9</v>
      </c>
      <c r="BJ699" t="s">
        <v>753</v>
      </c>
      <c r="BK699" t="s">
        <v>102</v>
      </c>
      <c r="BL699" t="s">
        <v>754</v>
      </c>
      <c r="BM699" t="s">
        <v>13470</v>
      </c>
      <c r="BN699">
        <v>26900086</v>
      </c>
      <c r="BO699" t="s">
        <v>1684</v>
      </c>
      <c r="BP699" t="s">
        <v>74</v>
      </c>
      <c r="BQ699" t="s">
        <v>74</v>
      </c>
      <c r="BR699" t="s">
        <v>106</v>
      </c>
      <c r="BS699" t="s">
        <v>13471</v>
      </c>
      <c r="BT699" t="str">
        <f>HYPERLINK("https%3A%2F%2Fwww.webofscience.com%2Fwos%2Fwoscc%2Ffull-record%2FWOS:000370509500001","View Full Record in Web of Science")</f>
        <v>View Full Record in Web of Science</v>
      </c>
    </row>
    <row r="700" spans="1:72" x14ac:dyDescent="0.15">
      <c r="A700" t="s">
        <v>72</v>
      </c>
      <c r="B700" t="s">
        <v>13472</v>
      </c>
      <c r="C700" t="s">
        <v>74</v>
      </c>
      <c r="D700" t="s">
        <v>74</v>
      </c>
      <c r="E700" t="s">
        <v>74</v>
      </c>
      <c r="F700" t="s">
        <v>13473</v>
      </c>
      <c r="G700" t="s">
        <v>74</v>
      </c>
      <c r="H700" t="s">
        <v>74</v>
      </c>
      <c r="I700" t="s">
        <v>13474</v>
      </c>
      <c r="J700" t="s">
        <v>1324</v>
      </c>
      <c r="K700" t="s">
        <v>74</v>
      </c>
      <c r="L700" t="s">
        <v>74</v>
      </c>
      <c r="M700" t="s">
        <v>78</v>
      </c>
      <c r="N700" t="s">
        <v>79</v>
      </c>
      <c r="O700" t="s">
        <v>74</v>
      </c>
      <c r="P700" t="s">
        <v>74</v>
      </c>
      <c r="Q700" t="s">
        <v>74</v>
      </c>
      <c r="R700" t="s">
        <v>74</v>
      </c>
      <c r="S700" t="s">
        <v>74</v>
      </c>
      <c r="T700" t="s">
        <v>13475</v>
      </c>
      <c r="U700" t="s">
        <v>13476</v>
      </c>
      <c r="V700" t="s">
        <v>13477</v>
      </c>
      <c r="W700" t="s">
        <v>13478</v>
      </c>
      <c r="X700" t="s">
        <v>13479</v>
      </c>
      <c r="Y700" t="s">
        <v>13480</v>
      </c>
      <c r="Z700" t="s">
        <v>13481</v>
      </c>
      <c r="AA700" t="s">
        <v>74</v>
      </c>
      <c r="AB700" t="s">
        <v>74</v>
      </c>
      <c r="AC700" t="s">
        <v>13482</v>
      </c>
      <c r="AD700" t="s">
        <v>13483</v>
      </c>
      <c r="AE700" t="s">
        <v>13484</v>
      </c>
      <c r="AF700" t="s">
        <v>74</v>
      </c>
      <c r="AG700">
        <v>78</v>
      </c>
      <c r="AH700">
        <v>46</v>
      </c>
      <c r="AI700">
        <v>52</v>
      </c>
      <c r="AJ700">
        <v>0</v>
      </c>
      <c r="AK700">
        <v>45</v>
      </c>
      <c r="AL700" t="s">
        <v>1337</v>
      </c>
      <c r="AM700" t="s">
        <v>773</v>
      </c>
      <c r="AN700" t="s">
        <v>1338</v>
      </c>
      <c r="AO700" t="s">
        <v>1339</v>
      </c>
      <c r="AP700" t="s">
        <v>74</v>
      </c>
      <c r="AQ700" t="s">
        <v>74</v>
      </c>
      <c r="AR700" t="s">
        <v>1324</v>
      </c>
      <c r="AS700" t="s">
        <v>1340</v>
      </c>
      <c r="AT700" t="s">
        <v>13485</v>
      </c>
      <c r="AU700">
        <v>2016</v>
      </c>
      <c r="AV700">
        <v>17</v>
      </c>
      <c r="AW700" t="s">
        <v>74</v>
      </c>
      <c r="AX700" t="s">
        <v>74</v>
      </c>
      <c r="AY700" t="s">
        <v>74</v>
      </c>
      <c r="AZ700" t="s">
        <v>74</v>
      </c>
      <c r="BA700" t="s">
        <v>74</v>
      </c>
      <c r="BB700" t="s">
        <v>74</v>
      </c>
      <c r="BC700" t="s">
        <v>74</v>
      </c>
      <c r="BD700">
        <v>127</v>
      </c>
      <c r="BE700" t="s">
        <v>13486</v>
      </c>
      <c r="BF700" t="str">
        <f>HYPERLINK("http://dx.doi.org/10.1186/s12864-016-2454-3","http://dx.doi.org/10.1186/s12864-016-2454-3")</f>
        <v>http://dx.doi.org/10.1186/s12864-016-2454-3</v>
      </c>
      <c r="BG700" t="s">
        <v>74</v>
      </c>
      <c r="BH700" t="s">
        <v>74</v>
      </c>
      <c r="BI700">
        <v>18</v>
      </c>
      <c r="BJ700" t="s">
        <v>1343</v>
      </c>
      <c r="BK700" t="s">
        <v>102</v>
      </c>
      <c r="BL700" t="s">
        <v>1343</v>
      </c>
      <c r="BM700" t="s">
        <v>13487</v>
      </c>
      <c r="BN700">
        <v>26897172</v>
      </c>
      <c r="BO700" t="s">
        <v>1684</v>
      </c>
      <c r="BP700" t="s">
        <v>74</v>
      </c>
      <c r="BQ700" t="s">
        <v>74</v>
      </c>
      <c r="BR700" t="s">
        <v>106</v>
      </c>
      <c r="BS700" t="s">
        <v>13488</v>
      </c>
      <c r="BT700" t="str">
        <f>HYPERLINK("https%3A%2F%2Fwww.webofscience.com%2Fwos%2Fwoscc%2Ffull-record%2FWOS:000370472600005","View Full Record in Web of Science")</f>
        <v>View Full Record in Web of Science</v>
      </c>
    </row>
    <row r="701" spans="1:72" x14ac:dyDescent="0.15">
      <c r="A701" t="s">
        <v>72</v>
      </c>
      <c r="B701" t="s">
        <v>13489</v>
      </c>
      <c r="C701" t="s">
        <v>74</v>
      </c>
      <c r="D701" t="s">
        <v>74</v>
      </c>
      <c r="E701" t="s">
        <v>74</v>
      </c>
      <c r="F701" t="s">
        <v>13490</v>
      </c>
      <c r="G701" t="s">
        <v>74</v>
      </c>
      <c r="H701" t="s">
        <v>74</v>
      </c>
      <c r="I701" t="s">
        <v>13491</v>
      </c>
      <c r="J701" t="s">
        <v>13492</v>
      </c>
      <c r="K701" t="s">
        <v>74</v>
      </c>
      <c r="L701" t="s">
        <v>74</v>
      </c>
      <c r="M701" t="s">
        <v>78</v>
      </c>
      <c r="N701" t="s">
        <v>79</v>
      </c>
      <c r="O701" t="s">
        <v>74</v>
      </c>
      <c r="P701" t="s">
        <v>74</v>
      </c>
      <c r="Q701" t="s">
        <v>74</v>
      </c>
      <c r="R701" t="s">
        <v>74</v>
      </c>
      <c r="S701" t="s">
        <v>74</v>
      </c>
      <c r="T701" t="s">
        <v>13493</v>
      </c>
      <c r="U701" t="s">
        <v>13494</v>
      </c>
      <c r="V701" t="s">
        <v>13495</v>
      </c>
      <c r="W701" t="s">
        <v>13496</v>
      </c>
      <c r="X701" t="s">
        <v>6011</v>
      </c>
      <c r="Y701" t="s">
        <v>13497</v>
      </c>
      <c r="Z701" t="s">
        <v>13498</v>
      </c>
      <c r="AA701" t="s">
        <v>13499</v>
      </c>
      <c r="AB701" t="s">
        <v>13500</v>
      </c>
      <c r="AC701" t="s">
        <v>13501</v>
      </c>
      <c r="AD701" t="s">
        <v>13502</v>
      </c>
      <c r="AE701" t="s">
        <v>13503</v>
      </c>
      <c r="AF701" t="s">
        <v>74</v>
      </c>
      <c r="AG701">
        <v>48</v>
      </c>
      <c r="AH701">
        <v>78</v>
      </c>
      <c r="AI701">
        <v>85</v>
      </c>
      <c r="AJ701">
        <v>2</v>
      </c>
      <c r="AK701">
        <v>70</v>
      </c>
      <c r="AL701" t="s">
        <v>1337</v>
      </c>
      <c r="AM701" t="s">
        <v>773</v>
      </c>
      <c r="AN701" t="s">
        <v>1338</v>
      </c>
      <c r="AO701" t="s">
        <v>13504</v>
      </c>
      <c r="AP701" t="s">
        <v>74</v>
      </c>
      <c r="AQ701" t="s">
        <v>74</v>
      </c>
      <c r="AR701" t="s">
        <v>13505</v>
      </c>
      <c r="AS701" t="s">
        <v>13506</v>
      </c>
      <c r="AT701" t="s">
        <v>13507</v>
      </c>
      <c r="AU701">
        <v>2016</v>
      </c>
      <c r="AV701">
        <v>16</v>
      </c>
      <c r="AW701" t="s">
        <v>74</v>
      </c>
      <c r="AX701" t="s">
        <v>74</v>
      </c>
      <c r="AY701" t="s">
        <v>74</v>
      </c>
      <c r="AZ701" t="s">
        <v>74</v>
      </c>
      <c r="BA701" t="s">
        <v>74</v>
      </c>
      <c r="BB701" t="s">
        <v>74</v>
      </c>
      <c r="BC701" t="s">
        <v>74</v>
      </c>
      <c r="BD701">
        <v>21</v>
      </c>
      <c r="BE701" t="s">
        <v>13508</v>
      </c>
      <c r="BF701" t="str">
        <f>HYPERLINK("http://dx.doi.org/10.1186/s12866-016-0640-8","http://dx.doi.org/10.1186/s12866-016-0640-8")</f>
        <v>http://dx.doi.org/10.1186/s12866-016-0640-8</v>
      </c>
      <c r="BG701" t="s">
        <v>74</v>
      </c>
      <c r="BH701" t="s">
        <v>74</v>
      </c>
      <c r="BI701">
        <v>9</v>
      </c>
      <c r="BJ701" t="s">
        <v>2538</v>
      </c>
      <c r="BK701" t="s">
        <v>102</v>
      </c>
      <c r="BL701" t="s">
        <v>2538</v>
      </c>
      <c r="BM701" t="s">
        <v>13509</v>
      </c>
      <c r="BN701">
        <v>26923884</v>
      </c>
      <c r="BO701" t="s">
        <v>1684</v>
      </c>
      <c r="BP701" t="s">
        <v>74</v>
      </c>
      <c r="BQ701" t="s">
        <v>74</v>
      </c>
      <c r="BR701" t="s">
        <v>106</v>
      </c>
      <c r="BS701" t="s">
        <v>13510</v>
      </c>
      <c r="BT701" t="str">
        <f>HYPERLINK("https%3A%2F%2Fwww.webofscience.com%2Fwos%2Fwoscc%2Ffull-record%2FWOS:000370473500001","View Full Record in Web of Science")</f>
        <v>View Full Record in Web of Science</v>
      </c>
    </row>
    <row r="702" spans="1:72" x14ac:dyDescent="0.15">
      <c r="A702" t="s">
        <v>72</v>
      </c>
      <c r="B702" t="s">
        <v>13511</v>
      </c>
      <c r="C702" t="s">
        <v>74</v>
      </c>
      <c r="D702" t="s">
        <v>74</v>
      </c>
      <c r="E702" t="s">
        <v>74</v>
      </c>
      <c r="F702" t="s">
        <v>13512</v>
      </c>
      <c r="G702" t="s">
        <v>74</v>
      </c>
      <c r="H702" t="s">
        <v>74</v>
      </c>
      <c r="I702" t="s">
        <v>13513</v>
      </c>
      <c r="J702" t="s">
        <v>1577</v>
      </c>
      <c r="K702" t="s">
        <v>74</v>
      </c>
      <c r="L702" t="s">
        <v>74</v>
      </c>
      <c r="M702" t="s">
        <v>78</v>
      </c>
      <c r="N702" t="s">
        <v>79</v>
      </c>
      <c r="O702" t="s">
        <v>74</v>
      </c>
      <c r="P702" t="s">
        <v>74</v>
      </c>
      <c r="Q702" t="s">
        <v>74</v>
      </c>
      <c r="R702" t="s">
        <v>74</v>
      </c>
      <c r="S702" t="s">
        <v>74</v>
      </c>
      <c r="T702" t="s">
        <v>74</v>
      </c>
      <c r="U702" t="s">
        <v>13514</v>
      </c>
      <c r="V702" t="s">
        <v>13515</v>
      </c>
      <c r="W702" t="s">
        <v>13516</v>
      </c>
      <c r="X702" t="s">
        <v>13517</v>
      </c>
      <c r="Y702" t="s">
        <v>13518</v>
      </c>
      <c r="Z702" t="s">
        <v>13519</v>
      </c>
      <c r="AA702" t="s">
        <v>13520</v>
      </c>
      <c r="AB702" t="s">
        <v>13521</v>
      </c>
      <c r="AC702" t="s">
        <v>13522</v>
      </c>
      <c r="AD702" t="s">
        <v>510</v>
      </c>
      <c r="AE702" t="s">
        <v>74</v>
      </c>
      <c r="AF702" t="s">
        <v>74</v>
      </c>
      <c r="AG702">
        <v>55</v>
      </c>
      <c r="AH702">
        <v>84</v>
      </c>
      <c r="AI702">
        <v>91</v>
      </c>
      <c r="AJ702">
        <v>1</v>
      </c>
      <c r="AK702">
        <v>79</v>
      </c>
      <c r="AL702" t="s">
        <v>746</v>
      </c>
      <c r="AM702" t="s">
        <v>747</v>
      </c>
      <c r="AN702" t="s">
        <v>748</v>
      </c>
      <c r="AO702" t="s">
        <v>1589</v>
      </c>
      <c r="AP702" t="s">
        <v>1590</v>
      </c>
      <c r="AQ702" t="s">
        <v>74</v>
      </c>
      <c r="AR702" t="s">
        <v>1577</v>
      </c>
      <c r="AS702" t="s">
        <v>1591</v>
      </c>
      <c r="AT702" t="s">
        <v>13523</v>
      </c>
      <c r="AU702">
        <v>2016</v>
      </c>
      <c r="AV702">
        <v>530</v>
      </c>
      <c r="AW702">
        <v>7590</v>
      </c>
      <c r="AX702" t="s">
        <v>74</v>
      </c>
      <c r="AY702" t="s">
        <v>74</v>
      </c>
      <c r="AZ702" t="s">
        <v>74</v>
      </c>
      <c r="BA702" t="s">
        <v>74</v>
      </c>
      <c r="BB702">
        <v>322</v>
      </c>
      <c r="BC702" t="s">
        <v>1505</v>
      </c>
      <c r="BD702" t="s">
        <v>74</v>
      </c>
      <c r="BE702" t="s">
        <v>13524</v>
      </c>
      <c r="BF702" t="str">
        <f>HYPERLINK("http://dx.doi.org/10.1038/nature16947","http://dx.doi.org/10.1038/nature16947")</f>
        <v>http://dx.doi.org/10.1038/nature16947</v>
      </c>
      <c r="BG702" t="s">
        <v>74</v>
      </c>
      <c r="BH702" t="s">
        <v>74</v>
      </c>
      <c r="BI702">
        <v>18</v>
      </c>
      <c r="BJ702" t="s">
        <v>753</v>
      </c>
      <c r="BK702" t="s">
        <v>102</v>
      </c>
      <c r="BL702" t="s">
        <v>754</v>
      </c>
      <c r="BM702" t="s">
        <v>13525</v>
      </c>
      <c r="BN702">
        <v>26887494</v>
      </c>
      <c r="BO702" t="s">
        <v>380</v>
      </c>
      <c r="BP702" t="s">
        <v>74</v>
      </c>
      <c r="BQ702" t="s">
        <v>74</v>
      </c>
      <c r="BR702" t="s">
        <v>106</v>
      </c>
      <c r="BS702" t="s">
        <v>13526</v>
      </c>
      <c r="BT702" t="str">
        <f>HYPERLINK("https%3A%2F%2Fwww.webofscience.com%2Fwos%2Fwoscc%2Ffull-record%2FWOS:000370327100034","View Full Record in Web of Science")</f>
        <v>View Full Record in Web of Science</v>
      </c>
    </row>
    <row r="703" spans="1:72" x14ac:dyDescent="0.15">
      <c r="A703" t="s">
        <v>72</v>
      </c>
      <c r="B703" t="s">
        <v>13527</v>
      </c>
      <c r="C703" t="s">
        <v>74</v>
      </c>
      <c r="D703" t="s">
        <v>74</v>
      </c>
      <c r="E703" t="s">
        <v>74</v>
      </c>
      <c r="F703" t="s">
        <v>13528</v>
      </c>
      <c r="G703" t="s">
        <v>74</v>
      </c>
      <c r="H703" t="s">
        <v>74</v>
      </c>
      <c r="I703" t="s">
        <v>13529</v>
      </c>
      <c r="J703" t="s">
        <v>1708</v>
      </c>
      <c r="K703" t="s">
        <v>74</v>
      </c>
      <c r="L703" t="s">
        <v>74</v>
      </c>
      <c r="M703" t="s">
        <v>78</v>
      </c>
      <c r="N703" t="s">
        <v>79</v>
      </c>
      <c r="O703" t="s">
        <v>74</v>
      </c>
      <c r="P703" t="s">
        <v>74</v>
      </c>
      <c r="Q703" t="s">
        <v>74</v>
      </c>
      <c r="R703" t="s">
        <v>74</v>
      </c>
      <c r="S703" t="s">
        <v>74</v>
      </c>
      <c r="T703" t="s">
        <v>13530</v>
      </c>
      <c r="U703" t="s">
        <v>13531</v>
      </c>
      <c r="V703" t="s">
        <v>13532</v>
      </c>
      <c r="W703" t="s">
        <v>13533</v>
      </c>
      <c r="X703" t="s">
        <v>13534</v>
      </c>
      <c r="Y703" t="s">
        <v>13535</v>
      </c>
      <c r="Z703" t="s">
        <v>13536</v>
      </c>
      <c r="AA703" t="s">
        <v>13537</v>
      </c>
      <c r="AB703" t="s">
        <v>13538</v>
      </c>
      <c r="AC703" t="s">
        <v>13539</v>
      </c>
      <c r="AD703" t="s">
        <v>13540</v>
      </c>
      <c r="AE703" t="s">
        <v>13541</v>
      </c>
      <c r="AF703" t="s">
        <v>74</v>
      </c>
      <c r="AG703">
        <v>42</v>
      </c>
      <c r="AH703">
        <v>4</v>
      </c>
      <c r="AI703">
        <v>4</v>
      </c>
      <c r="AJ703">
        <v>0</v>
      </c>
      <c r="AK703">
        <v>13</v>
      </c>
      <c r="AL703" t="s">
        <v>92</v>
      </c>
      <c r="AM703" t="s">
        <v>93</v>
      </c>
      <c r="AN703" t="s">
        <v>94</v>
      </c>
      <c r="AO703" t="s">
        <v>1720</v>
      </c>
      <c r="AP703" t="s">
        <v>1721</v>
      </c>
      <c r="AQ703" t="s">
        <v>74</v>
      </c>
      <c r="AR703" t="s">
        <v>1722</v>
      </c>
      <c r="AS703" t="s">
        <v>1723</v>
      </c>
      <c r="AT703" t="s">
        <v>13542</v>
      </c>
      <c r="AU703">
        <v>2016</v>
      </c>
      <c r="AV703">
        <v>121</v>
      </c>
      <c r="AW703">
        <v>3</v>
      </c>
      <c r="AX703" t="s">
        <v>74</v>
      </c>
      <c r="AY703" t="s">
        <v>74</v>
      </c>
      <c r="AZ703" t="s">
        <v>74</v>
      </c>
      <c r="BA703" t="s">
        <v>74</v>
      </c>
      <c r="BB703">
        <v>1156</v>
      </c>
      <c r="BC703">
        <v>1169</v>
      </c>
      <c r="BD703" t="s">
        <v>74</v>
      </c>
      <c r="BE703" t="s">
        <v>13543</v>
      </c>
      <c r="BF703" t="str">
        <f>HYPERLINK("http://dx.doi.org/10.1002/2015JD023673","http://dx.doi.org/10.1002/2015JD023673")</f>
        <v>http://dx.doi.org/10.1002/2015JD023673</v>
      </c>
      <c r="BG703" t="s">
        <v>74</v>
      </c>
      <c r="BH703" t="s">
        <v>74</v>
      </c>
      <c r="BI703">
        <v>14</v>
      </c>
      <c r="BJ703" t="s">
        <v>1726</v>
      </c>
      <c r="BK703" t="s">
        <v>102</v>
      </c>
      <c r="BL703" t="s">
        <v>1726</v>
      </c>
      <c r="BM703" t="s">
        <v>13544</v>
      </c>
      <c r="BN703" t="s">
        <v>74</v>
      </c>
      <c r="BO703" t="s">
        <v>420</v>
      </c>
      <c r="BP703" t="s">
        <v>74</v>
      </c>
      <c r="BQ703" t="s">
        <v>74</v>
      </c>
      <c r="BR703" t="s">
        <v>106</v>
      </c>
      <c r="BS703" t="s">
        <v>13545</v>
      </c>
      <c r="BT703" t="str">
        <f>HYPERLINK("https%3A%2F%2Fwww.webofscience.com%2Fwos%2Fwoscc%2Ffull-record%2FWOS:000371481700008","View Full Record in Web of Science")</f>
        <v>View Full Record in Web of Science</v>
      </c>
    </row>
    <row r="704" spans="1:72" x14ac:dyDescent="0.15">
      <c r="A704" t="s">
        <v>72</v>
      </c>
      <c r="B704" t="s">
        <v>13546</v>
      </c>
      <c r="C704" t="s">
        <v>74</v>
      </c>
      <c r="D704" t="s">
        <v>74</v>
      </c>
      <c r="E704" t="s">
        <v>74</v>
      </c>
      <c r="F704" t="s">
        <v>13547</v>
      </c>
      <c r="G704" t="s">
        <v>74</v>
      </c>
      <c r="H704" t="s">
        <v>74</v>
      </c>
      <c r="I704" t="s">
        <v>13548</v>
      </c>
      <c r="J704" t="s">
        <v>1708</v>
      </c>
      <c r="K704" t="s">
        <v>74</v>
      </c>
      <c r="L704" t="s">
        <v>74</v>
      </c>
      <c r="M704" t="s">
        <v>78</v>
      </c>
      <c r="N704" t="s">
        <v>79</v>
      </c>
      <c r="O704" t="s">
        <v>74</v>
      </c>
      <c r="P704" t="s">
        <v>74</v>
      </c>
      <c r="Q704" t="s">
        <v>74</v>
      </c>
      <c r="R704" t="s">
        <v>74</v>
      </c>
      <c r="S704" t="s">
        <v>74</v>
      </c>
      <c r="T704" t="s">
        <v>13549</v>
      </c>
      <c r="U704" t="s">
        <v>13550</v>
      </c>
      <c r="V704" t="s">
        <v>13551</v>
      </c>
      <c r="W704" t="s">
        <v>13552</v>
      </c>
      <c r="X704" t="s">
        <v>13553</v>
      </c>
      <c r="Y704" t="s">
        <v>13554</v>
      </c>
      <c r="Z704" t="s">
        <v>13555</v>
      </c>
      <c r="AA704" t="s">
        <v>13556</v>
      </c>
      <c r="AB704" t="s">
        <v>13557</v>
      </c>
      <c r="AC704" t="s">
        <v>13558</v>
      </c>
      <c r="AD704" t="s">
        <v>13559</v>
      </c>
      <c r="AE704" t="s">
        <v>13560</v>
      </c>
      <c r="AF704" t="s">
        <v>74</v>
      </c>
      <c r="AG704">
        <v>64</v>
      </c>
      <c r="AH704">
        <v>14</v>
      </c>
      <c r="AI704">
        <v>17</v>
      </c>
      <c r="AJ704">
        <v>0</v>
      </c>
      <c r="AK704">
        <v>21</v>
      </c>
      <c r="AL704" t="s">
        <v>92</v>
      </c>
      <c r="AM704" t="s">
        <v>93</v>
      </c>
      <c r="AN704" t="s">
        <v>94</v>
      </c>
      <c r="AO704" t="s">
        <v>1720</v>
      </c>
      <c r="AP704" t="s">
        <v>1721</v>
      </c>
      <c r="AQ704" t="s">
        <v>74</v>
      </c>
      <c r="AR704" t="s">
        <v>1722</v>
      </c>
      <c r="AS704" t="s">
        <v>1723</v>
      </c>
      <c r="AT704" t="s">
        <v>13542</v>
      </c>
      <c r="AU704">
        <v>2016</v>
      </c>
      <c r="AV704">
        <v>121</v>
      </c>
      <c r="AW704">
        <v>3</v>
      </c>
      <c r="AX704" t="s">
        <v>74</v>
      </c>
      <c r="AY704" t="s">
        <v>74</v>
      </c>
      <c r="AZ704" t="s">
        <v>74</v>
      </c>
      <c r="BA704" t="s">
        <v>74</v>
      </c>
      <c r="BB704">
        <v>1381</v>
      </c>
      <c r="BC704">
        <v>1396</v>
      </c>
      <c r="BD704" t="s">
        <v>74</v>
      </c>
      <c r="BE704" t="s">
        <v>13561</v>
      </c>
      <c r="BF704" t="str">
        <f>HYPERLINK("http://dx.doi.org/10.1002/2015JD024094","http://dx.doi.org/10.1002/2015JD024094")</f>
        <v>http://dx.doi.org/10.1002/2015JD024094</v>
      </c>
      <c r="BG704" t="s">
        <v>74</v>
      </c>
      <c r="BH704" t="s">
        <v>74</v>
      </c>
      <c r="BI704">
        <v>16</v>
      </c>
      <c r="BJ704" t="s">
        <v>1726</v>
      </c>
      <c r="BK704" t="s">
        <v>102</v>
      </c>
      <c r="BL704" t="s">
        <v>1726</v>
      </c>
      <c r="BM704" t="s">
        <v>13544</v>
      </c>
      <c r="BN704" t="s">
        <v>74</v>
      </c>
      <c r="BO704" t="s">
        <v>420</v>
      </c>
      <c r="BP704" t="s">
        <v>74</v>
      </c>
      <c r="BQ704" t="s">
        <v>74</v>
      </c>
      <c r="BR704" t="s">
        <v>106</v>
      </c>
      <c r="BS704" t="s">
        <v>13562</v>
      </c>
      <c r="BT704" t="str">
        <f>HYPERLINK("https%3A%2F%2Fwww.webofscience.com%2Fwos%2Fwoscc%2Ffull-record%2FWOS:000371481700021","View Full Record in Web of Science")</f>
        <v>View Full Record in Web of Science</v>
      </c>
    </row>
    <row r="705" spans="1:72" x14ac:dyDescent="0.15">
      <c r="A705" t="s">
        <v>72</v>
      </c>
      <c r="B705" t="s">
        <v>13563</v>
      </c>
      <c r="C705" t="s">
        <v>74</v>
      </c>
      <c r="D705" t="s">
        <v>74</v>
      </c>
      <c r="E705" t="s">
        <v>74</v>
      </c>
      <c r="F705" t="s">
        <v>13564</v>
      </c>
      <c r="G705" t="s">
        <v>74</v>
      </c>
      <c r="H705" t="s">
        <v>74</v>
      </c>
      <c r="I705" t="s">
        <v>13565</v>
      </c>
      <c r="J705" t="s">
        <v>13566</v>
      </c>
      <c r="K705" t="s">
        <v>74</v>
      </c>
      <c r="L705" t="s">
        <v>74</v>
      </c>
      <c r="M705" t="s">
        <v>78</v>
      </c>
      <c r="N705" t="s">
        <v>79</v>
      </c>
      <c r="O705" t="s">
        <v>74</v>
      </c>
      <c r="P705" t="s">
        <v>74</v>
      </c>
      <c r="Q705" t="s">
        <v>74</v>
      </c>
      <c r="R705" t="s">
        <v>74</v>
      </c>
      <c r="S705" t="s">
        <v>74</v>
      </c>
      <c r="T705" t="s">
        <v>74</v>
      </c>
      <c r="U705" t="s">
        <v>13567</v>
      </c>
      <c r="V705" t="s">
        <v>13568</v>
      </c>
      <c r="W705" t="s">
        <v>13569</v>
      </c>
      <c r="X705" t="s">
        <v>13570</v>
      </c>
      <c r="Y705" t="s">
        <v>13571</v>
      </c>
      <c r="Z705" t="s">
        <v>13572</v>
      </c>
      <c r="AA705" t="s">
        <v>13573</v>
      </c>
      <c r="AB705" t="s">
        <v>13574</v>
      </c>
      <c r="AC705" t="s">
        <v>13575</v>
      </c>
      <c r="AD705" t="s">
        <v>13576</v>
      </c>
      <c r="AE705" t="s">
        <v>13577</v>
      </c>
      <c r="AF705" t="s">
        <v>74</v>
      </c>
      <c r="AG705">
        <v>94</v>
      </c>
      <c r="AH705">
        <v>17</v>
      </c>
      <c r="AI705">
        <v>19</v>
      </c>
      <c r="AJ705">
        <v>2</v>
      </c>
      <c r="AK705">
        <v>71</v>
      </c>
      <c r="AL705" t="s">
        <v>6536</v>
      </c>
      <c r="AM705" t="s">
        <v>93</v>
      </c>
      <c r="AN705" t="s">
        <v>6537</v>
      </c>
      <c r="AO705" t="s">
        <v>13578</v>
      </c>
      <c r="AP705" t="s">
        <v>13579</v>
      </c>
      <c r="AQ705" t="s">
        <v>74</v>
      </c>
      <c r="AR705" t="s">
        <v>13580</v>
      </c>
      <c r="AS705" t="s">
        <v>13581</v>
      </c>
      <c r="AT705" t="s">
        <v>13542</v>
      </c>
      <c r="AU705">
        <v>2016</v>
      </c>
      <c r="AV705">
        <v>50</v>
      </c>
      <c r="AW705">
        <v>4</v>
      </c>
      <c r="AX705" t="s">
        <v>74</v>
      </c>
      <c r="AY705" t="s">
        <v>74</v>
      </c>
      <c r="AZ705" t="s">
        <v>74</v>
      </c>
      <c r="BA705" t="s">
        <v>74</v>
      </c>
      <c r="BB705">
        <v>1834</v>
      </c>
      <c r="BC705">
        <v>1843</v>
      </c>
      <c r="BD705" t="s">
        <v>74</v>
      </c>
      <c r="BE705" t="s">
        <v>13582</v>
      </c>
      <c r="BF705" t="str">
        <f>HYPERLINK("http://dx.doi.org/10.1021/acs.est.5b05337","http://dx.doi.org/10.1021/acs.est.5b05337")</f>
        <v>http://dx.doi.org/10.1021/acs.est.5b05337</v>
      </c>
      <c r="BG705" t="s">
        <v>74</v>
      </c>
      <c r="BH705" t="s">
        <v>74</v>
      </c>
      <c r="BI705">
        <v>10</v>
      </c>
      <c r="BJ705" t="s">
        <v>13583</v>
      </c>
      <c r="BK705" t="s">
        <v>102</v>
      </c>
      <c r="BL705" t="s">
        <v>13584</v>
      </c>
      <c r="BM705" t="s">
        <v>13585</v>
      </c>
      <c r="BN705">
        <v>26761399</v>
      </c>
      <c r="BO705" t="s">
        <v>203</v>
      </c>
      <c r="BP705" t="s">
        <v>74</v>
      </c>
      <c r="BQ705" t="s">
        <v>74</v>
      </c>
      <c r="BR705" t="s">
        <v>106</v>
      </c>
      <c r="BS705" t="s">
        <v>13586</v>
      </c>
      <c r="BT705" t="str">
        <f>HYPERLINK("https%3A%2F%2Fwww.webofscience.com%2Fwos%2Fwoscc%2Ffull-record%2FWOS:000370454200024","View Full Record in Web of Science")</f>
        <v>View Full Record in Web of Science</v>
      </c>
    </row>
    <row r="706" spans="1:72" x14ac:dyDescent="0.15">
      <c r="A706" t="s">
        <v>72</v>
      </c>
      <c r="B706" t="s">
        <v>13587</v>
      </c>
      <c r="C706" t="s">
        <v>74</v>
      </c>
      <c r="D706" t="s">
        <v>74</v>
      </c>
      <c r="E706" t="s">
        <v>74</v>
      </c>
      <c r="F706" t="s">
        <v>13588</v>
      </c>
      <c r="G706" t="s">
        <v>74</v>
      </c>
      <c r="H706" t="s">
        <v>74</v>
      </c>
      <c r="I706" t="s">
        <v>13589</v>
      </c>
      <c r="J706" t="s">
        <v>8875</v>
      </c>
      <c r="K706" t="s">
        <v>74</v>
      </c>
      <c r="L706" t="s">
        <v>74</v>
      </c>
      <c r="M706" t="s">
        <v>78</v>
      </c>
      <c r="N706" t="s">
        <v>79</v>
      </c>
      <c r="O706" t="s">
        <v>74</v>
      </c>
      <c r="P706" t="s">
        <v>74</v>
      </c>
      <c r="Q706" t="s">
        <v>74</v>
      </c>
      <c r="R706" t="s">
        <v>74</v>
      </c>
      <c r="S706" t="s">
        <v>74</v>
      </c>
      <c r="T706" t="s">
        <v>13590</v>
      </c>
      <c r="U706" t="s">
        <v>13591</v>
      </c>
      <c r="V706" t="s">
        <v>13592</v>
      </c>
      <c r="W706" t="s">
        <v>13593</v>
      </c>
      <c r="X706" t="s">
        <v>13594</v>
      </c>
      <c r="Y706" t="s">
        <v>13595</v>
      </c>
      <c r="Z706" t="s">
        <v>13596</v>
      </c>
      <c r="AA706" t="s">
        <v>13597</v>
      </c>
      <c r="AB706" t="s">
        <v>13598</v>
      </c>
      <c r="AC706" t="s">
        <v>13599</v>
      </c>
      <c r="AD706" t="s">
        <v>13600</v>
      </c>
      <c r="AE706" t="s">
        <v>74</v>
      </c>
      <c r="AF706" t="s">
        <v>74</v>
      </c>
      <c r="AG706">
        <v>32</v>
      </c>
      <c r="AH706">
        <v>41</v>
      </c>
      <c r="AI706">
        <v>43</v>
      </c>
      <c r="AJ706">
        <v>4</v>
      </c>
      <c r="AK706">
        <v>59</v>
      </c>
      <c r="AL706" t="s">
        <v>8888</v>
      </c>
      <c r="AM706" t="s">
        <v>8889</v>
      </c>
      <c r="AN706" t="s">
        <v>8890</v>
      </c>
      <c r="AO706" t="s">
        <v>8891</v>
      </c>
      <c r="AP706" t="s">
        <v>74</v>
      </c>
      <c r="AQ706" t="s">
        <v>74</v>
      </c>
      <c r="AR706" t="s">
        <v>8892</v>
      </c>
      <c r="AS706" t="s">
        <v>8893</v>
      </c>
      <c r="AT706" t="s">
        <v>13542</v>
      </c>
      <c r="AU706">
        <v>2016</v>
      </c>
      <c r="AV706">
        <v>7</v>
      </c>
      <c r="AW706" t="s">
        <v>74</v>
      </c>
      <c r="AX706" t="s">
        <v>74</v>
      </c>
      <c r="AY706" t="s">
        <v>74</v>
      </c>
      <c r="AZ706" t="s">
        <v>74</v>
      </c>
      <c r="BA706" t="s">
        <v>74</v>
      </c>
      <c r="BB706" t="s">
        <v>74</v>
      </c>
      <c r="BC706" t="s">
        <v>74</v>
      </c>
      <c r="BD706">
        <v>16</v>
      </c>
      <c r="BE706" t="s">
        <v>13601</v>
      </c>
      <c r="BF706" t="str">
        <f>HYPERLINK("http://dx.doi.org/10.3389/fmicb.2016.00016","http://dx.doi.org/10.3389/fmicb.2016.00016")</f>
        <v>http://dx.doi.org/10.3389/fmicb.2016.00016</v>
      </c>
      <c r="BG706" t="s">
        <v>74</v>
      </c>
      <c r="BH706" t="s">
        <v>74</v>
      </c>
      <c r="BI706">
        <v>7</v>
      </c>
      <c r="BJ706" t="s">
        <v>2538</v>
      </c>
      <c r="BK706" t="s">
        <v>102</v>
      </c>
      <c r="BL706" t="s">
        <v>2538</v>
      </c>
      <c r="BM706" t="s">
        <v>13602</v>
      </c>
      <c r="BN706">
        <v>26909068</v>
      </c>
      <c r="BO706" t="s">
        <v>1345</v>
      </c>
      <c r="BP706" t="s">
        <v>74</v>
      </c>
      <c r="BQ706" t="s">
        <v>74</v>
      </c>
      <c r="BR706" t="s">
        <v>106</v>
      </c>
      <c r="BS706" t="s">
        <v>13603</v>
      </c>
      <c r="BT706" t="str">
        <f>HYPERLINK("https%3A%2F%2Fwww.webofscience.com%2Fwos%2Fwoscc%2Ffull-record%2FWOS:000370118900001","View Full Record in Web of Science")</f>
        <v>View Full Record in Web of Science</v>
      </c>
    </row>
    <row r="707" spans="1:72" x14ac:dyDescent="0.15">
      <c r="A707" t="s">
        <v>72</v>
      </c>
      <c r="B707" t="s">
        <v>13604</v>
      </c>
      <c r="C707" t="s">
        <v>74</v>
      </c>
      <c r="D707" t="s">
        <v>74</v>
      </c>
      <c r="E707" t="s">
        <v>74</v>
      </c>
      <c r="F707" t="s">
        <v>13605</v>
      </c>
      <c r="G707" t="s">
        <v>74</v>
      </c>
      <c r="H707" t="s">
        <v>74</v>
      </c>
      <c r="I707" t="s">
        <v>13606</v>
      </c>
      <c r="J707" t="s">
        <v>1288</v>
      </c>
      <c r="K707" t="s">
        <v>74</v>
      </c>
      <c r="L707" t="s">
        <v>74</v>
      </c>
      <c r="M707" t="s">
        <v>78</v>
      </c>
      <c r="N707" t="s">
        <v>79</v>
      </c>
      <c r="O707" t="s">
        <v>74</v>
      </c>
      <c r="P707" t="s">
        <v>74</v>
      </c>
      <c r="Q707" t="s">
        <v>74</v>
      </c>
      <c r="R707" t="s">
        <v>74</v>
      </c>
      <c r="S707" t="s">
        <v>74</v>
      </c>
      <c r="T707" t="s">
        <v>13607</v>
      </c>
      <c r="U707" t="s">
        <v>13608</v>
      </c>
      <c r="V707" t="s">
        <v>13609</v>
      </c>
      <c r="W707" t="s">
        <v>13610</v>
      </c>
      <c r="X707" t="s">
        <v>13611</v>
      </c>
      <c r="Y707" t="s">
        <v>13612</v>
      </c>
      <c r="Z707" t="s">
        <v>4354</v>
      </c>
      <c r="AA707" t="s">
        <v>13613</v>
      </c>
      <c r="AB707" t="s">
        <v>13614</v>
      </c>
      <c r="AC707" t="s">
        <v>13615</v>
      </c>
      <c r="AD707" t="s">
        <v>13616</v>
      </c>
      <c r="AE707" t="s">
        <v>13617</v>
      </c>
      <c r="AF707" t="s">
        <v>74</v>
      </c>
      <c r="AG707">
        <v>40</v>
      </c>
      <c r="AH707">
        <v>16</v>
      </c>
      <c r="AI707">
        <v>16</v>
      </c>
      <c r="AJ707">
        <v>1</v>
      </c>
      <c r="AK707">
        <v>16</v>
      </c>
      <c r="AL707" t="s">
        <v>92</v>
      </c>
      <c r="AM707" t="s">
        <v>93</v>
      </c>
      <c r="AN707" t="s">
        <v>94</v>
      </c>
      <c r="AO707" t="s">
        <v>1296</v>
      </c>
      <c r="AP707" t="s">
        <v>1297</v>
      </c>
      <c r="AQ707" t="s">
        <v>74</v>
      </c>
      <c r="AR707" t="s">
        <v>1298</v>
      </c>
      <c r="AS707" t="s">
        <v>1299</v>
      </c>
      <c r="AT707" t="s">
        <v>13542</v>
      </c>
      <c r="AU707">
        <v>2016</v>
      </c>
      <c r="AV707">
        <v>43</v>
      </c>
      <c r="AW707">
        <v>3</v>
      </c>
      <c r="AX707" t="s">
        <v>74</v>
      </c>
      <c r="AY707" t="s">
        <v>74</v>
      </c>
      <c r="AZ707" t="s">
        <v>74</v>
      </c>
      <c r="BA707" t="s">
        <v>74</v>
      </c>
      <c r="BB707">
        <v>1373</v>
      </c>
      <c r="BC707">
        <v>1381</v>
      </c>
      <c r="BD707" t="s">
        <v>74</v>
      </c>
      <c r="BE707" t="s">
        <v>13618</v>
      </c>
      <c r="BF707" t="str">
        <f>HYPERLINK("http://dx.doi.org/10.1002/2015GL067241","http://dx.doi.org/10.1002/2015GL067241")</f>
        <v>http://dx.doi.org/10.1002/2015GL067241</v>
      </c>
      <c r="BG707" t="s">
        <v>74</v>
      </c>
      <c r="BH707" t="s">
        <v>74</v>
      </c>
      <c r="BI707">
        <v>9</v>
      </c>
      <c r="BJ707" t="s">
        <v>269</v>
      </c>
      <c r="BK707" t="s">
        <v>102</v>
      </c>
      <c r="BL707" t="s">
        <v>270</v>
      </c>
      <c r="BM707" t="s">
        <v>13619</v>
      </c>
      <c r="BN707" t="s">
        <v>74</v>
      </c>
      <c r="BO707" t="s">
        <v>293</v>
      </c>
      <c r="BP707" t="s">
        <v>74</v>
      </c>
      <c r="BQ707" t="s">
        <v>74</v>
      </c>
      <c r="BR707" t="s">
        <v>106</v>
      </c>
      <c r="BS707" t="s">
        <v>13620</v>
      </c>
      <c r="BT707" t="str">
        <f>HYPERLINK("https%3A%2F%2Fwww.webofscience.com%2Fwos%2Fwoscc%2Ffull-record%2FWOS:000372056600053","View Full Record in Web of Science")</f>
        <v>View Full Record in Web of Science</v>
      </c>
    </row>
    <row r="708" spans="1:72" x14ac:dyDescent="0.15">
      <c r="A708" t="s">
        <v>72</v>
      </c>
      <c r="B708" t="s">
        <v>13621</v>
      </c>
      <c r="C708" t="s">
        <v>74</v>
      </c>
      <c r="D708" t="s">
        <v>74</v>
      </c>
      <c r="E708" t="s">
        <v>74</v>
      </c>
      <c r="F708" t="s">
        <v>13622</v>
      </c>
      <c r="G708" t="s">
        <v>74</v>
      </c>
      <c r="H708" t="s">
        <v>74</v>
      </c>
      <c r="I708" t="s">
        <v>13623</v>
      </c>
      <c r="J708" t="s">
        <v>1888</v>
      </c>
      <c r="K708" t="s">
        <v>74</v>
      </c>
      <c r="L708" t="s">
        <v>74</v>
      </c>
      <c r="M708" t="s">
        <v>78</v>
      </c>
      <c r="N708" t="s">
        <v>79</v>
      </c>
      <c r="O708" t="s">
        <v>74</v>
      </c>
      <c r="P708" t="s">
        <v>74</v>
      </c>
      <c r="Q708" t="s">
        <v>74</v>
      </c>
      <c r="R708" t="s">
        <v>74</v>
      </c>
      <c r="S708" t="s">
        <v>74</v>
      </c>
      <c r="T708" t="s">
        <v>13624</v>
      </c>
      <c r="U708" t="s">
        <v>13625</v>
      </c>
      <c r="V708" t="s">
        <v>13626</v>
      </c>
      <c r="W708" t="s">
        <v>13627</v>
      </c>
      <c r="X708" t="s">
        <v>13628</v>
      </c>
      <c r="Y708" t="s">
        <v>13629</v>
      </c>
      <c r="Z708" t="s">
        <v>13630</v>
      </c>
      <c r="AA708" t="s">
        <v>13631</v>
      </c>
      <c r="AB708" t="s">
        <v>13632</v>
      </c>
      <c r="AC708" t="s">
        <v>13633</v>
      </c>
      <c r="AD708" t="s">
        <v>13634</v>
      </c>
      <c r="AE708" t="s">
        <v>13635</v>
      </c>
      <c r="AF708" t="s">
        <v>74</v>
      </c>
      <c r="AG708">
        <v>46</v>
      </c>
      <c r="AH708">
        <v>7</v>
      </c>
      <c r="AI708">
        <v>9</v>
      </c>
      <c r="AJ708">
        <v>0</v>
      </c>
      <c r="AK708">
        <v>30</v>
      </c>
      <c r="AL708" t="s">
        <v>1829</v>
      </c>
      <c r="AM708" t="s">
        <v>679</v>
      </c>
      <c r="AN708" t="s">
        <v>1830</v>
      </c>
      <c r="AO708" t="s">
        <v>1900</v>
      </c>
      <c r="AP708" t="s">
        <v>74</v>
      </c>
      <c r="AQ708" t="s">
        <v>74</v>
      </c>
      <c r="AR708" t="s">
        <v>1901</v>
      </c>
      <c r="AS708" t="s">
        <v>1902</v>
      </c>
      <c r="AT708" t="s">
        <v>13636</v>
      </c>
      <c r="AU708">
        <v>2016</v>
      </c>
      <c r="AV708">
        <v>134</v>
      </c>
      <c r="AW708" t="s">
        <v>74</v>
      </c>
      <c r="AX708" t="s">
        <v>74</v>
      </c>
      <c r="AY708" t="s">
        <v>74</v>
      </c>
      <c r="AZ708" t="s">
        <v>74</v>
      </c>
      <c r="BA708" t="s">
        <v>74</v>
      </c>
      <c r="BB708">
        <v>51</v>
      </c>
      <c r="BC708">
        <v>58</v>
      </c>
      <c r="BD708" t="s">
        <v>74</v>
      </c>
      <c r="BE708" t="s">
        <v>13637</v>
      </c>
      <c r="BF708" t="str">
        <f>HYPERLINK("http://dx.doi.org/10.1016/j.quascirev.2015.12.018","http://dx.doi.org/10.1016/j.quascirev.2015.12.018")</f>
        <v>http://dx.doi.org/10.1016/j.quascirev.2015.12.018</v>
      </c>
      <c r="BG708" t="s">
        <v>74</v>
      </c>
      <c r="BH708" t="s">
        <v>74</v>
      </c>
      <c r="BI708">
        <v>8</v>
      </c>
      <c r="BJ708" t="s">
        <v>1904</v>
      </c>
      <c r="BK708" t="s">
        <v>102</v>
      </c>
      <c r="BL708" t="s">
        <v>1905</v>
      </c>
      <c r="BM708" t="s">
        <v>13638</v>
      </c>
      <c r="BN708" t="s">
        <v>74</v>
      </c>
      <c r="BO708" t="s">
        <v>74</v>
      </c>
      <c r="BP708" t="s">
        <v>74</v>
      </c>
      <c r="BQ708" t="s">
        <v>74</v>
      </c>
      <c r="BR708" t="s">
        <v>106</v>
      </c>
      <c r="BS708" t="s">
        <v>13639</v>
      </c>
      <c r="BT708" t="str">
        <f>HYPERLINK("https%3A%2F%2Fwww.webofscience.com%2Fwos%2Fwoscc%2Ffull-record%2FWOS:000371654900004","View Full Record in Web of Science")</f>
        <v>View Full Record in Web of Science</v>
      </c>
    </row>
    <row r="709" spans="1:72" x14ac:dyDescent="0.15">
      <c r="A709" t="s">
        <v>72</v>
      </c>
      <c r="B709" t="s">
        <v>13640</v>
      </c>
      <c r="C709" t="s">
        <v>74</v>
      </c>
      <c r="D709" t="s">
        <v>74</v>
      </c>
      <c r="E709" t="s">
        <v>74</v>
      </c>
      <c r="F709" t="s">
        <v>13641</v>
      </c>
      <c r="G709" t="s">
        <v>74</v>
      </c>
      <c r="H709" t="s">
        <v>74</v>
      </c>
      <c r="I709" t="s">
        <v>13642</v>
      </c>
      <c r="J709" t="s">
        <v>5624</v>
      </c>
      <c r="K709" t="s">
        <v>74</v>
      </c>
      <c r="L709" t="s">
        <v>74</v>
      </c>
      <c r="M709" t="s">
        <v>78</v>
      </c>
      <c r="N709" t="s">
        <v>79</v>
      </c>
      <c r="O709" t="s">
        <v>74</v>
      </c>
      <c r="P709" t="s">
        <v>74</v>
      </c>
      <c r="Q709" t="s">
        <v>74</v>
      </c>
      <c r="R709" t="s">
        <v>74</v>
      </c>
      <c r="S709" t="s">
        <v>74</v>
      </c>
      <c r="T709" t="s">
        <v>13643</v>
      </c>
      <c r="U709" t="s">
        <v>13644</v>
      </c>
      <c r="V709" t="s">
        <v>13645</v>
      </c>
      <c r="W709" t="s">
        <v>13646</v>
      </c>
      <c r="X709" t="s">
        <v>13647</v>
      </c>
      <c r="Y709" t="s">
        <v>13648</v>
      </c>
      <c r="Z709" t="s">
        <v>13649</v>
      </c>
      <c r="AA709" t="s">
        <v>74</v>
      </c>
      <c r="AB709" t="s">
        <v>13650</v>
      </c>
      <c r="AC709" t="s">
        <v>13651</v>
      </c>
      <c r="AD709" t="s">
        <v>13652</v>
      </c>
      <c r="AE709" t="s">
        <v>13653</v>
      </c>
      <c r="AF709" t="s">
        <v>74</v>
      </c>
      <c r="AG709">
        <v>49</v>
      </c>
      <c r="AH709">
        <v>23</v>
      </c>
      <c r="AI709">
        <v>28</v>
      </c>
      <c r="AJ709">
        <v>2</v>
      </c>
      <c r="AK709">
        <v>20</v>
      </c>
      <c r="AL709" t="s">
        <v>626</v>
      </c>
      <c r="AM709" t="s">
        <v>583</v>
      </c>
      <c r="AN709" t="s">
        <v>627</v>
      </c>
      <c r="AO709" t="s">
        <v>5637</v>
      </c>
      <c r="AP709" t="s">
        <v>5638</v>
      </c>
      <c r="AQ709" t="s">
        <v>74</v>
      </c>
      <c r="AR709" t="s">
        <v>5639</v>
      </c>
      <c r="AS709" t="s">
        <v>5640</v>
      </c>
      <c r="AT709" t="s">
        <v>13636</v>
      </c>
      <c r="AU709">
        <v>2016</v>
      </c>
      <c r="AV709">
        <v>436</v>
      </c>
      <c r="AW709" t="s">
        <v>74</v>
      </c>
      <c r="AX709" t="s">
        <v>74</v>
      </c>
      <c r="AY709" t="s">
        <v>74</v>
      </c>
      <c r="AZ709" t="s">
        <v>74</v>
      </c>
      <c r="BA709" t="s">
        <v>74</v>
      </c>
      <c r="BB709">
        <v>56</v>
      </c>
      <c r="BC709">
        <v>63</v>
      </c>
      <c r="BD709" t="s">
        <v>74</v>
      </c>
      <c r="BE709" t="s">
        <v>13654</v>
      </c>
      <c r="BF709" t="str">
        <f>HYPERLINK("http://dx.doi.org/10.1016/j.epsl.2015.12.021","http://dx.doi.org/10.1016/j.epsl.2015.12.021")</f>
        <v>http://dx.doi.org/10.1016/j.epsl.2015.12.021</v>
      </c>
      <c r="BG709" t="s">
        <v>74</v>
      </c>
      <c r="BH709" t="s">
        <v>74</v>
      </c>
      <c r="BI709">
        <v>8</v>
      </c>
      <c r="BJ709" t="s">
        <v>727</v>
      </c>
      <c r="BK709" t="s">
        <v>102</v>
      </c>
      <c r="BL709" t="s">
        <v>727</v>
      </c>
      <c r="BM709" t="s">
        <v>13655</v>
      </c>
      <c r="BN709" t="s">
        <v>74</v>
      </c>
      <c r="BO709" t="s">
        <v>3908</v>
      </c>
      <c r="BP709" t="s">
        <v>74</v>
      </c>
      <c r="BQ709" t="s">
        <v>74</v>
      </c>
      <c r="BR709" t="s">
        <v>106</v>
      </c>
      <c r="BS709" t="s">
        <v>13656</v>
      </c>
      <c r="BT709" t="str">
        <f>HYPERLINK("https%3A%2F%2Fwww.webofscience.com%2Fwos%2Fwoscc%2Ffull-record%2FWOS:000369680800006","View Full Record in Web of Science")</f>
        <v>View Full Record in Web of Science</v>
      </c>
    </row>
    <row r="710" spans="1:72" x14ac:dyDescent="0.15">
      <c r="A710" t="s">
        <v>72</v>
      </c>
      <c r="B710" t="s">
        <v>13657</v>
      </c>
      <c r="C710" t="s">
        <v>74</v>
      </c>
      <c r="D710" t="s">
        <v>74</v>
      </c>
      <c r="E710" t="s">
        <v>74</v>
      </c>
      <c r="F710" t="s">
        <v>13658</v>
      </c>
      <c r="G710" t="s">
        <v>74</v>
      </c>
      <c r="H710" t="s">
        <v>74</v>
      </c>
      <c r="I710" t="s">
        <v>13659</v>
      </c>
      <c r="J710" t="s">
        <v>13660</v>
      </c>
      <c r="K710" t="s">
        <v>74</v>
      </c>
      <c r="L710" t="s">
        <v>74</v>
      </c>
      <c r="M710" t="s">
        <v>78</v>
      </c>
      <c r="N710" t="s">
        <v>79</v>
      </c>
      <c r="O710" t="s">
        <v>74</v>
      </c>
      <c r="P710" t="s">
        <v>74</v>
      </c>
      <c r="Q710" t="s">
        <v>74</v>
      </c>
      <c r="R710" t="s">
        <v>74</v>
      </c>
      <c r="S710" t="s">
        <v>74</v>
      </c>
      <c r="T710" t="s">
        <v>13661</v>
      </c>
      <c r="U710" t="s">
        <v>13662</v>
      </c>
      <c r="V710" t="s">
        <v>13663</v>
      </c>
      <c r="W710" t="s">
        <v>13664</v>
      </c>
      <c r="X710" t="s">
        <v>13665</v>
      </c>
      <c r="Y710" t="s">
        <v>13666</v>
      </c>
      <c r="Z710" t="s">
        <v>13667</v>
      </c>
      <c r="AA710" t="s">
        <v>13668</v>
      </c>
      <c r="AB710" t="s">
        <v>13669</v>
      </c>
      <c r="AC710" t="s">
        <v>13670</v>
      </c>
      <c r="AD710" t="s">
        <v>13671</v>
      </c>
      <c r="AE710" t="s">
        <v>13672</v>
      </c>
      <c r="AF710" t="s">
        <v>74</v>
      </c>
      <c r="AG710">
        <v>54</v>
      </c>
      <c r="AH710">
        <v>12</v>
      </c>
      <c r="AI710">
        <v>13</v>
      </c>
      <c r="AJ710">
        <v>0</v>
      </c>
      <c r="AK710">
        <v>26</v>
      </c>
      <c r="AL710" t="s">
        <v>1829</v>
      </c>
      <c r="AM710" t="s">
        <v>679</v>
      </c>
      <c r="AN710" t="s">
        <v>1830</v>
      </c>
      <c r="AO710" t="s">
        <v>13673</v>
      </c>
      <c r="AP710" t="s">
        <v>13674</v>
      </c>
      <c r="AQ710" t="s">
        <v>74</v>
      </c>
      <c r="AR710" t="s">
        <v>13675</v>
      </c>
      <c r="AS710" t="s">
        <v>13676</v>
      </c>
      <c r="AT710" t="s">
        <v>13636</v>
      </c>
      <c r="AU710">
        <v>2016</v>
      </c>
      <c r="AV710">
        <v>26</v>
      </c>
      <c r="AW710">
        <v>4</v>
      </c>
      <c r="AX710" t="s">
        <v>74</v>
      </c>
      <c r="AY710" t="s">
        <v>74</v>
      </c>
      <c r="AZ710" t="s">
        <v>74</v>
      </c>
      <c r="BA710" t="s">
        <v>74</v>
      </c>
      <c r="BB710">
        <v>1253</v>
      </c>
      <c r="BC710">
        <v>1259</v>
      </c>
      <c r="BD710" t="s">
        <v>74</v>
      </c>
      <c r="BE710" t="s">
        <v>13677</v>
      </c>
      <c r="BF710" t="str">
        <f>HYPERLINK("http://dx.doi.org/10.1016/j.bmcl.2016.01.023","http://dx.doi.org/10.1016/j.bmcl.2016.01.023")</f>
        <v>http://dx.doi.org/10.1016/j.bmcl.2016.01.023</v>
      </c>
      <c r="BG710" t="s">
        <v>74</v>
      </c>
      <c r="BH710" t="s">
        <v>74</v>
      </c>
      <c r="BI710">
        <v>7</v>
      </c>
      <c r="BJ710" t="s">
        <v>13678</v>
      </c>
      <c r="BK710" t="s">
        <v>102</v>
      </c>
      <c r="BL710" t="s">
        <v>13679</v>
      </c>
      <c r="BM710" t="s">
        <v>13680</v>
      </c>
      <c r="BN710">
        <v>26832216</v>
      </c>
      <c r="BO710" t="s">
        <v>74</v>
      </c>
      <c r="BP710" t="s">
        <v>74</v>
      </c>
      <c r="BQ710" t="s">
        <v>74</v>
      </c>
      <c r="BR710" t="s">
        <v>106</v>
      </c>
      <c r="BS710" t="s">
        <v>13681</v>
      </c>
      <c r="BT710" t="str">
        <f>HYPERLINK("https%3A%2F%2Fwww.webofscience.com%2Fwos%2Fwoscc%2Ffull-record%2FWOS:000369377700031","View Full Record in Web of Science")</f>
        <v>View Full Record in Web of Science</v>
      </c>
    </row>
    <row r="711" spans="1:72" x14ac:dyDescent="0.15">
      <c r="A711" t="s">
        <v>72</v>
      </c>
      <c r="B711" t="s">
        <v>13682</v>
      </c>
      <c r="C711" t="s">
        <v>74</v>
      </c>
      <c r="D711" t="s">
        <v>74</v>
      </c>
      <c r="E711" t="s">
        <v>74</v>
      </c>
      <c r="F711" t="s">
        <v>13683</v>
      </c>
      <c r="G711" t="s">
        <v>74</v>
      </c>
      <c r="H711" t="s">
        <v>74</v>
      </c>
      <c r="I711" t="s">
        <v>13684</v>
      </c>
      <c r="J711" t="s">
        <v>5097</v>
      </c>
      <c r="K711" t="s">
        <v>74</v>
      </c>
      <c r="L711" t="s">
        <v>74</v>
      </c>
      <c r="M711" t="s">
        <v>78</v>
      </c>
      <c r="N711" t="s">
        <v>79</v>
      </c>
      <c r="O711" t="s">
        <v>74</v>
      </c>
      <c r="P711" t="s">
        <v>74</v>
      </c>
      <c r="Q711" t="s">
        <v>74</v>
      </c>
      <c r="R711" t="s">
        <v>74</v>
      </c>
      <c r="S711" t="s">
        <v>74</v>
      </c>
      <c r="T711" t="s">
        <v>74</v>
      </c>
      <c r="U711" t="s">
        <v>13685</v>
      </c>
      <c r="V711" t="s">
        <v>13686</v>
      </c>
      <c r="W711" t="s">
        <v>13687</v>
      </c>
      <c r="X711" t="s">
        <v>13688</v>
      </c>
      <c r="Y711" t="s">
        <v>13689</v>
      </c>
      <c r="Z711" t="s">
        <v>13690</v>
      </c>
      <c r="AA711" t="s">
        <v>74</v>
      </c>
      <c r="AB711" t="s">
        <v>13691</v>
      </c>
      <c r="AC711" t="s">
        <v>13692</v>
      </c>
      <c r="AD711" t="s">
        <v>13693</v>
      </c>
      <c r="AE711" t="s">
        <v>13694</v>
      </c>
      <c r="AF711" t="s">
        <v>74</v>
      </c>
      <c r="AG711">
        <v>79</v>
      </c>
      <c r="AH711">
        <v>27</v>
      </c>
      <c r="AI711">
        <v>28</v>
      </c>
      <c r="AJ711">
        <v>1</v>
      </c>
      <c r="AK711">
        <v>36</v>
      </c>
      <c r="AL711" t="s">
        <v>1829</v>
      </c>
      <c r="AM711" t="s">
        <v>679</v>
      </c>
      <c r="AN711" t="s">
        <v>1830</v>
      </c>
      <c r="AO711" t="s">
        <v>5107</v>
      </c>
      <c r="AP711" t="s">
        <v>5108</v>
      </c>
      <c r="AQ711" t="s">
        <v>74</v>
      </c>
      <c r="AR711" t="s">
        <v>5109</v>
      </c>
      <c r="AS711" t="s">
        <v>5110</v>
      </c>
      <c r="AT711" t="s">
        <v>13636</v>
      </c>
      <c r="AU711">
        <v>2016</v>
      </c>
      <c r="AV711">
        <v>175</v>
      </c>
      <c r="AW711" t="s">
        <v>74</v>
      </c>
      <c r="AX711" t="s">
        <v>74</v>
      </c>
      <c r="AY711" t="s">
        <v>74</v>
      </c>
      <c r="AZ711" t="s">
        <v>74</v>
      </c>
      <c r="BA711" t="s">
        <v>74</v>
      </c>
      <c r="BB711">
        <v>195</v>
      </c>
      <c r="BC711">
        <v>207</v>
      </c>
      <c r="BD711" t="s">
        <v>74</v>
      </c>
      <c r="BE711" t="s">
        <v>13695</v>
      </c>
      <c r="BF711" t="str">
        <f>HYPERLINK("http://dx.doi.org/10.1016/j.gca.2015.10.034","http://dx.doi.org/10.1016/j.gca.2015.10.034")</f>
        <v>http://dx.doi.org/10.1016/j.gca.2015.10.034</v>
      </c>
      <c r="BG711" t="s">
        <v>74</v>
      </c>
      <c r="BH711" t="s">
        <v>74</v>
      </c>
      <c r="BI711">
        <v>13</v>
      </c>
      <c r="BJ711" t="s">
        <v>727</v>
      </c>
      <c r="BK711" t="s">
        <v>102</v>
      </c>
      <c r="BL711" t="s">
        <v>727</v>
      </c>
      <c r="BM711" t="s">
        <v>13696</v>
      </c>
      <c r="BN711" t="s">
        <v>74</v>
      </c>
      <c r="BO711" t="s">
        <v>222</v>
      </c>
      <c r="BP711" t="s">
        <v>74</v>
      </c>
      <c r="BQ711" t="s">
        <v>74</v>
      </c>
      <c r="BR711" t="s">
        <v>106</v>
      </c>
      <c r="BS711" t="s">
        <v>13697</v>
      </c>
      <c r="BT711" t="str">
        <f>HYPERLINK("https%3A%2F%2Fwww.webofscience.com%2Fwos%2Fwoscc%2Ffull-record%2FWOS:000369070000013","View Full Record in Web of Science")</f>
        <v>View Full Record in Web of Science</v>
      </c>
    </row>
    <row r="712" spans="1:72" x14ac:dyDescent="0.15">
      <c r="A712" t="s">
        <v>72</v>
      </c>
      <c r="B712" t="s">
        <v>13698</v>
      </c>
      <c r="C712" t="s">
        <v>74</v>
      </c>
      <c r="D712" t="s">
        <v>74</v>
      </c>
      <c r="E712" t="s">
        <v>74</v>
      </c>
      <c r="F712" t="s">
        <v>13699</v>
      </c>
      <c r="G712" t="s">
        <v>74</v>
      </c>
      <c r="H712" t="s">
        <v>74</v>
      </c>
      <c r="I712" t="s">
        <v>13700</v>
      </c>
      <c r="J712" t="s">
        <v>13701</v>
      </c>
      <c r="K712" t="s">
        <v>74</v>
      </c>
      <c r="L712" t="s">
        <v>74</v>
      </c>
      <c r="M712" t="s">
        <v>78</v>
      </c>
      <c r="N712" t="s">
        <v>79</v>
      </c>
      <c r="O712" t="s">
        <v>74</v>
      </c>
      <c r="P712" t="s">
        <v>74</v>
      </c>
      <c r="Q712" t="s">
        <v>74</v>
      </c>
      <c r="R712" t="s">
        <v>74</v>
      </c>
      <c r="S712" t="s">
        <v>74</v>
      </c>
      <c r="T712" t="s">
        <v>13702</v>
      </c>
      <c r="U712" t="s">
        <v>13703</v>
      </c>
      <c r="V712" t="s">
        <v>13704</v>
      </c>
      <c r="W712" t="s">
        <v>13705</v>
      </c>
      <c r="X712" t="s">
        <v>13706</v>
      </c>
      <c r="Y712" t="s">
        <v>13707</v>
      </c>
      <c r="Z712" t="s">
        <v>13708</v>
      </c>
      <c r="AA712" t="s">
        <v>13709</v>
      </c>
      <c r="AB712" t="s">
        <v>13710</v>
      </c>
      <c r="AC712" t="s">
        <v>13711</v>
      </c>
      <c r="AD712" t="s">
        <v>13712</v>
      </c>
      <c r="AE712" t="s">
        <v>13713</v>
      </c>
      <c r="AF712" t="s">
        <v>74</v>
      </c>
      <c r="AG712">
        <v>74</v>
      </c>
      <c r="AH712">
        <v>40</v>
      </c>
      <c r="AI712">
        <v>41</v>
      </c>
      <c r="AJ712">
        <v>0</v>
      </c>
      <c r="AK712">
        <v>9</v>
      </c>
      <c r="AL712" t="s">
        <v>1829</v>
      </c>
      <c r="AM712" t="s">
        <v>679</v>
      </c>
      <c r="AN712" t="s">
        <v>1830</v>
      </c>
      <c r="AO712" t="s">
        <v>13714</v>
      </c>
      <c r="AP712" t="s">
        <v>13715</v>
      </c>
      <c r="AQ712" t="s">
        <v>74</v>
      </c>
      <c r="AR712" t="s">
        <v>13716</v>
      </c>
      <c r="AS712" t="s">
        <v>13717</v>
      </c>
      <c r="AT712" t="s">
        <v>13636</v>
      </c>
      <c r="AU712">
        <v>2016</v>
      </c>
      <c r="AV712">
        <v>24</v>
      </c>
      <c r="AW712">
        <v>4</v>
      </c>
      <c r="AX712" t="s">
        <v>74</v>
      </c>
      <c r="AY712" t="s">
        <v>74</v>
      </c>
      <c r="AZ712" t="s">
        <v>74</v>
      </c>
      <c r="BA712" t="s">
        <v>74</v>
      </c>
      <c r="BB712">
        <v>835</v>
      </c>
      <c r="BC712">
        <v>840</v>
      </c>
      <c r="BD712" t="s">
        <v>74</v>
      </c>
      <c r="BE712" t="s">
        <v>13718</v>
      </c>
      <c r="BF712" t="str">
        <f>HYPERLINK("http://dx.doi.org/10.1016/j.bmc.2016.01.005","http://dx.doi.org/10.1016/j.bmc.2016.01.005")</f>
        <v>http://dx.doi.org/10.1016/j.bmc.2016.01.005</v>
      </c>
      <c r="BG712" t="s">
        <v>74</v>
      </c>
      <c r="BH712" t="s">
        <v>74</v>
      </c>
      <c r="BI712">
        <v>6</v>
      </c>
      <c r="BJ712" t="s">
        <v>13719</v>
      </c>
      <c r="BK712" t="s">
        <v>102</v>
      </c>
      <c r="BL712" t="s">
        <v>13720</v>
      </c>
      <c r="BM712" t="s">
        <v>13721</v>
      </c>
      <c r="BN712">
        <v>26778292</v>
      </c>
      <c r="BO712" t="s">
        <v>74</v>
      </c>
      <c r="BP712" t="s">
        <v>74</v>
      </c>
      <c r="BQ712" t="s">
        <v>74</v>
      </c>
      <c r="BR712" t="s">
        <v>106</v>
      </c>
      <c r="BS712" t="s">
        <v>13722</v>
      </c>
      <c r="BT712" t="str">
        <f>HYPERLINK("https%3A%2F%2Fwww.webofscience.com%2Fwos%2Fwoscc%2Ffull-record%2FWOS:000368898500034","View Full Record in Web of Science")</f>
        <v>View Full Record in Web of Science</v>
      </c>
    </row>
    <row r="713" spans="1:72" x14ac:dyDescent="0.15">
      <c r="A713" t="s">
        <v>72</v>
      </c>
      <c r="B713" t="s">
        <v>13723</v>
      </c>
      <c r="C713" t="s">
        <v>74</v>
      </c>
      <c r="D713" t="s">
        <v>74</v>
      </c>
      <c r="E713" t="s">
        <v>74</v>
      </c>
      <c r="F713" t="s">
        <v>13724</v>
      </c>
      <c r="G713" t="s">
        <v>74</v>
      </c>
      <c r="H713" t="s">
        <v>74</v>
      </c>
      <c r="I713" t="s">
        <v>13725</v>
      </c>
      <c r="J713" t="s">
        <v>1817</v>
      </c>
      <c r="K713" t="s">
        <v>74</v>
      </c>
      <c r="L713" t="s">
        <v>74</v>
      </c>
      <c r="M713" t="s">
        <v>78</v>
      </c>
      <c r="N713" t="s">
        <v>79</v>
      </c>
      <c r="O713" t="s">
        <v>74</v>
      </c>
      <c r="P713" t="s">
        <v>74</v>
      </c>
      <c r="Q713" t="s">
        <v>74</v>
      </c>
      <c r="R713" t="s">
        <v>74</v>
      </c>
      <c r="S713" t="s">
        <v>74</v>
      </c>
      <c r="T713" t="s">
        <v>13726</v>
      </c>
      <c r="U713" t="s">
        <v>13727</v>
      </c>
      <c r="V713" t="s">
        <v>13728</v>
      </c>
      <c r="W713" t="s">
        <v>13729</v>
      </c>
      <c r="X713" t="s">
        <v>13730</v>
      </c>
      <c r="Y713" t="s">
        <v>13731</v>
      </c>
      <c r="Z713" t="s">
        <v>12056</v>
      </c>
      <c r="AA713" t="s">
        <v>13732</v>
      </c>
      <c r="AB713" t="s">
        <v>13733</v>
      </c>
      <c r="AC713" t="s">
        <v>13734</v>
      </c>
      <c r="AD713" t="s">
        <v>13735</v>
      </c>
      <c r="AE713" t="s">
        <v>13736</v>
      </c>
      <c r="AF713" t="s">
        <v>74</v>
      </c>
      <c r="AG713">
        <v>97</v>
      </c>
      <c r="AH713">
        <v>18</v>
      </c>
      <c r="AI713">
        <v>18</v>
      </c>
      <c r="AJ713">
        <v>1</v>
      </c>
      <c r="AK713">
        <v>40</v>
      </c>
      <c r="AL713" t="s">
        <v>1829</v>
      </c>
      <c r="AM713" t="s">
        <v>679</v>
      </c>
      <c r="AN713" t="s">
        <v>1830</v>
      </c>
      <c r="AO713" t="s">
        <v>1831</v>
      </c>
      <c r="AP713" t="s">
        <v>1832</v>
      </c>
      <c r="AQ713" t="s">
        <v>74</v>
      </c>
      <c r="AR713" t="s">
        <v>1833</v>
      </c>
      <c r="AS713" t="s">
        <v>1834</v>
      </c>
      <c r="AT713" t="s">
        <v>13636</v>
      </c>
      <c r="AU713">
        <v>2016</v>
      </c>
      <c r="AV713">
        <v>103</v>
      </c>
      <c r="AW713" t="s">
        <v>1836</v>
      </c>
      <c r="AX713" t="s">
        <v>74</v>
      </c>
      <c r="AY713" t="s">
        <v>74</v>
      </c>
      <c r="AZ713" t="s">
        <v>74</v>
      </c>
      <c r="BA713" t="s">
        <v>74</v>
      </c>
      <c r="BB713">
        <v>220</v>
      </c>
      <c r="BC713">
        <v>226</v>
      </c>
      <c r="BD713" t="s">
        <v>74</v>
      </c>
      <c r="BE713" t="s">
        <v>13737</v>
      </c>
      <c r="BF713" t="str">
        <f>HYPERLINK("http://dx.doi.org/10.1016/j.marpolbul.2015.12.016","http://dx.doi.org/10.1016/j.marpolbul.2015.12.016")</f>
        <v>http://dx.doi.org/10.1016/j.marpolbul.2015.12.016</v>
      </c>
      <c r="BG713" t="s">
        <v>74</v>
      </c>
      <c r="BH713" t="s">
        <v>74</v>
      </c>
      <c r="BI713">
        <v>7</v>
      </c>
      <c r="BJ713" t="s">
        <v>1838</v>
      </c>
      <c r="BK713" t="s">
        <v>102</v>
      </c>
      <c r="BL713" t="s">
        <v>1839</v>
      </c>
      <c r="BM713" t="s">
        <v>13738</v>
      </c>
      <c r="BN713">
        <v>26723473</v>
      </c>
      <c r="BO713" t="s">
        <v>380</v>
      </c>
      <c r="BP713" t="s">
        <v>74</v>
      </c>
      <c r="BQ713" t="s">
        <v>74</v>
      </c>
      <c r="BR713" t="s">
        <v>106</v>
      </c>
      <c r="BS713" t="s">
        <v>13739</v>
      </c>
      <c r="BT713" t="str">
        <f>HYPERLINK("https%3A%2F%2Fwww.webofscience.com%2Fwos%2Fwoscc%2Ffull-record%2FWOS:000374195800036","View Full Record in Web of Science")</f>
        <v>View Full Record in Web of Science</v>
      </c>
    </row>
    <row r="714" spans="1:72" x14ac:dyDescent="0.15">
      <c r="A714" t="s">
        <v>72</v>
      </c>
      <c r="B714" t="s">
        <v>13740</v>
      </c>
      <c r="C714" t="s">
        <v>74</v>
      </c>
      <c r="D714" t="s">
        <v>74</v>
      </c>
      <c r="E714" t="s">
        <v>74</v>
      </c>
      <c r="F714" t="s">
        <v>13741</v>
      </c>
      <c r="G714" t="s">
        <v>74</v>
      </c>
      <c r="H714" t="s">
        <v>74</v>
      </c>
      <c r="I714" t="s">
        <v>13742</v>
      </c>
      <c r="J714" t="s">
        <v>13743</v>
      </c>
      <c r="K714" t="s">
        <v>74</v>
      </c>
      <c r="L714" t="s">
        <v>74</v>
      </c>
      <c r="M714" t="s">
        <v>78</v>
      </c>
      <c r="N714" t="s">
        <v>79</v>
      </c>
      <c r="O714" t="s">
        <v>74</v>
      </c>
      <c r="P714" t="s">
        <v>74</v>
      </c>
      <c r="Q714" t="s">
        <v>74</v>
      </c>
      <c r="R714" t="s">
        <v>74</v>
      </c>
      <c r="S714" t="s">
        <v>74</v>
      </c>
      <c r="T714" t="s">
        <v>13744</v>
      </c>
      <c r="U714" t="s">
        <v>13745</v>
      </c>
      <c r="V714" t="s">
        <v>13746</v>
      </c>
      <c r="W714" t="s">
        <v>13747</v>
      </c>
      <c r="X714" t="s">
        <v>13748</v>
      </c>
      <c r="Y714" t="s">
        <v>13749</v>
      </c>
      <c r="Z714" t="s">
        <v>13750</v>
      </c>
      <c r="AA714" t="s">
        <v>13751</v>
      </c>
      <c r="AB714" t="s">
        <v>13752</v>
      </c>
      <c r="AC714" t="s">
        <v>13753</v>
      </c>
      <c r="AD714" t="s">
        <v>13754</v>
      </c>
      <c r="AE714" t="s">
        <v>13755</v>
      </c>
      <c r="AF714" t="s">
        <v>74</v>
      </c>
      <c r="AG714">
        <v>34</v>
      </c>
      <c r="AH714">
        <v>79</v>
      </c>
      <c r="AI714">
        <v>86</v>
      </c>
      <c r="AJ714">
        <v>8</v>
      </c>
      <c r="AK714">
        <v>111</v>
      </c>
      <c r="AL714" t="s">
        <v>678</v>
      </c>
      <c r="AM714" t="s">
        <v>679</v>
      </c>
      <c r="AN714" t="s">
        <v>680</v>
      </c>
      <c r="AO714" t="s">
        <v>13756</v>
      </c>
      <c r="AP714" t="s">
        <v>13757</v>
      </c>
      <c r="AQ714" t="s">
        <v>74</v>
      </c>
      <c r="AR714" t="s">
        <v>13758</v>
      </c>
      <c r="AS714" t="s">
        <v>13759</v>
      </c>
      <c r="AT714" t="s">
        <v>13636</v>
      </c>
      <c r="AU714">
        <v>2016</v>
      </c>
      <c r="AV714">
        <v>92</v>
      </c>
      <c r="AW714" t="s">
        <v>74</v>
      </c>
      <c r="AX714" t="s">
        <v>74</v>
      </c>
      <c r="AY714" t="s">
        <v>74</v>
      </c>
      <c r="AZ714" t="s">
        <v>74</v>
      </c>
      <c r="BA714" t="s">
        <v>74</v>
      </c>
      <c r="BB714">
        <v>846</v>
      </c>
      <c r="BC714">
        <v>852</v>
      </c>
      <c r="BD714" t="s">
        <v>74</v>
      </c>
      <c r="BE714" t="s">
        <v>13760</v>
      </c>
      <c r="BF714" t="str">
        <f>HYPERLINK("http://dx.doi.org/10.1016/j.matdes.2015.12.083","http://dx.doi.org/10.1016/j.matdes.2015.12.083")</f>
        <v>http://dx.doi.org/10.1016/j.matdes.2015.12.083</v>
      </c>
      <c r="BG714" t="s">
        <v>74</v>
      </c>
      <c r="BH714" t="s">
        <v>74</v>
      </c>
      <c r="BI714">
        <v>7</v>
      </c>
      <c r="BJ714" t="s">
        <v>13761</v>
      </c>
      <c r="BK714" t="s">
        <v>102</v>
      </c>
      <c r="BL714" t="s">
        <v>2389</v>
      </c>
      <c r="BM714" t="s">
        <v>13762</v>
      </c>
      <c r="BN714" t="s">
        <v>74</v>
      </c>
      <c r="BO714" t="s">
        <v>222</v>
      </c>
      <c r="BP714" t="s">
        <v>74</v>
      </c>
      <c r="BQ714" t="s">
        <v>74</v>
      </c>
      <c r="BR714" t="s">
        <v>106</v>
      </c>
      <c r="BS714" t="s">
        <v>13763</v>
      </c>
      <c r="BT714" t="str">
        <f>HYPERLINK("https%3A%2F%2Fwww.webofscience.com%2Fwos%2Fwoscc%2Ffull-record%2FWOS:000369191900097","View Full Record in Web of Science")</f>
        <v>View Full Record in Web of Science</v>
      </c>
    </row>
    <row r="715" spans="1:72" x14ac:dyDescent="0.15">
      <c r="A715" t="s">
        <v>72</v>
      </c>
      <c r="B715" t="s">
        <v>13764</v>
      </c>
      <c r="C715" t="s">
        <v>74</v>
      </c>
      <c r="D715" t="s">
        <v>74</v>
      </c>
      <c r="E715" t="s">
        <v>74</v>
      </c>
      <c r="F715" t="s">
        <v>13765</v>
      </c>
      <c r="G715" t="s">
        <v>74</v>
      </c>
      <c r="H715" t="s">
        <v>74</v>
      </c>
      <c r="I715" t="s">
        <v>13766</v>
      </c>
      <c r="J715" t="s">
        <v>2000</v>
      </c>
      <c r="K715" t="s">
        <v>74</v>
      </c>
      <c r="L715" t="s">
        <v>74</v>
      </c>
      <c r="M715" t="s">
        <v>78</v>
      </c>
      <c r="N715" t="s">
        <v>79</v>
      </c>
      <c r="O715" t="s">
        <v>74</v>
      </c>
      <c r="P715" t="s">
        <v>74</v>
      </c>
      <c r="Q715" t="s">
        <v>74</v>
      </c>
      <c r="R715" t="s">
        <v>74</v>
      </c>
      <c r="S715" t="s">
        <v>74</v>
      </c>
      <c r="T715" t="s">
        <v>13767</v>
      </c>
      <c r="U715" t="s">
        <v>13768</v>
      </c>
      <c r="V715" t="s">
        <v>13769</v>
      </c>
      <c r="W715" t="s">
        <v>13770</v>
      </c>
      <c r="X715" t="s">
        <v>13771</v>
      </c>
      <c r="Y715" t="s">
        <v>13772</v>
      </c>
      <c r="Z715" t="s">
        <v>13773</v>
      </c>
      <c r="AA715" t="s">
        <v>13774</v>
      </c>
      <c r="AB715" t="s">
        <v>13775</v>
      </c>
      <c r="AC715" t="s">
        <v>13776</v>
      </c>
      <c r="AD715" t="s">
        <v>13777</v>
      </c>
      <c r="AE715" t="s">
        <v>13778</v>
      </c>
      <c r="AF715" t="s">
        <v>74</v>
      </c>
      <c r="AG715">
        <v>98</v>
      </c>
      <c r="AH715">
        <v>46</v>
      </c>
      <c r="AI715">
        <v>49</v>
      </c>
      <c r="AJ715">
        <v>5</v>
      </c>
      <c r="AK715">
        <v>85</v>
      </c>
      <c r="AL715" t="s">
        <v>626</v>
      </c>
      <c r="AM715" t="s">
        <v>583</v>
      </c>
      <c r="AN715" t="s">
        <v>627</v>
      </c>
      <c r="AO715" t="s">
        <v>2011</v>
      </c>
      <c r="AP715" t="s">
        <v>2012</v>
      </c>
      <c r="AQ715" t="s">
        <v>74</v>
      </c>
      <c r="AR715" t="s">
        <v>2013</v>
      </c>
      <c r="AS715" t="s">
        <v>2014</v>
      </c>
      <c r="AT715" t="s">
        <v>13636</v>
      </c>
      <c r="AU715">
        <v>2016</v>
      </c>
      <c r="AV715">
        <v>544</v>
      </c>
      <c r="AW715" t="s">
        <v>74</v>
      </c>
      <c r="AX715" t="s">
        <v>74</v>
      </c>
      <c r="AY715" t="s">
        <v>74</v>
      </c>
      <c r="AZ715" t="s">
        <v>74</v>
      </c>
      <c r="BA715" t="s">
        <v>74</v>
      </c>
      <c r="BB715">
        <v>606</v>
      </c>
      <c r="BC715">
        <v>616</v>
      </c>
      <c r="BD715" t="s">
        <v>74</v>
      </c>
      <c r="BE715" t="s">
        <v>13779</v>
      </c>
      <c r="BF715" t="str">
        <f>HYPERLINK("http://dx.doi.org/10.1016/j.scitotenv.2015.11.166","http://dx.doi.org/10.1016/j.scitotenv.2015.11.166")</f>
        <v>http://dx.doi.org/10.1016/j.scitotenv.2015.11.166</v>
      </c>
      <c r="BG715" t="s">
        <v>74</v>
      </c>
      <c r="BH715" t="s">
        <v>74</v>
      </c>
      <c r="BI715">
        <v>11</v>
      </c>
      <c r="BJ715" t="s">
        <v>464</v>
      </c>
      <c r="BK715" t="s">
        <v>102</v>
      </c>
      <c r="BL715" t="s">
        <v>465</v>
      </c>
      <c r="BM715" t="s">
        <v>13780</v>
      </c>
      <c r="BN715">
        <v>26674690</v>
      </c>
      <c r="BO715" t="s">
        <v>1412</v>
      </c>
      <c r="BP715" t="s">
        <v>74</v>
      </c>
      <c r="BQ715" t="s">
        <v>74</v>
      </c>
      <c r="BR715" t="s">
        <v>106</v>
      </c>
      <c r="BS715" t="s">
        <v>13781</v>
      </c>
      <c r="BT715" t="str">
        <f>HYPERLINK("https%3A%2F%2Fwww.webofscience.com%2Fwos%2Fwoscc%2Ffull-record%2FWOS:000369491500066","View Full Record in Web of Science")</f>
        <v>View Full Record in Web of Science</v>
      </c>
    </row>
    <row r="716" spans="1:72" x14ac:dyDescent="0.15">
      <c r="A716" t="s">
        <v>72</v>
      </c>
      <c r="B716" t="s">
        <v>13782</v>
      </c>
      <c r="C716" t="s">
        <v>74</v>
      </c>
      <c r="D716" t="s">
        <v>74</v>
      </c>
      <c r="E716" t="s">
        <v>74</v>
      </c>
      <c r="F716" t="s">
        <v>13783</v>
      </c>
      <c r="G716" t="s">
        <v>74</v>
      </c>
      <c r="H716" t="s">
        <v>74</v>
      </c>
      <c r="I716" t="s">
        <v>13784</v>
      </c>
      <c r="J716" t="s">
        <v>2000</v>
      </c>
      <c r="K716" t="s">
        <v>74</v>
      </c>
      <c r="L716" t="s">
        <v>74</v>
      </c>
      <c r="M716" t="s">
        <v>78</v>
      </c>
      <c r="N716" t="s">
        <v>79</v>
      </c>
      <c r="O716" t="s">
        <v>74</v>
      </c>
      <c r="P716" t="s">
        <v>74</v>
      </c>
      <c r="Q716" t="s">
        <v>74</v>
      </c>
      <c r="R716" t="s">
        <v>74</v>
      </c>
      <c r="S716" t="s">
        <v>74</v>
      </c>
      <c r="T716" t="s">
        <v>13785</v>
      </c>
      <c r="U716" t="s">
        <v>13786</v>
      </c>
      <c r="V716" t="s">
        <v>13787</v>
      </c>
      <c r="W716" t="s">
        <v>13788</v>
      </c>
      <c r="X716" t="s">
        <v>13789</v>
      </c>
      <c r="Y716" t="s">
        <v>13790</v>
      </c>
      <c r="Z716" t="s">
        <v>13791</v>
      </c>
      <c r="AA716" t="s">
        <v>13792</v>
      </c>
      <c r="AB716" t="s">
        <v>13793</v>
      </c>
      <c r="AC716" t="s">
        <v>13794</v>
      </c>
      <c r="AD716" t="s">
        <v>13795</v>
      </c>
      <c r="AE716" t="s">
        <v>13796</v>
      </c>
      <c r="AF716" t="s">
        <v>74</v>
      </c>
      <c r="AG716">
        <v>101</v>
      </c>
      <c r="AH716">
        <v>37</v>
      </c>
      <c r="AI716">
        <v>41</v>
      </c>
      <c r="AJ716">
        <v>3</v>
      </c>
      <c r="AK716">
        <v>87</v>
      </c>
      <c r="AL716" t="s">
        <v>626</v>
      </c>
      <c r="AM716" t="s">
        <v>583</v>
      </c>
      <c r="AN716" t="s">
        <v>627</v>
      </c>
      <c r="AO716" t="s">
        <v>2011</v>
      </c>
      <c r="AP716" t="s">
        <v>2012</v>
      </c>
      <c r="AQ716" t="s">
        <v>74</v>
      </c>
      <c r="AR716" t="s">
        <v>2013</v>
      </c>
      <c r="AS716" t="s">
        <v>2014</v>
      </c>
      <c r="AT716" t="s">
        <v>13636</v>
      </c>
      <c r="AU716">
        <v>2016</v>
      </c>
      <c r="AV716">
        <v>544</v>
      </c>
      <c r="AW716" t="s">
        <v>74</v>
      </c>
      <c r="AX716" t="s">
        <v>74</v>
      </c>
      <c r="AY716" t="s">
        <v>74</v>
      </c>
      <c r="AZ716" t="s">
        <v>74</v>
      </c>
      <c r="BA716" t="s">
        <v>74</v>
      </c>
      <c r="BB716">
        <v>754</v>
      </c>
      <c r="BC716">
        <v>764</v>
      </c>
      <c r="BD716" t="s">
        <v>74</v>
      </c>
      <c r="BE716" t="s">
        <v>13797</v>
      </c>
      <c r="BF716" t="str">
        <f>HYPERLINK("http://dx.doi.org/10.1016/j.scitotenv.2015.11.114","http://dx.doi.org/10.1016/j.scitotenv.2015.11.114")</f>
        <v>http://dx.doi.org/10.1016/j.scitotenv.2015.11.114</v>
      </c>
      <c r="BG716" t="s">
        <v>74</v>
      </c>
      <c r="BH716" t="s">
        <v>74</v>
      </c>
      <c r="BI716">
        <v>11</v>
      </c>
      <c r="BJ716" t="s">
        <v>464</v>
      </c>
      <c r="BK716" t="s">
        <v>102</v>
      </c>
      <c r="BL716" t="s">
        <v>465</v>
      </c>
      <c r="BM716" t="s">
        <v>13780</v>
      </c>
      <c r="BN716">
        <v>26674704</v>
      </c>
      <c r="BO716" t="s">
        <v>1412</v>
      </c>
      <c r="BP716" t="s">
        <v>74</v>
      </c>
      <c r="BQ716" t="s">
        <v>74</v>
      </c>
      <c r="BR716" t="s">
        <v>106</v>
      </c>
      <c r="BS716" t="s">
        <v>13798</v>
      </c>
      <c r="BT716" t="str">
        <f>HYPERLINK("https%3A%2F%2Fwww.webofscience.com%2Fwos%2Fwoscc%2Ffull-record%2FWOS:000369491500081","View Full Record in Web of Science")</f>
        <v>View Full Record in Web of Science</v>
      </c>
    </row>
    <row r="717" spans="1:72" x14ac:dyDescent="0.15">
      <c r="A717" t="s">
        <v>72</v>
      </c>
      <c r="B717" t="s">
        <v>13799</v>
      </c>
      <c r="C717" t="s">
        <v>74</v>
      </c>
      <c r="D717" t="s">
        <v>74</v>
      </c>
      <c r="E717" t="s">
        <v>74</v>
      </c>
      <c r="F717" t="s">
        <v>13800</v>
      </c>
      <c r="G717" t="s">
        <v>74</v>
      </c>
      <c r="H717" t="s">
        <v>74</v>
      </c>
      <c r="I717" t="s">
        <v>13801</v>
      </c>
      <c r="J717" t="s">
        <v>1350</v>
      </c>
      <c r="K717" t="s">
        <v>74</v>
      </c>
      <c r="L717" t="s">
        <v>74</v>
      </c>
      <c r="M717" t="s">
        <v>78</v>
      </c>
      <c r="N717" t="s">
        <v>79</v>
      </c>
      <c r="O717" t="s">
        <v>74</v>
      </c>
      <c r="P717" t="s">
        <v>74</v>
      </c>
      <c r="Q717" t="s">
        <v>74</v>
      </c>
      <c r="R717" t="s">
        <v>74</v>
      </c>
      <c r="S717" t="s">
        <v>74</v>
      </c>
      <c r="T717" t="s">
        <v>74</v>
      </c>
      <c r="U717" t="s">
        <v>13802</v>
      </c>
      <c r="V717" t="s">
        <v>13803</v>
      </c>
      <c r="W717" t="s">
        <v>13804</v>
      </c>
      <c r="X717" t="s">
        <v>13805</v>
      </c>
      <c r="Y717" t="s">
        <v>13806</v>
      </c>
      <c r="Z717" t="s">
        <v>13807</v>
      </c>
      <c r="AA717" t="s">
        <v>13808</v>
      </c>
      <c r="AB717" t="s">
        <v>13809</v>
      </c>
      <c r="AC717" t="s">
        <v>13810</v>
      </c>
      <c r="AD717" t="s">
        <v>13811</v>
      </c>
      <c r="AE717" t="s">
        <v>13812</v>
      </c>
      <c r="AF717" t="s">
        <v>74</v>
      </c>
      <c r="AG717">
        <v>30</v>
      </c>
      <c r="AH717">
        <v>57</v>
      </c>
      <c r="AI717">
        <v>59</v>
      </c>
      <c r="AJ717">
        <v>1</v>
      </c>
      <c r="AK717">
        <v>5</v>
      </c>
      <c r="AL717" t="s">
        <v>746</v>
      </c>
      <c r="AM717" t="s">
        <v>747</v>
      </c>
      <c r="AN717" t="s">
        <v>748</v>
      </c>
      <c r="AO717" t="s">
        <v>1362</v>
      </c>
      <c r="AP717" t="s">
        <v>74</v>
      </c>
      <c r="AQ717" t="s">
        <v>74</v>
      </c>
      <c r="AR717" t="s">
        <v>1363</v>
      </c>
      <c r="AS717" t="s">
        <v>1364</v>
      </c>
      <c r="AT717" t="s">
        <v>13813</v>
      </c>
      <c r="AU717">
        <v>2016</v>
      </c>
      <c r="AV717">
        <v>6</v>
      </c>
      <c r="AW717" t="s">
        <v>74</v>
      </c>
      <c r="AX717" t="s">
        <v>74</v>
      </c>
      <c r="AY717" t="s">
        <v>74</v>
      </c>
      <c r="AZ717" t="s">
        <v>74</v>
      </c>
      <c r="BA717" t="s">
        <v>74</v>
      </c>
      <c r="BB717" t="s">
        <v>74</v>
      </c>
      <c r="BC717" t="s">
        <v>74</v>
      </c>
      <c r="BD717">
        <v>21064</v>
      </c>
      <c r="BE717" t="s">
        <v>13814</v>
      </c>
      <c r="BF717" t="str">
        <f>HYPERLINK("http://dx.doi.org/10.1038/srep21064","http://dx.doi.org/10.1038/srep21064")</f>
        <v>http://dx.doi.org/10.1038/srep21064</v>
      </c>
      <c r="BG717" t="s">
        <v>74</v>
      </c>
      <c r="BH717" t="s">
        <v>74</v>
      </c>
      <c r="BI717">
        <v>7</v>
      </c>
      <c r="BJ717" t="s">
        <v>753</v>
      </c>
      <c r="BK717" t="s">
        <v>102</v>
      </c>
      <c r="BL717" t="s">
        <v>754</v>
      </c>
      <c r="BM717" t="s">
        <v>13815</v>
      </c>
      <c r="BN717">
        <v>26869235</v>
      </c>
      <c r="BO717" t="s">
        <v>467</v>
      </c>
      <c r="BP717" t="s">
        <v>74</v>
      </c>
      <c r="BQ717" t="s">
        <v>74</v>
      </c>
      <c r="BR717" t="s">
        <v>106</v>
      </c>
      <c r="BS717" t="s">
        <v>13816</v>
      </c>
      <c r="BT717" t="str">
        <f>HYPERLINK("https%3A%2F%2Fwww.webofscience.com%2Fwos%2Fwoscc%2Ffull-record%2FWOS:000369928000001","View Full Record in Web of Science")</f>
        <v>View Full Record in Web of Science</v>
      </c>
    </row>
    <row r="718" spans="1:72" x14ac:dyDescent="0.15">
      <c r="A718" t="s">
        <v>72</v>
      </c>
      <c r="B718" t="s">
        <v>13817</v>
      </c>
      <c r="C718" t="s">
        <v>74</v>
      </c>
      <c r="D718" t="s">
        <v>74</v>
      </c>
      <c r="E718" t="s">
        <v>74</v>
      </c>
      <c r="F718" t="s">
        <v>13818</v>
      </c>
      <c r="G718" t="s">
        <v>74</v>
      </c>
      <c r="H718" t="s">
        <v>74</v>
      </c>
      <c r="I718" t="s">
        <v>13819</v>
      </c>
      <c r="J718" t="s">
        <v>1577</v>
      </c>
      <c r="K718" t="s">
        <v>74</v>
      </c>
      <c r="L718" t="s">
        <v>74</v>
      </c>
      <c r="M718" t="s">
        <v>78</v>
      </c>
      <c r="N718" t="s">
        <v>79</v>
      </c>
      <c r="O718" t="s">
        <v>74</v>
      </c>
      <c r="P718" t="s">
        <v>74</v>
      </c>
      <c r="Q718" t="s">
        <v>74</v>
      </c>
      <c r="R718" t="s">
        <v>74</v>
      </c>
      <c r="S718" t="s">
        <v>74</v>
      </c>
      <c r="T718" t="s">
        <v>74</v>
      </c>
      <c r="U718" t="s">
        <v>13820</v>
      </c>
      <c r="V718" t="s">
        <v>13821</v>
      </c>
      <c r="W718" t="s">
        <v>13822</v>
      </c>
      <c r="X718" t="s">
        <v>13823</v>
      </c>
      <c r="Y718" t="s">
        <v>13824</v>
      </c>
      <c r="Z718" t="s">
        <v>13825</v>
      </c>
      <c r="AA718" t="s">
        <v>13826</v>
      </c>
      <c r="AB718" t="s">
        <v>13827</v>
      </c>
      <c r="AC718" t="s">
        <v>13828</v>
      </c>
      <c r="AD718" t="s">
        <v>13829</v>
      </c>
      <c r="AE718" t="s">
        <v>13830</v>
      </c>
      <c r="AF718" t="s">
        <v>74</v>
      </c>
      <c r="AG718">
        <v>56</v>
      </c>
      <c r="AH718">
        <v>166</v>
      </c>
      <c r="AI718">
        <v>185</v>
      </c>
      <c r="AJ718">
        <v>4</v>
      </c>
      <c r="AK718">
        <v>180</v>
      </c>
      <c r="AL718" t="s">
        <v>772</v>
      </c>
      <c r="AM718" t="s">
        <v>773</v>
      </c>
      <c r="AN718" t="s">
        <v>774</v>
      </c>
      <c r="AO718" t="s">
        <v>1589</v>
      </c>
      <c r="AP718" t="s">
        <v>1590</v>
      </c>
      <c r="AQ718" t="s">
        <v>74</v>
      </c>
      <c r="AR718" t="s">
        <v>1577</v>
      </c>
      <c r="AS718" t="s">
        <v>1591</v>
      </c>
      <c r="AT718" t="s">
        <v>13831</v>
      </c>
      <c r="AU718">
        <v>2016</v>
      </c>
      <c r="AV718">
        <v>530</v>
      </c>
      <c r="AW718">
        <v>7589</v>
      </c>
      <c r="AX718" t="s">
        <v>74</v>
      </c>
      <c r="AY718" t="s">
        <v>74</v>
      </c>
      <c r="AZ718" t="s">
        <v>74</v>
      </c>
      <c r="BA718" t="s">
        <v>74</v>
      </c>
      <c r="BB718">
        <v>207</v>
      </c>
      <c r="BC718" t="s">
        <v>1505</v>
      </c>
      <c r="BD718" t="s">
        <v>74</v>
      </c>
      <c r="BE718" t="s">
        <v>13832</v>
      </c>
      <c r="BF718" t="str">
        <f>HYPERLINK("http://dx.doi.org/10.1038/nature16514","http://dx.doi.org/10.1038/nature16514")</f>
        <v>http://dx.doi.org/10.1038/nature16514</v>
      </c>
      <c r="BG718" t="s">
        <v>74</v>
      </c>
      <c r="BH718" t="s">
        <v>74</v>
      </c>
      <c r="BI718">
        <v>14</v>
      </c>
      <c r="BJ718" t="s">
        <v>753</v>
      </c>
      <c r="BK718" t="s">
        <v>102</v>
      </c>
      <c r="BL718" t="s">
        <v>754</v>
      </c>
      <c r="BM718" t="s">
        <v>13833</v>
      </c>
      <c r="BN718">
        <v>26840491</v>
      </c>
      <c r="BO718" t="s">
        <v>74</v>
      </c>
      <c r="BP718" t="s">
        <v>74</v>
      </c>
      <c r="BQ718" t="s">
        <v>74</v>
      </c>
      <c r="BR718" t="s">
        <v>106</v>
      </c>
      <c r="BS718" t="s">
        <v>13834</v>
      </c>
      <c r="BT718" t="str">
        <f>HYPERLINK("https%3A%2F%2Fwww.webofscience.com%2Fwos%2Fwoscc%2Ffull-record%2FWOS:000369916700036","View Full Record in Web of Science")</f>
        <v>View Full Record in Web of Science</v>
      </c>
    </row>
    <row r="719" spans="1:72" x14ac:dyDescent="0.15">
      <c r="A719" t="s">
        <v>72</v>
      </c>
      <c r="B719" t="s">
        <v>13835</v>
      </c>
      <c r="C719" t="s">
        <v>74</v>
      </c>
      <c r="D719" t="s">
        <v>74</v>
      </c>
      <c r="E719" t="s">
        <v>74</v>
      </c>
      <c r="F719" t="s">
        <v>13836</v>
      </c>
      <c r="G719" t="s">
        <v>74</v>
      </c>
      <c r="H719" t="s">
        <v>74</v>
      </c>
      <c r="I719" t="s">
        <v>13837</v>
      </c>
      <c r="J719" t="s">
        <v>9066</v>
      </c>
      <c r="K719" t="s">
        <v>74</v>
      </c>
      <c r="L719" t="s">
        <v>74</v>
      </c>
      <c r="M719" t="s">
        <v>78</v>
      </c>
      <c r="N719" t="s">
        <v>79</v>
      </c>
      <c r="O719" t="s">
        <v>74</v>
      </c>
      <c r="P719" t="s">
        <v>74</v>
      </c>
      <c r="Q719" t="s">
        <v>74</v>
      </c>
      <c r="R719" t="s">
        <v>74</v>
      </c>
      <c r="S719" t="s">
        <v>74</v>
      </c>
      <c r="T719" t="s">
        <v>13838</v>
      </c>
      <c r="U719" t="s">
        <v>13839</v>
      </c>
      <c r="V719" t="s">
        <v>13840</v>
      </c>
      <c r="W719" t="s">
        <v>13841</v>
      </c>
      <c r="X719" t="s">
        <v>13842</v>
      </c>
      <c r="Y719" t="s">
        <v>13843</v>
      </c>
      <c r="Z719" t="s">
        <v>13844</v>
      </c>
      <c r="AA719" t="s">
        <v>13845</v>
      </c>
      <c r="AB719" t="s">
        <v>13846</v>
      </c>
      <c r="AC719" t="s">
        <v>13847</v>
      </c>
      <c r="AD719" t="s">
        <v>10103</v>
      </c>
      <c r="AE719" t="s">
        <v>13848</v>
      </c>
      <c r="AF719" t="s">
        <v>74</v>
      </c>
      <c r="AG719">
        <v>48</v>
      </c>
      <c r="AH719">
        <v>10</v>
      </c>
      <c r="AI719">
        <v>10</v>
      </c>
      <c r="AJ719">
        <v>1</v>
      </c>
      <c r="AK719">
        <v>4</v>
      </c>
      <c r="AL719" t="s">
        <v>1630</v>
      </c>
      <c r="AM719" t="s">
        <v>1631</v>
      </c>
      <c r="AN719" t="s">
        <v>1632</v>
      </c>
      <c r="AO719" t="s">
        <v>9077</v>
      </c>
      <c r="AP719" t="s">
        <v>9078</v>
      </c>
      <c r="AQ719" t="s">
        <v>74</v>
      </c>
      <c r="AR719" t="s">
        <v>9066</v>
      </c>
      <c r="AS719" t="s">
        <v>9079</v>
      </c>
      <c r="AT719" t="s">
        <v>13849</v>
      </c>
      <c r="AU719">
        <v>2016</v>
      </c>
      <c r="AV719">
        <v>4079</v>
      </c>
      <c r="AW719">
        <v>1</v>
      </c>
      <c r="AX719" t="s">
        <v>74</v>
      </c>
      <c r="AY719" t="s">
        <v>74</v>
      </c>
      <c r="AZ719" t="s">
        <v>74</v>
      </c>
      <c r="BA719" t="s">
        <v>74</v>
      </c>
      <c r="BB719">
        <v>65</v>
      </c>
      <c r="BC719">
        <v>86</v>
      </c>
      <c r="BD719" t="s">
        <v>74</v>
      </c>
      <c r="BE719" t="s">
        <v>13850</v>
      </c>
      <c r="BF719" t="str">
        <f>HYPERLINK("http://dx.doi.org/10.11646/zootaxa.4079.1.5","http://dx.doi.org/10.11646/zootaxa.4079.1.5")</f>
        <v>http://dx.doi.org/10.11646/zootaxa.4079.1.5</v>
      </c>
      <c r="BG719" t="s">
        <v>74</v>
      </c>
      <c r="BH719" t="s">
        <v>74</v>
      </c>
      <c r="BI719">
        <v>22</v>
      </c>
      <c r="BJ719" t="s">
        <v>541</v>
      </c>
      <c r="BK719" t="s">
        <v>102</v>
      </c>
      <c r="BL719" t="s">
        <v>541</v>
      </c>
      <c r="BM719" t="s">
        <v>13851</v>
      </c>
      <c r="BN719">
        <v>27395992</v>
      </c>
      <c r="BO719" t="s">
        <v>74</v>
      </c>
      <c r="BP719" t="s">
        <v>74</v>
      </c>
      <c r="BQ719" t="s">
        <v>74</v>
      </c>
      <c r="BR719" t="s">
        <v>106</v>
      </c>
      <c r="BS719" t="s">
        <v>13852</v>
      </c>
      <c r="BT719" t="str">
        <f>HYPERLINK("https%3A%2F%2Fwww.webofscience.com%2Fwos%2Fwoscc%2Ffull-record%2FWOS:000370126900005","View Full Record in Web of Science")</f>
        <v>View Full Record in Web of Science</v>
      </c>
    </row>
    <row r="720" spans="1:72" x14ac:dyDescent="0.15">
      <c r="A720" t="s">
        <v>72</v>
      </c>
      <c r="B720" t="s">
        <v>13853</v>
      </c>
      <c r="C720" t="s">
        <v>74</v>
      </c>
      <c r="D720" t="s">
        <v>74</v>
      </c>
      <c r="E720" t="s">
        <v>74</v>
      </c>
      <c r="F720" t="s">
        <v>13854</v>
      </c>
      <c r="G720" t="s">
        <v>74</v>
      </c>
      <c r="H720" t="s">
        <v>74</v>
      </c>
      <c r="I720" t="s">
        <v>13855</v>
      </c>
      <c r="J720" t="s">
        <v>1148</v>
      </c>
      <c r="K720" t="s">
        <v>74</v>
      </c>
      <c r="L720" t="s">
        <v>74</v>
      </c>
      <c r="M720" t="s">
        <v>78</v>
      </c>
      <c r="N720" t="s">
        <v>79</v>
      </c>
      <c r="O720" t="s">
        <v>74</v>
      </c>
      <c r="P720" t="s">
        <v>74</v>
      </c>
      <c r="Q720" t="s">
        <v>74</v>
      </c>
      <c r="R720" t="s">
        <v>74</v>
      </c>
      <c r="S720" t="s">
        <v>74</v>
      </c>
      <c r="T720" t="s">
        <v>13856</v>
      </c>
      <c r="U720" t="s">
        <v>13857</v>
      </c>
      <c r="V720" t="s">
        <v>13858</v>
      </c>
      <c r="W720" t="s">
        <v>13859</v>
      </c>
      <c r="X720" t="s">
        <v>13860</v>
      </c>
      <c r="Y720" t="s">
        <v>13861</v>
      </c>
      <c r="Z720" t="s">
        <v>13862</v>
      </c>
      <c r="AA720" t="s">
        <v>13863</v>
      </c>
      <c r="AB720" t="s">
        <v>13864</v>
      </c>
      <c r="AC720" t="s">
        <v>13865</v>
      </c>
      <c r="AD720" t="s">
        <v>13866</v>
      </c>
      <c r="AE720" t="s">
        <v>13867</v>
      </c>
      <c r="AF720" t="s">
        <v>74</v>
      </c>
      <c r="AG720">
        <v>70</v>
      </c>
      <c r="AH720">
        <v>54</v>
      </c>
      <c r="AI720">
        <v>61</v>
      </c>
      <c r="AJ720">
        <v>8</v>
      </c>
      <c r="AK720">
        <v>110</v>
      </c>
      <c r="AL720" t="s">
        <v>626</v>
      </c>
      <c r="AM720" t="s">
        <v>583</v>
      </c>
      <c r="AN720" t="s">
        <v>627</v>
      </c>
      <c r="AO720" t="s">
        <v>1157</v>
      </c>
      <c r="AP720" t="s">
        <v>1158</v>
      </c>
      <c r="AQ720" t="s">
        <v>74</v>
      </c>
      <c r="AR720" t="s">
        <v>1159</v>
      </c>
      <c r="AS720" t="s">
        <v>1160</v>
      </c>
      <c r="AT720" t="s">
        <v>13849</v>
      </c>
      <c r="AU720">
        <v>2016</v>
      </c>
      <c r="AV720">
        <v>421</v>
      </c>
      <c r="AW720" t="s">
        <v>74</v>
      </c>
      <c r="AX720" t="s">
        <v>74</v>
      </c>
      <c r="AY720" t="s">
        <v>74</v>
      </c>
      <c r="AZ720" t="s">
        <v>74</v>
      </c>
      <c r="BA720" t="s">
        <v>74</v>
      </c>
      <c r="BB720">
        <v>93</v>
      </c>
      <c r="BC720">
        <v>102</v>
      </c>
      <c r="BD720" t="s">
        <v>74</v>
      </c>
      <c r="BE720" t="s">
        <v>13868</v>
      </c>
      <c r="BF720" t="str">
        <f>HYPERLINK("http://dx.doi.org/10.1016/j.chemgeo.2015.12.003","http://dx.doi.org/10.1016/j.chemgeo.2015.12.003")</f>
        <v>http://dx.doi.org/10.1016/j.chemgeo.2015.12.003</v>
      </c>
      <c r="BG720" t="s">
        <v>74</v>
      </c>
      <c r="BH720" t="s">
        <v>74</v>
      </c>
      <c r="BI720">
        <v>10</v>
      </c>
      <c r="BJ720" t="s">
        <v>727</v>
      </c>
      <c r="BK720" t="s">
        <v>102</v>
      </c>
      <c r="BL720" t="s">
        <v>727</v>
      </c>
      <c r="BM720" t="s">
        <v>13869</v>
      </c>
      <c r="BN720" t="s">
        <v>74</v>
      </c>
      <c r="BO720" t="s">
        <v>9156</v>
      </c>
      <c r="BP720" t="s">
        <v>74</v>
      </c>
      <c r="BQ720" t="s">
        <v>74</v>
      </c>
      <c r="BR720" t="s">
        <v>106</v>
      </c>
      <c r="BS720" t="s">
        <v>13870</v>
      </c>
      <c r="BT720" t="str">
        <f>HYPERLINK("https%3A%2F%2Fwww.webofscience.com%2Fwos%2Fwoscc%2Ffull-record%2FWOS:000367525700008","View Full Record in Web of Science")</f>
        <v>View Full Record in Web of Science</v>
      </c>
    </row>
    <row r="721" spans="1:72" x14ac:dyDescent="0.15">
      <c r="A721" t="s">
        <v>72</v>
      </c>
      <c r="B721" t="s">
        <v>13871</v>
      </c>
      <c r="C721" t="s">
        <v>74</v>
      </c>
      <c r="D721" t="s">
        <v>74</v>
      </c>
      <c r="E721" t="s">
        <v>74</v>
      </c>
      <c r="F721" t="s">
        <v>13872</v>
      </c>
      <c r="G721" t="s">
        <v>74</v>
      </c>
      <c r="H721" t="s">
        <v>74</v>
      </c>
      <c r="I721" t="s">
        <v>13873</v>
      </c>
      <c r="J721" t="s">
        <v>5355</v>
      </c>
      <c r="K721" t="s">
        <v>74</v>
      </c>
      <c r="L721" t="s">
        <v>74</v>
      </c>
      <c r="M721" t="s">
        <v>78</v>
      </c>
      <c r="N721" t="s">
        <v>79</v>
      </c>
      <c r="O721" t="s">
        <v>74</v>
      </c>
      <c r="P721" t="s">
        <v>74</v>
      </c>
      <c r="Q721" t="s">
        <v>74</v>
      </c>
      <c r="R721" t="s">
        <v>74</v>
      </c>
      <c r="S721" t="s">
        <v>74</v>
      </c>
      <c r="T721" t="s">
        <v>74</v>
      </c>
      <c r="U721" t="s">
        <v>13874</v>
      </c>
      <c r="V721" t="s">
        <v>13875</v>
      </c>
      <c r="W721" t="s">
        <v>13876</v>
      </c>
      <c r="X721" t="s">
        <v>13877</v>
      </c>
      <c r="Y721" t="s">
        <v>13878</v>
      </c>
      <c r="Z721" t="s">
        <v>13879</v>
      </c>
      <c r="AA721" t="s">
        <v>13880</v>
      </c>
      <c r="AB721" t="s">
        <v>13881</v>
      </c>
      <c r="AC721" t="s">
        <v>74</v>
      </c>
      <c r="AD721" t="s">
        <v>74</v>
      </c>
      <c r="AE721" t="s">
        <v>74</v>
      </c>
      <c r="AF721" t="s">
        <v>74</v>
      </c>
      <c r="AG721">
        <v>194</v>
      </c>
      <c r="AH721">
        <v>23</v>
      </c>
      <c r="AI721">
        <v>25</v>
      </c>
      <c r="AJ721">
        <v>0</v>
      </c>
      <c r="AK721">
        <v>8</v>
      </c>
      <c r="AL721" t="s">
        <v>5364</v>
      </c>
      <c r="AM721" t="s">
        <v>5365</v>
      </c>
      <c r="AN721" t="s">
        <v>5366</v>
      </c>
      <c r="AO721" t="s">
        <v>5367</v>
      </c>
      <c r="AP721" t="s">
        <v>74</v>
      </c>
      <c r="AQ721" t="s">
        <v>74</v>
      </c>
      <c r="AR721" t="s">
        <v>5368</v>
      </c>
      <c r="AS721" t="s">
        <v>5369</v>
      </c>
      <c r="AT721" t="s">
        <v>13849</v>
      </c>
      <c r="AU721">
        <v>2016</v>
      </c>
      <c r="AV721">
        <v>4</v>
      </c>
      <c r="AW721" t="s">
        <v>74</v>
      </c>
      <c r="AX721" t="s">
        <v>74</v>
      </c>
      <c r="AY721" t="s">
        <v>74</v>
      </c>
      <c r="AZ721" t="s">
        <v>74</v>
      </c>
      <c r="BA721" t="s">
        <v>74</v>
      </c>
      <c r="BB721">
        <v>1</v>
      </c>
      <c r="BC721">
        <v>22</v>
      </c>
      <c r="BD721" t="s">
        <v>74</v>
      </c>
      <c r="BE721" t="s">
        <v>13882</v>
      </c>
      <c r="BF721" t="str">
        <f>HYPERLINK("http://dx.doi.org/10.12952/journal.elementa.000084","http://dx.doi.org/10.12952/journal.elementa.000084")</f>
        <v>http://dx.doi.org/10.12952/journal.elementa.000084</v>
      </c>
      <c r="BG721" t="s">
        <v>74</v>
      </c>
      <c r="BH721" t="s">
        <v>74</v>
      </c>
      <c r="BI721">
        <v>22</v>
      </c>
      <c r="BJ721" t="s">
        <v>5371</v>
      </c>
      <c r="BK721" t="s">
        <v>102</v>
      </c>
      <c r="BL721" t="s">
        <v>4674</v>
      </c>
      <c r="BM721" t="s">
        <v>13883</v>
      </c>
      <c r="BN721" t="s">
        <v>74</v>
      </c>
      <c r="BO721" t="s">
        <v>12768</v>
      </c>
      <c r="BP721" t="s">
        <v>74</v>
      </c>
      <c r="BQ721" t="s">
        <v>74</v>
      </c>
      <c r="BR721" t="s">
        <v>106</v>
      </c>
      <c r="BS721" t="s">
        <v>13884</v>
      </c>
      <c r="BT721" t="str">
        <f>HYPERLINK("https%3A%2F%2Fwww.webofscience.com%2Fwos%2Fwoscc%2Ffull-record%2FWOS:000377456200001","View Full Record in Web of Science")</f>
        <v>View Full Record in Web of Science</v>
      </c>
    </row>
    <row r="722" spans="1:72" x14ac:dyDescent="0.15">
      <c r="A722" t="s">
        <v>72</v>
      </c>
      <c r="B722" t="s">
        <v>13885</v>
      </c>
      <c r="C722" t="s">
        <v>74</v>
      </c>
      <c r="D722" t="s">
        <v>74</v>
      </c>
      <c r="E722" t="s">
        <v>74</v>
      </c>
      <c r="F722" t="s">
        <v>13886</v>
      </c>
      <c r="G722" t="s">
        <v>74</v>
      </c>
      <c r="H722" t="s">
        <v>74</v>
      </c>
      <c r="I722" t="s">
        <v>13887</v>
      </c>
      <c r="J722" t="s">
        <v>13888</v>
      </c>
      <c r="K722" t="s">
        <v>74</v>
      </c>
      <c r="L722" t="s">
        <v>74</v>
      </c>
      <c r="M722" t="s">
        <v>78</v>
      </c>
      <c r="N722" t="s">
        <v>949</v>
      </c>
      <c r="O722" t="s">
        <v>74</v>
      </c>
      <c r="P722" t="s">
        <v>74</v>
      </c>
      <c r="Q722" t="s">
        <v>74</v>
      </c>
      <c r="R722" t="s">
        <v>74</v>
      </c>
      <c r="S722" t="s">
        <v>74</v>
      </c>
      <c r="T722" t="s">
        <v>13889</v>
      </c>
      <c r="U722" t="s">
        <v>13890</v>
      </c>
      <c r="V722" t="s">
        <v>13891</v>
      </c>
      <c r="W722" t="s">
        <v>13892</v>
      </c>
      <c r="X722" t="s">
        <v>13893</v>
      </c>
      <c r="Y722" t="s">
        <v>13894</v>
      </c>
      <c r="Z722" t="s">
        <v>13895</v>
      </c>
      <c r="AA722" t="s">
        <v>13896</v>
      </c>
      <c r="AB722" t="s">
        <v>74</v>
      </c>
      <c r="AC722" t="s">
        <v>13897</v>
      </c>
      <c r="AD722" t="s">
        <v>11024</v>
      </c>
      <c r="AE722" t="s">
        <v>74</v>
      </c>
      <c r="AF722" t="s">
        <v>74</v>
      </c>
      <c r="AG722">
        <v>187</v>
      </c>
      <c r="AH722">
        <v>148</v>
      </c>
      <c r="AI722">
        <v>165</v>
      </c>
      <c r="AJ722">
        <v>15</v>
      </c>
      <c r="AK722">
        <v>110</v>
      </c>
      <c r="AL722" t="s">
        <v>194</v>
      </c>
      <c r="AM722" t="s">
        <v>262</v>
      </c>
      <c r="AN722" t="s">
        <v>2836</v>
      </c>
      <c r="AO722" t="s">
        <v>13898</v>
      </c>
      <c r="AP722" t="s">
        <v>74</v>
      </c>
      <c r="AQ722" t="s">
        <v>74</v>
      </c>
      <c r="AR722" t="s">
        <v>13899</v>
      </c>
      <c r="AS722" t="s">
        <v>13900</v>
      </c>
      <c r="AT722" t="s">
        <v>13901</v>
      </c>
      <c r="AU722">
        <v>2016</v>
      </c>
      <c r="AV722">
        <v>3</v>
      </c>
      <c r="AW722" t="s">
        <v>74</v>
      </c>
      <c r="AX722" t="s">
        <v>74</v>
      </c>
      <c r="AY722" t="s">
        <v>74</v>
      </c>
      <c r="AZ722" t="s">
        <v>74</v>
      </c>
      <c r="BA722" t="s">
        <v>74</v>
      </c>
      <c r="BB722" t="s">
        <v>74</v>
      </c>
      <c r="BC722" t="s">
        <v>74</v>
      </c>
      <c r="BD722">
        <v>4</v>
      </c>
      <c r="BE722" t="s">
        <v>13902</v>
      </c>
      <c r="BF722" t="str">
        <f>HYPERLINK("http://dx.doi.org/10.1186/s40645-016-0080-y","http://dx.doi.org/10.1186/s40645-016-0080-y")</f>
        <v>http://dx.doi.org/10.1186/s40645-016-0080-y</v>
      </c>
      <c r="BG722" t="s">
        <v>74</v>
      </c>
      <c r="BH722" t="s">
        <v>74</v>
      </c>
      <c r="BI722">
        <v>26</v>
      </c>
      <c r="BJ722" t="s">
        <v>269</v>
      </c>
      <c r="BK722" t="s">
        <v>102</v>
      </c>
      <c r="BL722" t="s">
        <v>270</v>
      </c>
      <c r="BM722" t="s">
        <v>13903</v>
      </c>
      <c r="BN722" t="s">
        <v>74</v>
      </c>
      <c r="BO722" t="s">
        <v>1684</v>
      </c>
      <c r="BP722" t="s">
        <v>74</v>
      </c>
      <c r="BQ722" t="s">
        <v>74</v>
      </c>
      <c r="BR722" t="s">
        <v>106</v>
      </c>
      <c r="BS722" t="s">
        <v>13904</v>
      </c>
      <c r="BT722" t="str">
        <f>HYPERLINK("https%3A%2F%2Fwww.webofscience.com%2Fwos%2Fwoscc%2Ffull-record%2FWOS:000381923000001","View Full Record in Web of Science")</f>
        <v>View Full Record in Web of Science</v>
      </c>
    </row>
    <row r="723" spans="1:72" x14ac:dyDescent="0.15">
      <c r="A723" t="s">
        <v>72</v>
      </c>
      <c r="B723" t="s">
        <v>13905</v>
      </c>
      <c r="C723" t="s">
        <v>74</v>
      </c>
      <c r="D723" t="s">
        <v>74</v>
      </c>
      <c r="E723" t="s">
        <v>74</v>
      </c>
      <c r="F723" t="s">
        <v>13906</v>
      </c>
      <c r="G723" t="s">
        <v>74</v>
      </c>
      <c r="H723" t="s">
        <v>74</v>
      </c>
      <c r="I723" t="s">
        <v>13907</v>
      </c>
      <c r="J723" t="s">
        <v>1445</v>
      </c>
      <c r="K723" t="s">
        <v>74</v>
      </c>
      <c r="L723" t="s">
        <v>74</v>
      </c>
      <c r="M723" t="s">
        <v>78</v>
      </c>
      <c r="N723" t="s">
        <v>79</v>
      </c>
      <c r="O723" t="s">
        <v>74</v>
      </c>
      <c r="P723" t="s">
        <v>74</v>
      </c>
      <c r="Q723" t="s">
        <v>74</v>
      </c>
      <c r="R723" t="s">
        <v>74</v>
      </c>
      <c r="S723" t="s">
        <v>74</v>
      </c>
      <c r="T723" t="s">
        <v>13908</v>
      </c>
      <c r="U723" t="s">
        <v>13909</v>
      </c>
      <c r="V723" t="s">
        <v>13910</v>
      </c>
      <c r="W723" t="s">
        <v>13911</v>
      </c>
      <c r="X723" t="s">
        <v>13912</v>
      </c>
      <c r="Y723" t="s">
        <v>13913</v>
      </c>
      <c r="Z723" t="s">
        <v>13914</v>
      </c>
      <c r="AA723" t="s">
        <v>13915</v>
      </c>
      <c r="AB723" t="s">
        <v>13916</v>
      </c>
      <c r="AC723" t="s">
        <v>13917</v>
      </c>
      <c r="AD723" t="s">
        <v>13918</v>
      </c>
      <c r="AE723" t="s">
        <v>13919</v>
      </c>
      <c r="AF723" t="s">
        <v>74</v>
      </c>
      <c r="AG723">
        <v>109</v>
      </c>
      <c r="AH723">
        <v>39</v>
      </c>
      <c r="AI723">
        <v>43</v>
      </c>
      <c r="AJ723">
        <v>0</v>
      </c>
      <c r="AK723">
        <v>24</v>
      </c>
      <c r="AL723" t="s">
        <v>626</v>
      </c>
      <c r="AM723" t="s">
        <v>583</v>
      </c>
      <c r="AN723" t="s">
        <v>627</v>
      </c>
      <c r="AO723" t="s">
        <v>1458</v>
      </c>
      <c r="AP723" t="s">
        <v>1459</v>
      </c>
      <c r="AQ723" t="s">
        <v>74</v>
      </c>
      <c r="AR723" t="s">
        <v>1445</v>
      </c>
      <c r="AS723" t="s">
        <v>1460</v>
      </c>
      <c r="AT723" t="s">
        <v>13920</v>
      </c>
      <c r="AU723">
        <v>2016</v>
      </c>
      <c r="AV723">
        <v>668</v>
      </c>
      <c r="AW723" t="s">
        <v>74</v>
      </c>
      <c r="AX723" t="s">
        <v>74</v>
      </c>
      <c r="AY723" t="s">
        <v>74</v>
      </c>
      <c r="AZ723" t="s">
        <v>74</v>
      </c>
      <c r="BA723" t="s">
        <v>74</v>
      </c>
      <c r="BB723">
        <v>15</v>
      </c>
      <c r="BC723">
        <v>34</v>
      </c>
      <c r="BD723" t="s">
        <v>74</v>
      </c>
      <c r="BE723" t="s">
        <v>13921</v>
      </c>
      <c r="BF723" t="str">
        <f>HYPERLINK("http://dx.doi.org/10.1016/j.tecto.2015.11.025","http://dx.doi.org/10.1016/j.tecto.2015.11.025")</f>
        <v>http://dx.doi.org/10.1016/j.tecto.2015.11.025</v>
      </c>
      <c r="BG723" t="s">
        <v>74</v>
      </c>
      <c r="BH723" t="s">
        <v>74</v>
      </c>
      <c r="BI723">
        <v>20</v>
      </c>
      <c r="BJ723" t="s">
        <v>727</v>
      </c>
      <c r="BK723" t="s">
        <v>102</v>
      </c>
      <c r="BL723" t="s">
        <v>727</v>
      </c>
      <c r="BM723" t="s">
        <v>13922</v>
      </c>
      <c r="BN723" t="s">
        <v>74</v>
      </c>
      <c r="BO723" t="s">
        <v>1412</v>
      </c>
      <c r="BP723" t="s">
        <v>74</v>
      </c>
      <c r="BQ723" t="s">
        <v>74</v>
      </c>
      <c r="BR723" t="s">
        <v>106</v>
      </c>
      <c r="BS723" t="s">
        <v>13923</v>
      </c>
      <c r="BT723" t="str">
        <f>HYPERLINK("https%3A%2F%2Fwww.webofscience.com%2Fwos%2Fwoscc%2Ffull-record%2FWOS:000378099900002","View Full Record in Web of Science")</f>
        <v>View Full Record in Web of Science</v>
      </c>
    </row>
    <row r="724" spans="1:72" x14ac:dyDescent="0.15">
      <c r="A724" t="s">
        <v>72</v>
      </c>
      <c r="B724" t="s">
        <v>13924</v>
      </c>
      <c r="C724" t="s">
        <v>74</v>
      </c>
      <c r="D724" t="s">
        <v>74</v>
      </c>
      <c r="E724" t="s">
        <v>74</v>
      </c>
      <c r="F724" t="s">
        <v>13925</v>
      </c>
      <c r="G724" t="s">
        <v>74</v>
      </c>
      <c r="H724" t="s">
        <v>74</v>
      </c>
      <c r="I724" t="s">
        <v>13926</v>
      </c>
      <c r="J724" t="s">
        <v>9066</v>
      </c>
      <c r="K724" t="s">
        <v>74</v>
      </c>
      <c r="L724" t="s">
        <v>74</v>
      </c>
      <c r="M724" t="s">
        <v>78</v>
      </c>
      <c r="N724" t="s">
        <v>79</v>
      </c>
      <c r="O724" t="s">
        <v>74</v>
      </c>
      <c r="P724" t="s">
        <v>74</v>
      </c>
      <c r="Q724" t="s">
        <v>74</v>
      </c>
      <c r="R724" t="s">
        <v>74</v>
      </c>
      <c r="S724" t="s">
        <v>74</v>
      </c>
      <c r="T724" t="s">
        <v>13927</v>
      </c>
      <c r="U724" t="s">
        <v>13928</v>
      </c>
      <c r="V724" t="s">
        <v>13929</v>
      </c>
      <c r="W724" t="s">
        <v>13930</v>
      </c>
      <c r="X724" t="s">
        <v>13931</v>
      </c>
      <c r="Y724" t="s">
        <v>13932</v>
      </c>
      <c r="Z724" t="s">
        <v>13933</v>
      </c>
      <c r="AA724" t="s">
        <v>13934</v>
      </c>
      <c r="AB724" t="s">
        <v>74</v>
      </c>
      <c r="AC724" t="s">
        <v>13935</v>
      </c>
      <c r="AD724" t="s">
        <v>13936</v>
      </c>
      <c r="AE724" t="s">
        <v>13937</v>
      </c>
      <c r="AF724" t="s">
        <v>74</v>
      </c>
      <c r="AG724">
        <v>90</v>
      </c>
      <c r="AH724">
        <v>8</v>
      </c>
      <c r="AI724">
        <v>8</v>
      </c>
      <c r="AJ724">
        <v>0</v>
      </c>
      <c r="AK724">
        <v>8</v>
      </c>
      <c r="AL724" t="s">
        <v>1630</v>
      </c>
      <c r="AM724" t="s">
        <v>1631</v>
      </c>
      <c r="AN724" t="s">
        <v>9116</v>
      </c>
      <c r="AO724" t="s">
        <v>9077</v>
      </c>
      <c r="AP724" t="s">
        <v>9078</v>
      </c>
      <c r="AQ724" t="s">
        <v>74</v>
      </c>
      <c r="AR724" t="s">
        <v>9066</v>
      </c>
      <c r="AS724" t="s">
        <v>9079</v>
      </c>
      <c r="AT724" t="s">
        <v>13938</v>
      </c>
      <c r="AU724">
        <v>2016</v>
      </c>
      <c r="AV724">
        <v>4075</v>
      </c>
      <c r="AW724">
        <v>1</v>
      </c>
      <c r="AX724" t="s">
        <v>74</v>
      </c>
      <c r="AY724" t="s">
        <v>74</v>
      </c>
      <c r="AZ724" t="s">
        <v>74</v>
      </c>
      <c r="BA724" t="s">
        <v>74</v>
      </c>
      <c r="BB724">
        <v>1</v>
      </c>
      <c r="BC724" t="s">
        <v>1505</v>
      </c>
      <c r="BD724" t="s">
        <v>74</v>
      </c>
      <c r="BE724" t="s">
        <v>74</v>
      </c>
      <c r="BF724" t="s">
        <v>74</v>
      </c>
      <c r="BG724" t="s">
        <v>74</v>
      </c>
      <c r="BH724" t="s">
        <v>74</v>
      </c>
      <c r="BI724">
        <v>140</v>
      </c>
      <c r="BJ724" t="s">
        <v>541</v>
      </c>
      <c r="BK724" t="s">
        <v>102</v>
      </c>
      <c r="BL724" t="s">
        <v>541</v>
      </c>
      <c r="BM724" t="s">
        <v>13939</v>
      </c>
      <c r="BN724">
        <v>27395954</v>
      </c>
      <c r="BO724" t="s">
        <v>74</v>
      </c>
      <c r="BP724" t="s">
        <v>74</v>
      </c>
      <c r="BQ724" t="s">
        <v>74</v>
      </c>
      <c r="BR724" t="s">
        <v>106</v>
      </c>
      <c r="BS724" t="s">
        <v>13940</v>
      </c>
      <c r="BT724" t="str">
        <f>HYPERLINK("https%3A%2F%2Fwww.webofscience.com%2Fwos%2Fwoscc%2Ffull-record%2FWOS:000369397500001","View Full Record in Web of Science")</f>
        <v>View Full Record in Web of Science</v>
      </c>
    </row>
    <row r="725" spans="1:72" x14ac:dyDescent="0.15">
      <c r="A725" t="s">
        <v>72</v>
      </c>
      <c r="B725" t="s">
        <v>13941</v>
      </c>
      <c r="C725" t="s">
        <v>74</v>
      </c>
      <c r="D725" t="s">
        <v>74</v>
      </c>
      <c r="E725" t="s">
        <v>74</v>
      </c>
      <c r="F725" t="s">
        <v>13942</v>
      </c>
      <c r="G725" t="s">
        <v>74</v>
      </c>
      <c r="H725" t="s">
        <v>74</v>
      </c>
      <c r="I725" t="s">
        <v>13943</v>
      </c>
      <c r="J725" t="s">
        <v>1350</v>
      </c>
      <c r="K725" t="s">
        <v>74</v>
      </c>
      <c r="L725" t="s">
        <v>74</v>
      </c>
      <c r="M725" t="s">
        <v>78</v>
      </c>
      <c r="N725" t="s">
        <v>79</v>
      </c>
      <c r="O725" t="s">
        <v>74</v>
      </c>
      <c r="P725" t="s">
        <v>74</v>
      </c>
      <c r="Q725" t="s">
        <v>74</v>
      </c>
      <c r="R725" t="s">
        <v>74</v>
      </c>
      <c r="S725" t="s">
        <v>74</v>
      </c>
      <c r="T725" t="s">
        <v>74</v>
      </c>
      <c r="U725" t="s">
        <v>13944</v>
      </c>
      <c r="V725" t="s">
        <v>13945</v>
      </c>
      <c r="W725" t="s">
        <v>13946</v>
      </c>
      <c r="X725" t="s">
        <v>13947</v>
      </c>
      <c r="Y725" t="s">
        <v>13948</v>
      </c>
      <c r="Z725" t="s">
        <v>13949</v>
      </c>
      <c r="AA725" t="s">
        <v>74</v>
      </c>
      <c r="AB725" t="s">
        <v>74</v>
      </c>
      <c r="AC725" t="s">
        <v>13950</v>
      </c>
      <c r="AD725" t="s">
        <v>13951</v>
      </c>
      <c r="AE725" t="s">
        <v>13952</v>
      </c>
      <c r="AF725" t="s">
        <v>74</v>
      </c>
      <c r="AG725">
        <v>66</v>
      </c>
      <c r="AH725">
        <v>44</v>
      </c>
      <c r="AI725">
        <v>46</v>
      </c>
      <c r="AJ725">
        <v>0</v>
      </c>
      <c r="AK725">
        <v>6</v>
      </c>
      <c r="AL725" t="s">
        <v>746</v>
      </c>
      <c r="AM725" t="s">
        <v>747</v>
      </c>
      <c r="AN725" t="s">
        <v>748</v>
      </c>
      <c r="AO725" t="s">
        <v>1362</v>
      </c>
      <c r="AP725" t="s">
        <v>74</v>
      </c>
      <c r="AQ725" t="s">
        <v>74</v>
      </c>
      <c r="AR725" t="s">
        <v>1363</v>
      </c>
      <c r="AS725" t="s">
        <v>1364</v>
      </c>
      <c r="AT725" t="s">
        <v>13938</v>
      </c>
      <c r="AU725">
        <v>2016</v>
      </c>
      <c r="AV725">
        <v>6</v>
      </c>
      <c r="AW725" t="s">
        <v>74</v>
      </c>
      <c r="AX725" t="s">
        <v>74</v>
      </c>
      <c r="AY725" t="s">
        <v>74</v>
      </c>
      <c r="AZ725" t="s">
        <v>74</v>
      </c>
      <c r="BA725" t="s">
        <v>74</v>
      </c>
      <c r="BB725" t="s">
        <v>74</v>
      </c>
      <c r="BC725" t="s">
        <v>74</v>
      </c>
      <c r="BD725">
        <v>20535</v>
      </c>
      <c r="BE725" t="s">
        <v>13953</v>
      </c>
      <c r="BF725" t="str">
        <f>HYPERLINK("http://dx.doi.org/10.1038/srep20535","http://dx.doi.org/10.1038/srep20535")</f>
        <v>http://dx.doi.org/10.1038/srep20535</v>
      </c>
      <c r="BG725" t="s">
        <v>74</v>
      </c>
      <c r="BH725" t="s">
        <v>74</v>
      </c>
      <c r="BI725">
        <v>12</v>
      </c>
      <c r="BJ725" t="s">
        <v>753</v>
      </c>
      <c r="BK725" t="s">
        <v>102</v>
      </c>
      <c r="BL725" t="s">
        <v>754</v>
      </c>
      <c r="BM725" t="s">
        <v>13954</v>
      </c>
      <c r="BN725">
        <v>26847384</v>
      </c>
      <c r="BO725" t="s">
        <v>1684</v>
      </c>
      <c r="BP725" t="s">
        <v>74</v>
      </c>
      <c r="BQ725" t="s">
        <v>74</v>
      </c>
      <c r="BR725" t="s">
        <v>106</v>
      </c>
      <c r="BS725" t="s">
        <v>13955</v>
      </c>
      <c r="BT725" t="str">
        <f>HYPERLINK("https%3A%2F%2Fwww.webofscience.com%2Fwos%2Fwoscc%2Ffull-record%2FWOS:000369510700001","View Full Record in Web of Science")</f>
        <v>View Full Record in Web of Science</v>
      </c>
    </row>
    <row r="726" spans="1:72" x14ac:dyDescent="0.15">
      <c r="A726" t="s">
        <v>72</v>
      </c>
      <c r="B726" t="s">
        <v>13956</v>
      </c>
      <c r="C726" t="s">
        <v>74</v>
      </c>
      <c r="D726" t="s">
        <v>74</v>
      </c>
      <c r="E726" t="s">
        <v>74</v>
      </c>
      <c r="F726" t="s">
        <v>13957</v>
      </c>
      <c r="G726" t="s">
        <v>74</v>
      </c>
      <c r="H726" t="s">
        <v>74</v>
      </c>
      <c r="I726" t="s">
        <v>13958</v>
      </c>
      <c r="J726" t="s">
        <v>13959</v>
      </c>
      <c r="K726" t="s">
        <v>74</v>
      </c>
      <c r="L726" t="s">
        <v>74</v>
      </c>
      <c r="M726" t="s">
        <v>78</v>
      </c>
      <c r="N726" t="s">
        <v>79</v>
      </c>
      <c r="O726" t="s">
        <v>74</v>
      </c>
      <c r="P726" t="s">
        <v>74</v>
      </c>
      <c r="Q726" t="s">
        <v>74</v>
      </c>
      <c r="R726" t="s">
        <v>74</v>
      </c>
      <c r="S726" t="s">
        <v>74</v>
      </c>
      <c r="T726" t="s">
        <v>13960</v>
      </c>
      <c r="U726" t="s">
        <v>13961</v>
      </c>
      <c r="V726" t="s">
        <v>13962</v>
      </c>
      <c r="W726" t="s">
        <v>13963</v>
      </c>
      <c r="X726" t="s">
        <v>13964</v>
      </c>
      <c r="Y726" t="s">
        <v>13965</v>
      </c>
      <c r="Z726" t="s">
        <v>13966</v>
      </c>
      <c r="AA726" t="s">
        <v>13967</v>
      </c>
      <c r="AB726" t="s">
        <v>13968</v>
      </c>
      <c r="AC726" t="s">
        <v>13969</v>
      </c>
      <c r="AD726" t="s">
        <v>13970</v>
      </c>
      <c r="AE726" t="s">
        <v>13971</v>
      </c>
      <c r="AF726" t="s">
        <v>74</v>
      </c>
      <c r="AG726">
        <v>95</v>
      </c>
      <c r="AH726">
        <v>59</v>
      </c>
      <c r="AI726">
        <v>60</v>
      </c>
      <c r="AJ726">
        <v>2</v>
      </c>
      <c r="AK726">
        <v>25</v>
      </c>
      <c r="AL726" t="s">
        <v>8888</v>
      </c>
      <c r="AM726" t="s">
        <v>8889</v>
      </c>
      <c r="AN726" t="s">
        <v>8890</v>
      </c>
      <c r="AO726" t="s">
        <v>74</v>
      </c>
      <c r="AP726" t="s">
        <v>13972</v>
      </c>
      <c r="AQ726" t="s">
        <v>74</v>
      </c>
      <c r="AR726" t="s">
        <v>13973</v>
      </c>
      <c r="AS726" t="s">
        <v>13974</v>
      </c>
      <c r="AT726" t="s">
        <v>13975</v>
      </c>
      <c r="AU726">
        <v>2016</v>
      </c>
      <c r="AV726">
        <v>4</v>
      </c>
      <c r="AW726" t="s">
        <v>74</v>
      </c>
      <c r="AX726" t="s">
        <v>74</v>
      </c>
      <c r="AY726" t="s">
        <v>74</v>
      </c>
      <c r="AZ726" t="s">
        <v>74</v>
      </c>
      <c r="BA726" t="s">
        <v>74</v>
      </c>
      <c r="BB726" t="s">
        <v>74</v>
      </c>
      <c r="BC726" t="s">
        <v>74</v>
      </c>
      <c r="BD726">
        <v>4</v>
      </c>
      <c r="BE726" t="s">
        <v>13976</v>
      </c>
      <c r="BF726" t="str">
        <f>HYPERLINK("http://dx.doi.org/10.3389/feart.2016.00004","http://dx.doi.org/10.3389/feart.2016.00004")</f>
        <v>http://dx.doi.org/10.3389/feart.2016.00004</v>
      </c>
      <c r="BG726" t="s">
        <v>74</v>
      </c>
      <c r="BH726" t="s">
        <v>74</v>
      </c>
      <c r="BI726">
        <v>17</v>
      </c>
      <c r="BJ726" t="s">
        <v>269</v>
      </c>
      <c r="BK726" t="s">
        <v>102</v>
      </c>
      <c r="BL726" t="s">
        <v>270</v>
      </c>
      <c r="BM726" t="s">
        <v>13977</v>
      </c>
      <c r="BN726" t="s">
        <v>74</v>
      </c>
      <c r="BO726" t="s">
        <v>495</v>
      </c>
      <c r="BP726" t="s">
        <v>74</v>
      </c>
      <c r="BQ726" t="s">
        <v>74</v>
      </c>
      <c r="BR726" t="s">
        <v>106</v>
      </c>
      <c r="BS726" t="s">
        <v>13978</v>
      </c>
      <c r="BT726" t="str">
        <f>HYPERLINK("https%3A%2F%2Fwww.webofscience.com%2Fwos%2Fwoscc%2Ffull-record%2FWOS:000393061900001","View Full Record in Web of Science")</f>
        <v>View Full Record in Web of Science</v>
      </c>
    </row>
    <row r="727" spans="1:72" x14ac:dyDescent="0.15">
      <c r="A727" t="s">
        <v>72</v>
      </c>
      <c r="B727" t="s">
        <v>13979</v>
      </c>
      <c r="C727" t="s">
        <v>74</v>
      </c>
      <c r="D727" t="s">
        <v>74</v>
      </c>
      <c r="E727" t="s">
        <v>74</v>
      </c>
      <c r="F727" t="s">
        <v>13980</v>
      </c>
      <c r="G727" t="s">
        <v>74</v>
      </c>
      <c r="H727" t="s">
        <v>74</v>
      </c>
      <c r="I727" t="s">
        <v>13981</v>
      </c>
      <c r="J727" t="s">
        <v>1196</v>
      </c>
      <c r="K727" t="s">
        <v>74</v>
      </c>
      <c r="L727" t="s">
        <v>74</v>
      </c>
      <c r="M727" t="s">
        <v>78</v>
      </c>
      <c r="N727" t="s">
        <v>79</v>
      </c>
      <c r="O727" t="s">
        <v>74</v>
      </c>
      <c r="P727" t="s">
        <v>74</v>
      </c>
      <c r="Q727" t="s">
        <v>74</v>
      </c>
      <c r="R727" t="s">
        <v>74</v>
      </c>
      <c r="S727" t="s">
        <v>74</v>
      </c>
      <c r="T727" t="s">
        <v>74</v>
      </c>
      <c r="U727" t="s">
        <v>74</v>
      </c>
      <c r="V727" t="s">
        <v>13982</v>
      </c>
      <c r="W727" t="s">
        <v>13983</v>
      </c>
      <c r="X727" t="s">
        <v>13984</v>
      </c>
      <c r="Y727" t="s">
        <v>13985</v>
      </c>
      <c r="Z727" t="s">
        <v>13986</v>
      </c>
      <c r="AA727" t="s">
        <v>13987</v>
      </c>
      <c r="AB727" t="s">
        <v>13988</v>
      </c>
      <c r="AC727" t="s">
        <v>13989</v>
      </c>
      <c r="AD727" t="s">
        <v>13990</v>
      </c>
      <c r="AE727" t="s">
        <v>13991</v>
      </c>
      <c r="AF727" t="s">
        <v>74</v>
      </c>
      <c r="AG727">
        <v>36</v>
      </c>
      <c r="AH727">
        <v>17</v>
      </c>
      <c r="AI727">
        <v>18</v>
      </c>
      <c r="AJ727">
        <v>1</v>
      </c>
      <c r="AK727">
        <v>35</v>
      </c>
      <c r="AL727" t="s">
        <v>1207</v>
      </c>
      <c r="AM727" t="s">
        <v>1208</v>
      </c>
      <c r="AN727" t="s">
        <v>1209</v>
      </c>
      <c r="AO727" t="s">
        <v>1210</v>
      </c>
      <c r="AP727" t="s">
        <v>74</v>
      </c>
      <c r="AQ727" t="s">
        <v>74</v>
      </c>
      <c r="AR727" t="s">
        <v>1196</v>
      </c>
      <c r="AS727" t="s">
        <v>1211</v>
      </c>
      <c r="AT727" t="s">
        <v>13975</v>
      </c>
      <c r="AU727">
        <v>2016</v>
      </c>
      <c r="AV727">
        <v>11</v>
      </c>
      <c r="AW727">
        <v>2</v>
      </c>
      <c r="AX727" t="s">
        <v>74</v>
      </c>
      <c r="AY727" t="s">
        <v>74</v>
      </c>
      <c r="AZ727" t="s">
        <v>74</v>
      </c>
      <c r="BA727" t="s">
        <v>74</v>
      </c>
      <c r="BB727" t="s">
        <v>74</v>
      </c>
      <c r="BC727" t="s">
        <v>74</v>
      </c>
      <c r="BD727" t="s">
        <v>13992</v>
      </c>
      <c r="BE727" t="s">
        <v>13993</v>
      </c>
      <c r="BF727" t="str">
        <f>HYPERLINK("http://dx.doi.org/10.1371/journal.pone.0145676","http://dx.doi.org/10.1371/journal.pone.0145676")</f>
        <v>http://dx.doi.org/10.1371/journal.pone.0145676</v>
      </c>
      <c r="BG727" t="s">
        <v>74</v>
      </c>
      <c r="BH727" t="s">
        <v>74</v>
      </c>
      <c r="BI727">
        <v>12</v>
      </c>
      <c r="BJ727" t="s">
        <v>753</v>
      </c>
      <c r="BK727" t="s">
        <v>102</v>
      </c>
      <c r="BL727" t="s">
        <v>754</v>
      </c>
      <c r="BM727" t="s">
        <v>13994</v>
      </c>
      <c r="BN727">
        <v>26840252</v>
      </c>
      <c r="BO727" t="s">
        <v>1665</v>
      </c>
      <c r="BP727" t="s">
        <v>74</v>
      </c>
      <c r="BQ727" t="s">
        <v>74</v>
      </c>
      <c r="BR727" t="s">
        <v>106</v>
      </c>
      <c r="BS727" t="s">
        <v>13995</v>
      </c>
      <c r="BT727" t="str">
        <f>HYPERLINK("https%3A%2F%2Fwww.webofscience.com%2Fwos%2Fwoscc%2Ffull-record%2FWOS:000369550200002","View Full Record in Web of Science")</f>
        <v>View Full Record in Web of Science</v>
      </c>
    </row>
    <row r="728" spans="1:72" x14ac:dyDescent="0.15">
      <c r="A728" t="s">
        <v>72</v>
      </c>
      <c r="B728" t="s">
        <v>13996</v>
      </c>
      <c r="C728" t="s">
        <v>74</v>
      </c>
      <c r="D728" t="s">
        <v>74</v>
      </c>
      <c r="E728" t="s">
        <v>74</v>
      </c>
      <c r="F728" t="s">
        <v>13997</v>
      </c>
      <c r="G728" t="s">
        <v>74</v>
      </c>
      <c r="H728" t="s">
        <v>74</v>
      </c>
      <c r="I728" t="s">
        <v>13998</v>
      </c>
      <c r="J728" t="s">
        <v>13566</v>
      </c>
      <c r="K728" t="s">
        <v>74</v>
      </c>
      <c r="L728" t="s">
        <v>74</v>
      </c>
      <c r="M728" t="s">
        <v>78</v>
      </c>
      <c r="N728" t="s">
        <v>79</v>
      </c>
      <c r="O728" t="s">
        <v>74</v>
      </c>
      <c r="P728" t="s">
        <v>74</v>
      </c>
      <c r="Q728" t="s">
        <v>74</v>
      </c>
      <c r="R728" t="s">
        <v>74</v>
      </c>
      <c r="S728" t="s">
        <v>74</v>
      </c>
      <c r="T728" t="s">
        <v>74</v>
      </c>
      <c r="U728" t="s">
        <v>13999</v>
      </c>
      <c r="V728" t="s">
        <v>14000</v>
      </c>
      <c r="W728" t="s">
        <v>14001</v>
      </c>
      <c r="X728" t="s">
        <v>14002</v>
      </c>
      <c r="Y728" t="s">
        <v>14003</v>
      </c>
      <c r="Z728" t="s">
        <v>14004</v>
      </c>
      <c r="AA728" t="s">
        <v>14005</v>
      </c>
      <c r="AB728" t="s">
        <v>14006</v>
      </c>
      <c r="AC728" t="s">
        <v>14007</v>
      </c>
      <c r="AD728" t="s">
        <v>14008</v>
      </c>
      <c r="AE728" t="s">
        <v>14009</v>
      </c>
      <c r="AF728" t="s">
        <v>74</v>
      </c>
      <c r="AG728">
        <v>48</v>
      </c>
      <c r="AH728">
        <v>62</v>
      </c>
      <c r="AI728">
        <v>66</v>
      </c>
      <c r="AJ728">
        <v>2</v>
      </c>
      <c r="AK728">
        <v>99</v>
      </c>
      <c r="AL728" t="s">
        <v>6536</v>
      </c>
      <c r="AM728" t="s">
        <v>93</v>
      </c>
      <c r="AN728" t="s">
        <v>6537</v>
      </c>
      <c r="AO728" t="s">
        <v>13578</v>
      </c>
      <c r="AP728" t="s">
        <v>13579</v>
      </c>
      <c r="AQ728" t="s">
        <v>74</v>
      </c>
      <c r="AR728" t="s">
        <v>13580</v>
      </c>
      <c r="AS728" t="s">
        <v>13581</v>
      </c>
      <c r="AT728" t="s">
        <v>14010</v>
      </c>
      <c r="AU728">
        <v>2016</v>
      </c>
      <c r="AV728">
        <v>50</v>
      </c>
      <c r="AW728">
        <v>3</v>
      </c>
      <c r="AX728" t="s">
        <v>74</v>
      </c>
      <c r="AY728" t="s">
        <v>74</v>
      </c>
      <c r="AZ728" t="s">
        <v>74</v>
      </c>
      <c r="BA728" t="s">
        <v>74</v>
      </c>
      <c r="BB728">
        <v>1280</v>
      </c>
      <c r="BC728">
        <v>1287</v>
      </c>
      <c r="BD728" t="s">
        <v>74</v>
      </c>
      <c r="BE728" t="s">
        <v>14011</v>
      </c>
      <c r="BF728" t="str">
        <f>HYPERLINK("http://dx.doi.org/10.1021/acs.est.5b05148","http://dx.doi.org/10.1021/acs.est.5b05148")</f>
        <v>http://dx.doi.org/10.1021/acs.est.5b05148</v>
      </c>
      <c r="BG728" t="s">
        <v>74</v>
      </c>
      <c r="BH728" t="s">
        <v>74</v>
      </c>
      <c r="BI728">
        <v>8</v>
      </c>
      <c r="BJ728" t="s">
        <v>13583</v>
      </c>
      <c r="BK728" t="s">
        <v>102</v>
      </c>
      <c r="BL728" t="s">
        <v>13584</v>
      </c>
      <c r="BM728" t="s">
        <v>14012</v>
      </c>
      <c r="BN728">
        <v>26745029</v>
      </c>
      <c r="BO728" t="s">
        <v>74</v>
      </c>
      <c r="BP728" t="s">
        <v>74</v>
      </c>
      <c r="BQ728" t="s">
        <v>74</v>
      </c>
      <c r="BR728" t="s">
        <v>106</v>
      </c>
      <c r="BS728" t="s">
        <v>14013</v>
      </c>
      <c r="BT728" t="str">
        <f>HYPERLINK("https%3A%2F%2Fwww.webofscience.com%2Fwos%2Fwoscc%2Ffull-record%2FWOS:000369471300024","View Full Record in Web of Science")</f>
        <v>View Full Record in Web of Science</v>
      </c>
    </row>
    <row r="729" spans="1:72" x14ac:dyDescent="0.15">
      <c r="A729" t="s">
        <v>72</v>
      </c>
      <c r="B729" t="s">
        <v>14014</v>
      </c>
      <c r="C729" t="s">
        <v>74</v>
      </c>
      <c r="D729" t="s">
        <v>74</v>
      </c>
      <c r="E729" t="s">
        <v>74</v>
      </c>
      <c r="F729" t="s">
        <v>14015</v>
      </c>
      <c r="G729" t="s">
        <v>74</v>
      </c>
      <c r="H729" t="s">
        <v>74</v>
      </c>
      <c r="I729" t="s">
        <v>14016</v>
      </c>
      <c r="J729" t="s">
        <v>3144</v>
      </c>
      <c r="K729" t="s">
        <v>74</v>
      </c>
      <c r="L729" t="s">
        <v>74</v>
      </c>
      <c r="M729" t="s">
        <v>78</v>
      </c>
      <c r="N729" t="s">
        <v>949</v>
      </c>
      <c r="O729" t="s">
        <v>74</v>
      </c>
      <c r="P729" t="s">
        <v>74</v>
      </c>
      <c r="Q729" t="s">
        <v>74</v>
      </c>
      <c r="R729" t="s">
        <v>74</v>
      </c>
      <c r="S729" t="s">
        <v>74</v>
      </c>
      <c r="T729" t="s">
        <v>74</v>
      </c>
      <c r="U729" t="s">
        <v>14017</v>
      </c>
      <c r="V729" t="s">
        <v>14018</v>
      </c>
      <c r="W729" t="s">
        <v>14019</v>
      </c>
      <c r="X729" t="s">
        <v>14020</v>
      </c>
      <c r="Y729" t="s">
        <v>14021</v>
      </c>
      <c r="Z729" t="s">
        <v>14022</v>
      </c>
      <c r="AA729" t="s">
        <v>74</v>
      </c>
      <c r="AB729" t="s">
        <v>14023</v>
      </c>
      <c r="AC729" t="s">
        <v>14024</v>
      </c>
      <c r="AD729" t="s">
        <v>14025</v>
      </c>
      <c r="AE729" t="s">
        <v>14026</v>
      </c>
      <c r="AF729" t="s">
        <v>74</v>
      </c>
      <c r="AG729">
        <v>87</v>
      </c>
      <c r="AH729">
        <v>29</v>
      </c>
      <c r="AI729">
        <v>30</v>
      </c>
      <c r="AJ729">
        <v>1</v>
      </c>
      <c r="AK729">
        <v>24</v>
      </c>
      <c r="AL729" t="s">
        <v>1829</v>
      </c>
      <c r="AM729" t="s">
        <v>679</v>
      </c>
      <c r="AN729" t="s">
        <v>1830</v>
      </c>
      <c r="AO729" t="s">
        <v>3155</v>
      </c>
      <c r="AP729" t="s">
        <v>74</v>
      </c>
      <c r="AQ729" t="s">
        <v>74</v>
      </c>
      <c r="AR729" t="s">
        <v>3156</v>
      </c>
      <c r="AS729" t="s">
        <v>3157</v>
      </c>
      <c r="AT729" t="s">
        <v>14027</v>
      </c>
      <c r="AU729">
        <v>2016</v>
      </c>
      <c r="AV729">
        <v>141</v>
      </c>
      <c r="AW729" t="s">
        <v>74</v>
      </c>
      <c r="AX729" t="s">
        <v>74</v>
      </c>
      <c r="AY729" t="s">
        <v>74</v>
      </c>
      <c r="AZ729" t="s">
        <v>74</v>
      </c>
      <c r="BA729" t="s">
        <v>74</v>
      </c>
      <c r="BB729">
        <v>81</v>
      </c>
      <c r="BC729">
        <v>95</v>
      </c>
      <c r="BD729" t="s">
        <v>74</v>
      </c>
      <c r="BE729" t="s">
        <v>14028</v>
      </c>
      <c r="BF729" t="str">
        <f>HYPERLINK("http://dx.doi.org/10.1016/j.pocean.2015.12.003","http://dx.doi.org/10.1016/j.pocean.2015.12.003")</f>
        <v>http://dx.doi.org/10.1016/j.pocean.2015.12.003</v>
      </c>
      <c r="BG729" t="s">
        <v>74</v>
      </c>
      <c r="BH729" t="s">
        <v>74</v>
      </c>
      <c r="BI729">
        <v>15</v>
      </c>
      <c r="BJ729" t="s">
        <v>361</v>
      </c>
      <c r="BK729" t="s">
        <v>102</v>
      </c>
      <c r="BL729" t="s">
        <v>361</v>
      </c>
      <c r="BM729" t="s">
        <v>14029</v>
      </c>
      <c r="BN729" t="s">
        <v>74</v>
      </c>
      <c r="BO729" t="s">
        <v>74</v>
      </c>
      <c r="BP729" t="s">
        <v>74</v>
      </c>
      <c r="BQ729" t="s">
        <v>74</v>
      </c>
      <c r="BR729" t="s">
        <v>106</v>
      </c>
      <c r="BS729" t="s">
        <v>14030</v>
      </c>
      <c r="BT729" t="str">
        <f>HYPERLINK("https%3A%2F%2Fwww.webofscience.com%2Fwos%2Fwoscc%2Ffull-record%2FWOS:000378101200006","View Full Record in Web of Science")</f>
        <v>View Full Record in Web of Science</v>
      </c>
    </row>
    <row r="730" spans="1:72" x14ac:dyDescent="0.15">
      <c r="A730" t="s">
        <v>72</v>
      </c>
      <c r="B730" t="s">
        <v>14031</v>
      </c>
      <c r="C730" t="s">
        <v>74</v>
      </c>
      <c r="D730" t="s">
        <v>74</v>
      </c>
      <c r="E730" t="s">
        <v>74</v>
      </c>
      <c r="F730" t="s">
        <v>14032</v>
      </c>
      <c r="G730" t="s">
        <v>74</v>
      </c>
      <c r="H730" t="s">
        <v>74</v>
      </c>
      <c r="I730" t="s">
        <v>14033</v>
      </c>
      <c r="J730" t="s">
        <v>3144</v>
      </c>
      <c r="K730" t="s">
        <v>74</v>
      </c>
      <c r="L730" t="s">
        <v>74</v>
      </c>
      <c r="M730" t="s">
        <v>78</v>
      </c>
      <c r="N730" t="s">
        <v>949</v>
      </c>
      <c r="O730" t="s">
        <v>74</v>
      </c>
      <c r="P730" t="s">
        <v>74</v>
      </c>
      <c r="Q730" t="s">
        <v>74</v>
      </c>
      <c r="R730" t="s">
        <v>74</v>
      </c>
      <c r="S730" t="s">
        <v>74</v>
      </c>
      <c r="T730" t="s">
        <v>74</v>
      </c>
      <c r="U730" t="s">
        <v>14034</v>
      </c>
      <c r="V730" t="s">
        <v>14035</v>
      </c>
      <c r="W730" t="s">
        <v>14036</v>
      </c>
      <c r="X730" t="s">
        <v>6863</v>
      </c>
      <c r="Y730" t="s">
        <v>14037</v>
      </c>
      <c r="Z730" t="s">
        <v>14038</v>
      </c>
      <c r="AA730" t="s">
        <v>14039</v>
      </c>
      <c r="AB730" t="s">
        <v>14040</v>
      </c>
      <c r="AC730" t="s">
        <v>14041</v>
      </c>
      <c r="AD730" t="s">
        <v>14041</v>
      </c>
      <c r="AE730" t="s">
        <v>14042</v>
      </c>
      <c r="AF730" t="s">
        <v>74</v>
      </c>
      <c r="AG730">
        <v>87</v>
      </c>
      <c r="AH730">
        <v>7</v>
      </c>
      <c r="AI730">
        <v>8</v>
      </c>
      <c r="AJ730">
        <v>1</v>
      </c>
      <c r="AK730">
        <v>31</v>
      </c>
      <c r="AL730" t="s">
        <v>1829</v>
      </c>
      <c r="AM730" t="s">
        <v>679</v>
      </c>
      <c r="AN730" t="s">
        <v>1830</v>
      </c>
      <c r="AO730" t="s">
        <v>3155</v>
      </c>
      <c r="AP730" t="s">
        <v>14043</v>
      </c>
      <c r="AQ730" t="s">
        <v>74</v>
      </c>
      <c r="AR730" t="s">
        <v>3156</v>
      </c>
      <c r="AS730" t="s">
        <v>3157</v>
      </c>
      <c r="AT730" t="s">
        <v>14027</v>
      </c>
      <c r="AU730">
        <v>2016</v>
      </c>
      <c r="AV730">
        <v>141</v>
      </c>
      <c r="AW730" t="s">
        <v>74</v>
      </c>
      <c r="AX730" t="s">
        <v>74</v>
      </c>
      <c r="AY730" t="s">
        <v>74</v>
      </c>
      <c r="AZ730" t="s">
        <v>74</v>
      </c>
      <c r="BA730" t="s">
        <v>74</v>
      </c>
      <c r="BB730">
        <v>96</v>
      </c>
      <c r="BC730">
        <v>108</v>
      </c>
      <c r="BD730" t="s">
        <v>74</v>
      </c>
      <c r="BE730" t="s">
        <v>14044</v>
      </c>
      <c r="BF730" t="str">
        <f>HYPERLINK("http://dx.doi.org/10.1016/j.pocean.2015.12.001","http://dx.doi.org/10.1016/j.pocean.2015.12.001")</f>
        <v>http://dx.doi.org/10.1016/j.pocean.2015.12.001</v>
      </c>
      <c r="BG730" t="s">
        <v>74</v>
      </c>
      <c r="BH730" t="s">
        <v>74</v>
      </c>
      <c r="BI730">
        <v>13</v>
      </c>
      <c r="BJ730" t="s">
        <v>361</v>
      </c>
      <c r="BK730" t="s">
        <v>102</v>
      </c>
      <c r="BL730" t="s">
        <v>361</v>
      </c>
      <c r="BM730" t="s">
        <v>14029</v>
      </c>
      <c r="BN730" t="s">
        <v>74</v>
      </c>
      <c r="BO730" t="s">
        <v>222</v>
      </c>
      <c r="BP730" t="s">
        <v>74</v>
      </c>
      <c r="BQ730" t="s">
        <v>74</v>
      </c>
      <c r="BR730" t="s">
        <v>106</v>
      </c>
      <c r="BS730" t="s">
        <v>14045</v>
      </c>
      <c r="BT730" t="str">
        <f>HYPERLINK("https%3A%2F%2Fwww.webofscience.com%2Fwos%2Fwoscc%2Ffull-record%2FWOS:000378101200007","View Full Record in Web of Science")</f>
        <v>View Full Record in Web of Science</v>
      </c>
    </row>
    <row r="731" spans="1:72" x14ac:dyDescent="0.15">
      <c r="A731" t="s">
        <v>72</v>
      </c>
      <c r="B731" t="s">
        <v>14046</v>
      </c>
      <c r="C731" t="s">
        <v>74</v>
      </c>
      <c r="D731" t="s">
        <v>74</v>
      </c>
      <c r="E731" t="s">
        <v>74</v>
      </c>
      <c r="F731" t="s">
        <v>14047</v>
      </c>
      <c r="G731" t="s">
        <v>74</v>
      </c>
      <c r="H731" t="s">
        <v>74</v>
      </c>
      <c r="I731" t="s">
        <v>14048</v>
      </c>
      <c r="J731" t="s">
        <v>3144</v>
      </c>
      <c r="K731" t="s">
        <v>74</v>
      </c>
      <c r="L731" t="s">
        <v>74</v>
      </c>
      <c r="M731" t="s">
        <v>78</v>
      </c>
      <c r="N731" t="s">
        <v>949</v>
      </c>
      <c r="O731" t="s">
        <v>74</v>
      </c>
      <c r="P731" t="s">
        <v>74</v>
      </c>
      <c r="Q731" t="s">
        <v>74</v>
      </c>
      <c r="R731" t="s">
        <v>74</v>
      </c>
      <c r="S731" t="s">
        <v>74</v>
      </c>
      <c r="T731" t="s">
        <v>74</v>
      </c>
      <c r="U731" t="s">
        <v>14049</v>
      </c>
      <c r="V731" t="s">
        <v>14050</v>
      </c>
      <c r="W731" t="s">
        <v>14051</v>
      </c>
      <c r="X731" t="s">
        <v>14052</v>
      </c>
      <c r="Y731" t="s">
        <v>14053</v>
      </c>
      <c r="Z731" t="s">
        <v>74</v>
      </c>
      <c r="AA731" t="s">
        <v>14054</v>
      </c>
      <c r="AB731" t="s">
        <v>14055</v>
      </c>
      <c r="AC731" t="s">
        <v>14056</v>
      </c>
      <c r="AD731" t="s">
        <v>14057</v>
      </c>
      <c r="AE731" t="s">
        <v>14058</v>
      </c>
      <c r="AF731" t="s">
        <v>74</v>
      </c>
      <c r="AG731">
        <v>62</v>
      </c>
      <c r="AH731">
        <v>0</v>
      </c>
      <c r="AI731">
        <v>0</v>
      </c>
      <c r="AJ731">
        <v>2</v>
      </c>
      <c r="AK731">
        <v>22</v>
      </c>
      <c r="AL731" t="s">
        <v>1829</v>
      </c>
      <c r="AM731" t="s">
        <v>679</v>
      </c>
      <c r="AN731" t="s">
        <v>1830</v>
      </c>
      <c r="AO731" t="s">
        <v>3155</v>
      </c>
      <c r="AP731" t="s">
        <v>74</v>
      </c>
      <c r="AQ731" t="s">
        <v>74</v>
      </c>
      <c r="AR731" t="s">
        <v>3156</v>
      </c>
      <c r="AS731" t="s">
        <v>3157</v>
      </c>
      <c r="AT731" t="s">
        <v>14027</v>
      </c>
      <c r="AU731">
        <v>2016</v>
      </c>
      <c r="AV731">
        <v>141</v>
      </c>
      <c r="AW731" t="s">
        <v>74</v>
      </c>
      <c r="AX731" t="s">
        <v>74</v>
      </c>
      <c r="AY731" t="s">
        <v>74</v>
      </c>
      <c r="AZ731" t="s">
        <v>74</v>
      </c>
      <c r="BA731" t="s">
        <v>74</v>
      </c>
      <c r="BB731">
        <v>153</v>
      </c>
      <c r="BC731">
        <v>167</v>
      </c>
      <c r="BD731" t="s">
        <v>74</v>
      </c>
      <c r="BE731" t="s">
        <v>14059</v>
      </c>
      <c r="BF731" t="str">
        <f>HYPERLINK("http://dx.doi.org/10.1016/j.pocean.2015.12.005","http://dx.doi.org/10.1016/j.pocean.2015.12.005")</f>
        <v>http://dx.doi.org/10.1016/j.pocean.2015.12.005</v>
      </c>
      <c r="BG731" t="s">
        <v>74</v>
      </c>
      <c r="BH731" t="s">
        <v>74</v>
      </c>
      <c r="BI731">
        <v>15</v>
      </c>
      <c r="BJ731" t="s">
        <v>361</v>
      </c>
      <c r="BK731" t="s">
        <v>102</v>
      </c>
      <c r="BL731" t="s">
        <v>361</v>
      </c>
      <c r="BM731" t="s">
        <v>14029</v>
      </c>
      <c r="BN731" t="s">
        <v>74</v>
      </c>
      <c r="BO731" t="s">
        <v>1412</v>
      </c>
      <c r="BP731" t="s">
        <v>74</v>
      </c>
      <c r="BQ731" t="s">
        <v>74</v>
      </c>
      <c r="BR731" t="s">
        <v>106</v>
      </c>
      <c r="BS731" t="s">
        <v>14060</v>
      </c>
      <c r="BT731" t="str">
        <f>HYPERLINK("https%3A%2F%2Fwww.webofscience.com%2Fwos%2Fwoscc%2Ffull-record%2FWOS:000378101200011","View Full Record in Web of Science")</f>
        <v>View Full Record in Web of Science</v>
      </c>
    </row>
    <row r="732" spans="1:72" x14ac:dyDescent="0.15">
      <c r="A732" t="s">
        <v>72</v>
      </c>
      <c r="B732" t="s">
        <v>14061</v>
      </c>
      <c r="C732" t="s">
        <v>74</v>
      </c>
      <c r="D732" t="s">
        <v>74</v>
      </c>
      <c r="E732" t="s">
        <v>74</v>
      </c>
      <c r="F732" t="s">
        <v>14062</v>
      </c>
      <c r="G732" t="s">
        <v>74</v>
      </c>
      <c r="H732" t="s">
        <v>74</v>
      </c>
      <c r="I732" t="s">
        <v>14063</v>
      </c>
      <c r="J732" t="s">
        <v>14064</v>
      </c>
      <c r="K732" t="s">
        <v>74</v>
      </c>
      <c r="L732" t="s">
        <v>74</v>
      </c>
      <c r="M732" t="s">
        <v>78</v>
      </c>
      <c r="N732" t="s">
        <v>79</v>
      </c>
      <c r="O732" t="s">
        <v>74</v>
      </c>
      <c r="P732" t="s">
        <v>74</v>
      </c>
      <c r="Q732" t="s">
        <v>74</v>
      </c>
      <c r="R732" t="s">
        <v>74</v>
      </c>
      <c r="S732" t="s">
        <v>74</v>
      </c>
      <c r="T732" t="s">
        <v>74</v>
      </c>
      <c r="U732" t="s">
        <v>74</v>
      </c>
      <c r="V732" t="s">
        <v>14065</v>
      </c>
      <c r="W732" t="s">
        <v>14066</v>
      </c>
      <c r="X732" t="s">
        <v>14067</v>
      </c>
      <c r="Y732" t="s">
        <v>14068</v>
      </c>
      <c r="Z732" t="s">
        <v>14069</v>
      </c>
      <c r="AA732" t="s">
        <v>14070</v>
      </c>
      <c r="AB732" t="s">
        <v>14071</v>
      </c>
      <c r="AC732" t="s">
        <v>74</v>
      </c>
      <c r="AD732" t="s">
        <v>74</v>
      </c>
      <c r="AE732" t="s">
        <v>74</v>
      </c>
      <c r="AF732" t="s">
        <v>74</v>
      </c>
      <c r="AG732">
        <v>14</v>
      </c>
      <c r="AH732">
        <v>2</v>
      </c>
      <c r="AI732">
        <v>2</v>
      </c>
      <c r="AJ732">
        <v>0</v>
      </c>
      <c r="AK732">
        <v>1</v>
      </c>
      <c r="AL732" t="s">
        <v>6280</v>
      </c>
      <c r="AM732" t="s">
        <v>6281</v>
      </c>
      <c r="AN732" t="s">
        <v>6282</v>
      </c>
      <c r="AO732" t="s">
        <v>14072</v>
      </c>
      <c r="AP732" t="s">
        <v>14073</v>
      </c>
      <c r="AQ732" t="s">
        <v>74</v>
      </c>
      <c r="AR732" t="s">
        <v>14074</v>
      </c>
      <c r="AS732" t="s">
        <v>14075</v>
      </c>
      <c r="AT732" t="s">
        <v>14027</v>
      </c>
      <c r="AU732">
        <v>2016</v>
      </c>
      <c r="AV732">
        <v>43</v>
      </c>
      <c r="AW732">
        <v>2</v>
      </c>
      <c r="AX732" t="s">
        <v>74</v>
      </c>
      <c r="AY732" t="s">
        <v>74</v>
      </c>
      <c r="AZ732" t="s">
        <v>74</v>
      </c>
      <c r="BA732" t="s">
        <v>74</v>
      </c>
      <c r="BB732">
        <v>80</v>
      </c>
      <c r="BC732">
        <v>86</v>
      </c>
      <c r="BD732" t="s">
        <v>74</v>
      </c>
      <c r="BE732" t="s">
        <v>14076</v>
      </c>
      <c r="BF732" t="str">
        <f>HYPERLINK("http://dx.doi.org/10.3103/S106833561602007X","http://dx.doi.org/10.3103/S106833561602007X")</f>
        <v>http://dx.doi.org/10.3103/S106833561602007X</v>
      </c>
      <c r="BG732" t="s">
        <v>74</v>
      </c>
      <c r="BH732" t="s">
        <v>74</v>
      </c>
      <c r="BI732">
        <v>7</v>
      </c>
      <c r="BJ732" t="s">
        <v>14077</v>
      </c>
      <c r="BK732" t="s">
        <v>102</v>
      </c>
      <c r="BL732" t="s">
        <v>14078</v>
      </c>
      <c r="BM732" t="s">
        <v>14079</v>
      </c>
      <c r="BN732" t="s">
        <v>74</v>
      </c>
      <c r="BO732" t="s">
        <v>74</v>
      </c>
      <c r="BP732" t="s">
        <v>74</v>
      </c>
      <c r="BQ732" t="s">
        <v>74</v>
      </c>
      <c r="BR732" t="s">
        <v>106</v>
      </c>
      <c r="BS732" t="s">
        <v>14080</v>
      </c>
      <c r="BT732" t="str">
        <f>HYPERLINK("https%3A%2F%2Fwww.webofscience.com%2Fwos%2Fwoscc%2Ffull-record%2FWOS:000373401600007","View Full Record in Web of Science")</f>
        <v>View Full Record in Web of Science</v>
      </c>
    </row>
    <row r="733" spans="1:72" x14ac:dyDescent="0.15">
      <c r="A733" t="s">
        <v>72</v>
      </c>
      <c r="B733" t="s">
        <v>14081</v>
      </c>
      <c r="C733" t="s">
        <v>74</v>
      </c>
      <c r="D733" t="s">
        <v>74</v>
      </c>
      <c r="E733" t="s">
        <v>74</v>
      </c>
      <c r="F733" t="s">
        <v>14082</v>
      </c>
      <c r="G733" t="s">
        <v>74</v>
      </c>
      <c r="H733" t="s">
        <v>74</v>
      </c>
      <c r="I733" t="s">
        <v>14083</v>
      </c>
      <c r="J733" t="s">
        <v>7977</v>
      </c>
      <c r="K733" t="s">
        <v>74</v>
      </c>
      <c r="L733" t="s">
        <v>74</v>
      </c>
      <c r="M733" t="s">
        <v>78</v>
      </c>
      <c r="N733" t="s">
        <v>949</v>
      </c>
      <c r="O733" t="s">
        <v>74</v>
      </c>
      <c r="P733" t="s">
        <v>74</v>
      </c>
      <c r="Q733" t="s">
        <v>74</v>
      </c>
      <c r="R733" t="s">
        <v>74</v>
      </c>
      <c r="S733" t="s">
        <v>74</v>
      </c>
      <c r="T733" t="s">
        <v>14084</v>
      </c>
      <c r="U733" t="s">
        <v>14085</v>
      </c>
      <c r="V733" t="s">
        <v>14086</v>
      </c>
      <c r="W733" t="s">
        <v>14087</v>
      </c>
      <c r="X733" t="s">
        <v>14088</v>
      </c>
      <c r="Y733" t="s">
        <v>14089</v>
      </c>
      <c r="Z733" t="s">
        <v>74</v>
      </c>
      <c r="AA733" t="s">
        <v>14090</v>
      </c>
      <c r="AB733" t="s">
        <v>14091</v>
      </c>
      <c r="AC733" t="s">
        <v>14092</v>
      </c>
      <c r="AD733" t="s">
        <v>14093</v>
      </c>
      <c r="AE733" t="s">
        <v>14094</v>
      </c>
      <c r="AF733" t="s">
        <v>74</v>
      </c>
      <c r="AG733">
        <v>212</v>
      </c>
      <c r="AH733">
        <v>44</v>
      </c>
      <c r="AI733">
        <v>52</v>
      </c>
      <c r="AJ733">
        <v>7</v>
      </c>
      <c r="AK733">
        <v>118</v>
      </c>
      <c r="AL733" t="s">
        <v>626</v>
      </c>
      <c r="AM733" t="s">
        <v>583</v>
      </c>
      <c r="AN733" t="s">
        <v>627</v>
      </c>
      <c r="AO733" t="s">
        <v>7990</v>
      </c>
      <c r="AP733" t="s">
        <v>7991</v>
      </c>
      <c r="AQ733" t="s">
        <v>74</v>
      </c>
      <c r="AR733" t="s">
        <v>7992</v>
      </c>
      <c r="AS733" t="s">
        <v>7993</v>
      </c>
      <c r="AT733" t="s">
        <v>14027</v>
      </c>
      <c r="AU733">
        <v>2016</v>
      </c>
      <c r="AV733">
        <v>153</v>
      </c>
      <c r="AW733" t="s">
        <v>74</v>
      </c>
      <c r="AX733" t="s">
        <v>74</v>
      </c>
      <c r="AY733" t="s">
        <v>74</v>
      </c>
      <c r="AZ733" t="s">
        <v>74</v>
      </c>
      <c r="BA733" t="s">
        <v>74</v>
      </c>
      <c r="BB733">
        <v>301</v>
      </c>
      <c r="BC733">
        <v>334</v>
      </c>
      <c r="BD733" t="s">
        <v>74</v>
      </c>
      <c r="BE733" t="s">
        <v>14095</v>
      </c>
      <c r="BF733" t="str">
        <f>HYPERLINK("http://dx.doi.org/10.1016/j.earscirev.2015.10.001","http://dx.doi.org/10.1016/j.earscirev.2015.10.001")</f>
        <v>http://dx.doi.org/10.1016/j.earscirev.2015.10.001</v>
      </c>
      <c r="BG733" t="s">
        <v>74</v>
      </c>
      <c r="BH733" t="s">
        <v>74</v>
      </c>
      <c r="BI733">
        <v>34</v>
      </c>
      <c r="BJ733" t="s">
        <v>269</v>
      </c>
      <c r="BK733" t="s">
        <v>102</v>
      </c>
      <c r="BL733" t="s">
        <v>270</v>
      </c>
      <c r="BM733" t="s">
        <v>14096</v>
      </c>
      <c r="BN733" t="s">
        <v>74</v>
      </c>
      <c r="BO733" t="s">
        <v>222</v>
      </c>
      <c r="BP733" t="s">
        <v>74</v>
      </c>
      <c r="BQ733" t="s">
        <v>74</v>
      </c>
      <c r="BR733" t="s">
        <v>106</v>
      </c>
      <c r="BS733" t="s">
        <v>14097</v>
      </c>
      <c r="BT733" t="str">
        <f>HYPERLINK("https%3A%2F%2Fwww.webofscience.com%2Fwos%2Fwoscc%2Ffull-record%2FWOS:000372943200013","View Full Record in Web of Science")</f>
        <v>View Full Record in Web of Science</v>
      </c>
    </row>
    <row r="734" spans="1:72" x14ac:dyDescent="0.15">
      <c r="A734" t="s">
        <v>72</v>
      </c>
      <c r="B734" t="s">
        <v>14098</v>
      </c>
      <c r="C734" t="s">
        <v>74</v>
      </c>
      <c r="D734" t="s">
        <v>74</v>
      </c>
      <c r="E734" t="s">
        <v>74</v>
      </c>
      <c r="F734" t="s">
        <v>14099</v>
      </c>
      <c r="G734" t="s">
        <v>74</v>
      </c>
      <c r="H734" t="s">
        <v>74</v>
      </c>
      <c r="I734" t="s">
        <v>14100</v>
      </c>
      <c r="J734" t="s">
        <v>6103</v>
      </c>
      <c r="K734" t="s">
        <v>74</v>
      </c>
      <c r="L734" t="s">
        <v>74</v>
      </c>
      <c r="M734" t="s">
        <v>78</v>
      </c>
      <c r="N734" t="s">
        <v>79</v>
      </c>
      <c r="O734" t="s">
        <v>74</v>
      </c>
      <c r="P734" t="s">
        <v>74</v>
      </c>
      <c r="Q734" t="s">
        <v>74</v>
      </c>
      <c r="R734" t="s">
        <v>74</v>
      </c>
      <c r="S734" t="s">
        <v>74</v>
      </c>
      <c r="T734" t="s">
        <v>14101</v>
      </c>
      <c r="U734" t="s">
        <v>14102</v>
      </c>
      <c r="V734" t="s">
        <v>14103</v>
      </c>
      <c r="W734" t="s">
        <v>14104</v>
      </c>
      <c r="X734" t="s">
        <v>14105</v>
      </c>
      <c r="Y734" t="s">
        <v>14106</v>
      </c>
      <c r="Z734" t="s">
        <v>14107</v>
      </c>
      <c r="AA734" t="s">
        <v>14108</v>
      </c>
      <c r="AB734" t="s">
        <v>14109</v>
      </c>
      <c r="AC734" t="s">
        <v>14110</v>
      </c>
      <c r="AD734" t="s">
        <v>14111</v>
      </c>
      <c r="AE734" t="s">
        <v>14112</v>
      </c>
      <c r="AF734" t="s">
        <v>74</v>
      </c>
      <c r="AG734">
        <v>83</v>
      </c>
      <c r="AH734">
        <v>27</v>
      </c>
      <c r="AI734">
        <v>30</v>
      </c>
      <c r="AJ734">
        <v>1</v>
      </c>
      <c r="AK734">
        <v>25</v>
      </c>
      <c r="AL734" t="s">
        <v>92</v>
      </c>
      <c r="AM734" t="s">
        <v>93</v>
      </c>
      <c r="AN734" t="s">
        <v>94</v>
      </c>
      <c r="AO734" t="s">
        <v>74</v>
      </c>
      <c r="AP734" t="s">
        <v>6115</v>
      </c>
      <c r="AQ734" t="s">
        <v>74</v>
      </c>
      <c r="AR734" t="s">
        <v>6116</v>
      </c>
      <c r="AS734" t="s">
        <v>6117</v>
      </c>
      <c r="AT734" t="s">
        <v>14027</v>
      </c>
      <c r="AU734">
        <v>2016</v>
      </c>
      <c r="AV734">
        <v>17</v>
      </c>
      <c r="AW734">
        <v>2</v>
      </c>
      <c r="AX734" t="s">
        <v>74</v>
      </c>
      <c r="AY734" t="s">
        <v>74</v>
      </c>
      <c r="AZ734" t="s">
        <v>74</v>
      </c>
      <c r="BA734" t="s">
        <v>74</v>
      </c>
      <c r="BB734">
        <v>395</v>
      </c>
      <c r="BC734">
        <v>409</v>
      </c>
      <c r="BD734" t="s">
        <v>74</v>
      </c>
      <c r="BE734" t="s">
        <v>14113</v>
      </c>
      <c r="BF734" t="str">
        <f>HYPERLINK("http://dx.doi.org/10.1002/2015GC006117","http://dx.doi.org/10.1002/2015GC006117")</f>
        <v>http://dx.doi.org/10.1002/2015GC006117</v>
      </c>
      <c r="BG734" t="s">
        <v>74</v>
      </c>
      <c r="BH734" t="s">
        <v>74</v>
      </c>
      <c r="BI734">
        <v>15</v>
      </c>
      <c r="BJ734" t="s">
        <v>727</v>
      </c>
      <c r="BK734" t="s">
        <v>102</v>
      </c>
      <c r="BL734" t="s">
        <v>727</v>
      </c>
      <c r="BM734" t="s">
        <v>14114</v>
      </c>
      <c r="BN734" t="s">
        <v>74</v>
      </c>
      <c r="BO734" t="s">
        <v>420</v>
      </c>
      <c r="BP734" t="s">
        <v>74</v>
      </c>
      <c r="BQ734" t="s">
        <v>74</v>
      </c>
      <c r="BR734" t="s">
        <v>106</v>
      </c>
      <c r="BS734" t="s">
        <v>14115</v>
      </c>
      <c r="BT734" t="str">
        <f>HYPERLINK("https%3A%2F%2Fwww.webofscience.com%2Fwos%2Fwoscc%2Ffull-record%2FWOS:000373070100009","View Full Record in Web of Science")</f>
        <v>View Full Record in Web of Science</v>
      </c>
    </row>
    <row r="735" spans="1:72" x14ac:dyDescent="0.15">
      <c r="A735" t="s">
        <v>72</v>
      </c>
      <c r="B735" t="s">
        <v>14116</v>
      </c>
      <c r="C735" t="s">
        <v>74</v>
      </c>
      <c r="D735" t="s">
        <v>74</v>
      </c>
      <c r="E735" t="s">
        <v>74</v>
      </c>
      <c r="F735" t="s">
        <v>14117</v>
      </c>
      <c r="G735" t="s">
        <v>74</v>
      </c>
      <c r="H735" t="s">
        <v>74</v>
      </c>
      <c r="I735" t="s">
        <v>14118</v>
      </c>
      <c r="J735" t="s">
        <v>77</v>
      </c>
      <c r="K735" t="s">
        <v>74</v>
      </c>
      <c r="L735" t="s">
        <v>74</v>
      </c>
      <c r="M735" t="s">
        <v>78</v>
      </c>
      <c r="N735" t="s">
        <v>79</v>
      </c>
      <c r="O735" t="s">
        <v>74</v>
      </c>
      <c r="P735" t="s">
        <v>74</v>
      </c>
      <c r="Q735" t="s">
        <v>74</v>
      </c>
      <c r="R735" t="s">
        <v>74</v>
      </c>
      <c r="S735" t="s">
        <v>74</v>
      </c>
      <c r="T735" t="s">
        <v>14119</v>
      </c>
      <c r="U735" t="s">
        <v>14120</v>
      </c>
      <c r="V735" t="s">
        <v>14121</v>
      </c>
      <c r="W735" t="s">
        <v>14122</v>
      </c>
      <c r="X735" t="s">
        <v>14123</v>
      </c>
      <c r="Y735" t="s">
        <v>14124</v>
      </c>
      <c r="Z735" t="s">
        <v>14125</v>
      </c>
      <c r="AA735" t="s">
        <v>14126</v>
      </c>
      <c r="AB735" t="s">
        <v>14127</v>
      </c>
      <c r="AC735" t="s">
        <v>14128</v>
      </c>
      <c r="AD735" t="s">
        <v>14129</v>
      </c>
      <c r="AE735" t="s">
        <v>14130</v>
      </c>
      <c r="AF735" t="s">
        <v>74</v>
      </c>
      <c r="AG735">
        <v>61</v>
      </c>
      <c r="AH735">
        <v>23</v>
      </c>
      <c r="AI735">
        <v>24</v>
      </c>
      <c r="AJ735">
        <v>2</v>
      </c>
      <c r="AK735">
        <v>53</v>
      </c>
      <c r="AL735" t="s">
        <v>92</v>
      </c>
      <c r="AM735" t="s">
        <v>93</v>
      </c>
      <c r="AN735" t="s">
        <v>94</v>
      </c>
      <c r="AO735" t="s">
        <v>95</v>
      </c>
      <c r="AP735" t="s">
        <v>96</v>
      </c>
      <c r="AQ735" t="s">
        <v>74</v>
      </c>
      <c r="AR735" t="s">
        <v>97</v>
      </c>
      <c r="AS735" t="s">
        <v>98</v>
      </c>
      <c r="AT735" t="s">
        <v>14027</v>
      </c>
      <c r="AU735">
        <v>2016</v>
      </c>
      <c r="AV735">
        <v>30</v>
      </c>
      <c r="AW735">
        <v>2</v>
      </c>
      <c r="AX735" t="s">
        <v>74</v>
      </c>
      <c r="AY735" t="s">
        <v>74</v>
      </c>
      <c r="AZ735" t="s">
        <v>74</v>
      </c>
      <c r="BA735" t="s">
        <v>74</v>
      </c>
      <c r="BB735">
        <v>105</v>
      </c>
      <c r="BC735">
        <v>119</v>
      </c>
      <c r="BD735" t="s">
        <v>74</v>
      </c>
      <c r="BE735" t="s">
        <v>14131</v>
      </c>
      <c r="BF735" t="str">
        <f>HYPERLINK("http://dx.doi.org/10.1002/2015GB005275","http://dx.doi.org/10.1002/2015GB005275")</f>
        <v>http://dx.doi.org/10.1002/2015GB005275</v>
      </c>
      <c r="BG735" t="s">
        <v>74</v>
      </c>
      <c r="BH735" t="s">
        <v>74</v>
      </c>
      <c r="BI735">
        <v>15</v>
      </c>
      <c r="BJ735" t="s">
        <v>101</v>
      </c>
      <c r="BK735" t="s">
        <v>102</v>
      </c>
      <c r="BL735" t="s">
        <v>103</v>
      </c>
      <c r="BM735" t="s">
        <v>14132</v>
      </c>
      <c r="BN735" t="s">
        <v>74</v>
      </c>
      <c r="BO735" t="s">
        <v>363</v>
      </c>
      <c r="BP735" t="s">
        <v>74</v>
      </c>
      <c r="BQ735" t="s">
        <v>74</v>
      </c>
      <c r="BR735" t="s">
        <v>106</v>
      </c>
      <c r="BS735" t="s">
        <v>14133</v>
      </c>
      <c r="BT735" t="str">
        <f>HYPERLINK("https%3A%2F%2Fwww.webofscience.com%2Fwos%2Fwoscc%2Ffull-record%2FWOS:000372963900002","View Full Record in Web of Science")</f>
        <v>View Full Record in Web of Science</v>
      </c>
    </row>
    <row r="736" spans="1:72" x14ac:dyDescent="0.15">
      <c r="A736" t="s">
        <v>72</v>
      </c>
      <c r="B736" t="s">
        <v>14134</v>
      </c>
      <c r="C736" t="s">
        <v>74</v>
      </c>
      <c r="D736" t="s">
        <v>74</v>
      </c>
      <c r="E736" t="s">
        <v>74</v>
      </c>
      <c r="F736" t="s">
        <v>14135</v>
      </c>
      <c r="G736" t="s">
        <v>74</v>
      </c>
      <c r="H736" t="s">
        <v>74</v>
      </c>
      <c r="I736" t="s">
        <v>14136</v>
      </c>
      <c r="J736" t="s">
        <v>77</v>
      </c>
      <c r="K736" t="s">
        <v>74</v>
      </c>
      <c r="L736" t="s">
        <v>74</v>
      </c>
      <c r="M736" t="s">
        <v>78</v>
      </c>
      <c r="N736" t="s">
        <v>79</v>
      </c>
      <c r="O736" t="s">
        <v>74</v>
      </c>
      <c r="P736" t="s">
        <v>74</v>
      </c>
      <c r="Q736" t="s">
        <v>74</v>
      </c>
      <c r="R736" t="s">
        <v>74</v>
      </c>
      <c r="S736" t="s">
        <v>74</v>
      </c>
      <c r="T736" t="s">
        <v>14137</v>
      </c>
      <c r="U736" t="s">
        <v>14138</v>
      </c>
      <c r="V736" t="s">
        <v>14139</v>
      </c>
      <c r="W736" t="s">
        <v>14140</v>
      </c>
      <c r="X736" t="s">
        <v>14141</v>
      </c>
      <c r="Y736" t="s">
        <v>14142</v>
      </c>
      <c r="Z736" t="s">
        <v>8624</v>
      </c>
      <c r="AA736" t="s">
        <v>14143</v>
      </c>
      <c r="AB736" t="s">
        <v>14144</v>
      </c>
      <c r="AC736" t="s">
        <v>14145</v>
      </c>
      <c r="AD736" t="s">
        <v>14146</v>
      </c>
      <c r="AE736" t="s">
        <v>14147</v>
      </c>
      <c r="AF736" t="s">
        <v>74</v>
      </c>
      <c r="AG736">
        <v>56</v>
      </c>
      <c r="AH736">
        <v>8</v>
      </c>
      <c r="AI736">
        <v>8</v>
      </c>
      <c r="AJ736">
        <v>2</v>
      </c>
      <c r="AK736">
        <v>29</v>
      </c>
      <c r="AL736" t="s">
        <v>92</v>
      </c>
      <c r="AM736" t="s">
        <v>93</v>
      </c>
      <c r="AN736" t="s">
        <v>94</v>
      </c>
      <c r="AO736" t="s">
        <v>95</v>
      </c>
      <c r="AP736" t="s">
        <v>96</v>
      </c>
      <c r="AQ736" t="s">
        <v>74</v>
      </c>
      <c r="AR736" t="s">
        <v>97</v>
      </c>
      <c r="AS736" t="s">
        <v>98</v>
      </c>
      <c r="AT736" t="s">
        <v>14027</v>
      </c>
      <c r="AU736">
        <v>2016</v>
      </c>
      <c r="AV736">
        <v>30</v>
      </c>
      <c r="AW736">
        <v>2</v>
      </c>
      <c r="AX736" t="s">
        <v>74</v>
      </c>
      <c r="AY736" t="s">
        <v>74</v>
      </c>
      <c r="AZ736" t="s">
        <v>74</v>
      </c>
      <c r="BA736" t="s">
        <v>74</v>
      </c>
      <c r="BB736">
        <v>211</v>
      </c>
      <c r="BC736">
        <v>218</v>
      </c>
      <c r="BD736" t="s">
        <v>74</v>
      </c>
      <c r="BE736" t="s">
        <v>14148</v>
      </c>
      <c r="BF736" t="str">
        <f>HYPERLINK("http://dx.doi.org/10.1002/2015GB005257","http://dx.doi.org/10.1002/2015GB005257")</f>
        <v>http://dx.doi.org/10.1002/2015GB005257</v>
      </c>
      <c r="BG736" t="s">
        <v>74</v>
      </c>
      <c r="BH736" t="s">
        <v>74</v>
      </c>
      <c r="BI736">
        <v>8</v>
      </c>
      <c r="BJ736" t="s">
        <v>101</v>
      </c>
      <c r="BK736" t="s">
        <v>102</v>
      </c>
      <c r="BL736" t="s">
        <v>103</v>
      </c>
      <c r="BM736" t="s">
        <v>14132</v>
      </c>
      <c r="BN736" t="s">
        <v>74</v>
      </c>
      <c r="BO736" t="s">
        <v>1745</v>
      </c>
      <c r="BP736" t="s">
        <v>74</v>
      </c>
      <c r="BQ736" t="s">
        <v>74</v>
      </c>
      <c r="BR736" t="s">
        <v>106</v>
      </c>
      <c r="BS736" t="s">
        <v>14149</v>
      </c>
      <c r="BT736" t="str">
        <f>HYPERLINK("https%3A%2F%2Fwww.webofscience.com%2Fwos%2Fwoscc%2Ffull-record%2FWOS:000372963900008","View Full Record in Web of Science")</f>
        <v>View Full Record in Web of Science</v>
      </c>
    </row>
    <row r="737" spans="1:72" x14ac:dyDescent="0.15">
      <c r="A737" t="s">
        <v>72</v>
      </c>
      <c r="B737" t="s">
        <v>14150</v>
      </c>
      <c r="C737" t="s">
        <v>74</v>
      </c>
      <c r="D737" t="s">
        <v>74</v>
      </c>
      <c r="E737" t="s">
        <v>74</v>
      </c>
      <c r="F737" t="s">
        <v>14151</v>
      </c>
      <c r="G737" t="s">
        <v>74</v>
      </c>
      <c r="H737" t="s">
        <v>74</v>
      </c>
      <c r="I737" t="s">
        <v>14152</v>
      </c>
      <c r="J737" t="s">
        <v>2395</v>
      </c>
      <c r="K737" t="s">
        <v>74</v>
      </c>
      <c r="L737" t="s">
        <v>74</v>
      </c>
      <c r="M737" t="s">
        <v>78</v>
      </c>
      <c r="N737" t="s">
        <v>79</v>
      </c>
      <c r="O737" t="s">
        <v>74</v>
      </c>
      <c r="P737" t="s">
        <v>74</v>
      </c>
      <c r="Q737" t="s">
        <v>74</v>
      </c>
      <c r="R737" t="s">
        <v>74</v>
      </c>
      <c r="S737" t="s">
        <v>74</v>
      </c>
      <c r="T737" t="s">
        <v>14153</v>
      </c>
      <c r="U737" t="s">
        <v>14154</v>
      </c>
      <c r="V737" t="s">
        <v>14155</v>
      </c>
      <c r="W737" t="s">
        <v>14156</v>
      </c>
      <c r="X737" t="s">
        <v>14157</v>
      </c>
      <c r="Y737" t="s">
        <v>14158</v>
      </c>
      <c r="Z737" t="s">
        <v>14159</v>
      </c>
      <c r="AA737" t="s">
        <v>14160</v>
      </c>
      <c r="AB737" t="s">
        <v>14161</v>
      </c>
      <c r="AC737" t="s">
        <v>14162</v>
      </c>
      <c r="AD737" t="s">
        <v>14163</v>
      </c>
      <c r="AE737" t="s">
        <v>14164</v>
      </c>
      <c r="AF737" t="s">
        <v>74</v>
      </c>
      <c r="AG737">
        <v>46</v>
      </c>
      <c r="AH737">
        <v>12</v>
      </c>
      <c r="AI737">
        <v>15</v>
      </c>
      <c r="AJ737">
        <v>0</v>
      </c>
      <c r="AK737">
        <v>16</v>
      </c>
      <c r="AL737" t="s">
        <v>92</v>
      </c>
      <c r="AM737" t="s">
        <v>93</v>
      </c>
      <c r="AN737" t="s">
        <v>94</v>
      </c>
      <c r="AO737" t="s">
        <v>2407</v>
      </c>
      <c r="AP737" t="s">
        <v>2408</v>
      </c>
      <c r="AQ737" t="s">
        <v>74</v>
      </c>
      <c r="AR737" t="s">
        <v>2409</v>
      </c>
      <c r="AS737" t="s">
        <v>2410</v>
      </c>
      <c r="AT737" t="s">
        <v>14027</v>
      </c>
      <c r="AU737">
        <v>2016</v>
      </c>
      <c r="AV737">
        <v>121</v>
      </c>
      <c r="AW737">
        <v>2</v>
      </c>
      <c r="AX737" t="s">
        <v>74</v>
      </c>
      <c r="AY737" t="s">
        <v>74</v>
      </c>
      <c r="AZ737" t="s">
        <v>74</v>
      </c>
      <c r="BA737" t="s">
        <v>74</v>
      </c>
      <c r="BB737">
        <v>283</v>
      </c>
      <c r="BC737">
        <v>293</v>
      </c>
      <c r="BD737" t="s">
        <v>74</v>
      </c>
      <c r="BE737" t="s">
        <v>14165</v>
      </c>
      <c r="BF737" t="str">
        <f>HYPERLINK("http://dx.doi.org/10.1002/2015JF003670","http://dx.doi.org/10.1002/2015JF003670")</f>
        <v>http://dx.doi.org/10.1002/2015JF003670</v>
      </c>
      <c r="BG737" t="s">
        <v>74</v>
      </c>
      <c r="BH737" t="s">
        <v>74</v>
      </c>
      <c r="BI737">
        <v>11</v>
      </c>
      <c r="BJ737" t="s">
        <v>269</v>
      </c>
      <c r="BK737" t="s">
        <v>102</v>
      </c>
      <c r="BL737" t="s">
        <v>270</v>
      </c>
      <c r="BM737" t="s">
        <v>14166</v>
      </c>
      <c r="BN737" t="s">
        <v>74</v>
      </c>
      <c r="BO737" t="s">
        <v>420</v>
      </c>
      <c r="BP737" t="s">
        <v>74</v>
      </c>
      <c r="BQ737" t="s">
        <v>74</v>
      </c>
      <c r="BR737" t="s">
        <v>106</v>
      </c>
      <c r="BS737" t="s">
        <v>14167</v>
      </c>
      <c r="BT737" t="str">
        <f>HYPERLINK("https%3A%2F%2Fwww.webofscience.com%2Fwos%2Fwoscc%2Ffull-record%2FWOS:000372928400006","View Full Record in Web of Science")</f>
        <v>View Full Record in Web of Science</v>
      </c>
    </row>
    <row r="738" spans="1:72" x14ac:dyDescent="0.15">
      <c r="A738" t="s">
        <v>72</v>
      </c>
      <c r="B738" t="s">
        <v>14168</v>
      </c>
      <c r="C738" t="s">
        <v>74</v>
      </c>
      <c r="D738" t="s">
        <v>74</v>
      </c>
      <c r="E738" t="s">
        <v>74</v>
      </c>
      <c r="F738" t="s">
        <v>14169</v>
      </c>
      <c r="G738" t="s">
        <v>74</v>
      </c>
      <c r="H738" t="s">
        <v>74</v>
      </c>
      <c r="I738" t="s">
        <v>14170</v>
      </c>
      <c r="J738" t="s">
        <v>2395</v>
      </c>
      <c r="K738" t="s">
        <v>74</v>
      </c>
      <c r="L738" t="s">
        <v>74</v>
      </c>
      <c r="M738" t="s">
        <v>78</v>
      </c>
      <c r="N738" t="s">
        <v>79</v>
      </c>
      <c r="O738" t="s">
        <v>74</v>
      </c>
      <c r="P738" t="s">
        <v>74</v>
      </c>
      <c r="Q738" t="s">
        <v>74</v>
      </c>
      <c r="R738" t="s">
        <v>74</v>
      </c>
      <c r="S738" t="s">
        <v>74</v>
      </c>
      <c r="T738" t="s">
        <v>14171</v>
      </c>
      <c r="U738" t="s">
        <v>14172</v>
      </c>
      <c r="V738" t="s">
        <v>14173</v>
      </c>
      <c r="W738" t="s">
        <v>14174</v>
      </c>
      <c r="X738" t="s">
        <v>14175</v>
      </c>
      <c r="Y738" t="s">
        <v>14176</v>
      </c>
      <c r="Z738" t="s">
        <v>14177</v>
      </c>
      <c r="AA738" t="s">
        <v>14178</v>
      </c>
      <c r="AB738" t="s">
        <v>14179</v>
      </c>
      <c r="AC738" t="s">
        <v>14180</v>
      </c>
      <c r="AD738" t="s">
        <v>14181</v>
      </c>
      <c r="AE738" t="s">
        <v>14182</v>
      </c>
      <c r="AF738" t="s">
        <v>74</v>
      </c>
      <c r="AG738">
        <v>47</v>
      </c>
      <c r="AH738">
        <v>4</v>
      </c>
      <c r="AI738">
        <v>4</v>
      </c>
      <c r="AJ738">
        <v>1</v>
      </c>
      <c r="AK738">
        <v>20</v>
      </c>
      <c r="AL738" t="s">
        <v>92</v>
      </c>
      <c r="AM738" t="s">
        <v>93</v>
      </c>
      <c r="AN738" t="s">
        <v>94</v>
      </c>
      <c r="AO738" t="s">
        <v>2407</v>
      </c>
      <c r="AP738" t="s">
        <v>2408</v>
      </c>
      <c r="AQ738" t="s">
        <v>74</v>
      </c>
      <c r="AR738" t="s">
        <v>2409</v>
      </c>
      <c r="AS738" t="s">
        <v>2410</v>
      </c>
      <c r="AT738" t="s">
        <v>14027</v>
      </c>
      <c r="AU738">
        <v>2016</v>
      </c>
      <c r="AV738">
        <v>121</v>
      </c>
      <c r="AW738">
        <v>2</v>
      </c>
      <c r="AX738" t="s">
        <v>74</v>
      </c>
      <c r="AY738" t="s">
        <v>74</v>
      </c>
      <c r="AZ738" t="s">
        <v>74</v>
      </c>
      <c r="BA738" t="s">
        <v>74</v>
      </c>
      <c r="BB738">
        <v>497</v>
      </c>
      <c r="BC738">
        <v>510</v>
      </c>
      <c r="BD738" t="s">
        <v>74</v>
      </c>
      <c r="BE738" t="s">
        <v>14183</v>
      </c>
      <c r="BF738" t="str">
        <f>HYPERLINK("http://dx.doi.org/10.1002/2015JF003660","http://dx.doi.org/10.1002/2015JF003660")</f>
        <v>http://dx.doi.org/10.1002/2015JF003660</v>
      </c>
      <c r="BG738" t="s">
        <v>74</v>
      </c>
      <c r="BH738" t="s">
        <v>74</v>
      </c>
      <c r="BI738">
        <v>14</v>
      </c>
      <c r="BJ738" t="s">
        <v>269</v>
      </c>
      <c r="BK738" t="s">
        <v>102</v>
      </c>
      <c r="BL738" t="s">
        <v>270</v>
      </c>
      <c r="BM738" t="s">
        <v>14166</v>
      </c>
      <c r="BN738" t="s">
        <v>74</v>
      </c>
      <c r="BO738" t="s">
        <v>420</v>
      </c>
      <c r="BP738" t="s">
        <v>74</v>
      </c>
      <c r="BQ738" t="s">
        <v>74</v>
      </c>
      <c r="BR738" t="s">
        <v>106</v>
      </c>
      <c r="BS738" t="s">
        <v>14184</v>
      </c>
      <c r="BT738" t="str">
        <f>HYPERLINK("https%3A%2F%2Fwww.webofscience.com%2Fwos%2Fwoscc%2Ffull-record%2FWOS:000372928400016","View Full Record in Web of Science")</f>
        <v>View Full Record in Web of Science</v>
      </c>
    </row>
    <row r="739" spans="1:72" x14ac:dyDescent="0.15">
      <c r="A739" t="s">
        <v>72</v>
      </c>
      <c r="B739" t="s">
        <v>14185</v>
      </c>
      <c r="C739" t="s">
        <v>74</v>
      </c>
      <c r="D739" t="s">
        <v>74</v>
      </c>
      <c r="E739" t="s">
        <v>74</v>
      </c>
      <c r="F739" t="s">
        <v>14186</v>
      </c>
      <c r="G739" t="s">
        <v>74</v>
      </c>
      <c r="H739" t="s">
        <v>74</v>
      </c>
      <c r="I739" t="s">
        <v>14187</v>
      </c>
      <c r="J739" t="s">
        <v>344</v>
      </c>
      <c r="K739" t="s">
        <v>74</v>
      </c>
      <c r="L739" t="s">
        <v>74</v>
      </c>
      <c r="M739" t="s">
        <v>78</v>
      </c>
      <c r="N739" t="s">
        <v>79</v>
      </c>
      <c r="O739" t="s">
        <v>74</v>
      </c>
      <c r="P739" t="s">
        <v>74</v>
      </c>
      <c r="Q739" t="s">
        <v>74</v>
      </c>
      <c r="R739" t="s">
        <v>74</v>
      </c>
      <c r="S739" t="s">
        <v>74</v>
      </c>
      <c r="T739" t="s">
        <v>14188</v>
      </c>
      <c r="U739" t="s">
        <v>14189</v>
      </c>
      <c r="V739" t="s">
        <v>14190</v>
      </c>
      <c r="W739" t="s">
        <v>14191</v>
      </c>
      <c r="X739" t="s">
        <v>14192</v>
      </c>
      <c r="Y739" t="s">
        <v>14193</v>
      </c>
      <c r="Z739" t="s">
        <v>14194</v>
      </c>
      <c r="AA739" t="s">
        <v>14195</v>
      </c>
      <c r="AB739" t="s">
        <v>14196</v>
      </c>
      <c r="AC739" t="s">
        <v>14197</v>
      </c>
      <c r="AD739" t="s">
        <v>14198</v>
      </c>
      <c r="AE739" t="s">
        <v>14199</v>
      </c>
      <c r="AF739" t="s">
        <v>74</v>
      </c>
      <c r="AG739">
        <v>22</v>
      </c>
      <c r="AH739">
        <v>11</v>
      </c>
      <c r="AI739">
        <v>11</v>
      </c>
      <c r="AJ739">
        <v>1</v>
      </c>
      <c r="AK739">
        <v>7</v>
      </c>
      <c r="AL739" t="s">
        <v>92</v>
      </c>
      <c r="AM739" t="s">
        <v>93</v>
      </c>
      <c r="AN739" t="s">
        <v>94</v>
      </c>
      <c r="AO739" t="s">
        <v>356</v>
      </c>
      <c r="AP739" t="s">
        <v>357</v>
      </c>
      <c r="AQ739" t="s">
        <v>74</v>
      </c>
      <c r="AR739" t="s">
        <v>358</v>
      </c>
      <c r="AS739" t="s">
        <v>359</v>
      </c>
      <c r="AT739" t="s">
        <v>14027</v>
      </c>
      <c r="AU739">
        <v>2016</v>
      </c>
      <c r="AV739">
        <v>121</v>
      </c>
      <c r="AW739">
        <v>2</v>
      </c>
      <c r="AX739" t="s">
        <v>74</v>
      </c>
      <c r="AY739" t="s">
        <v>74</v>
      </c>
      <c r="AZ739" t="s">
        <v>74</v>
      </c>
      <c r="BA739" t="s">
        <v>74</v>
      </c>
      <c r="BB739">
        <v>1051</v>
      </c>
      <c r="BC739">
        <v>1062</v>
      </c>
      <c r="BD739" t="s">
        <v>74</v>
      </c>
      <c r="BE739" t="s">
        <v>14200</v>
      </c>
      <c r="BF739" t="str">
        <f>HYPERLINK("http://dx.doi.org/10.1002/2015JC011099","http://dx.doi.org/10.1002/2015JC011099")</f>
        <v>http://dx.doi.org/10.1002/2015JC011099</v>
      </c>
      <c r="BG739" t="s">
        <v>74</v>
      </c>
      <c r="BH739" t="s">
        <v>74</v>
      </c>
      <c r="BI739">
        <v>12</v>
      </c>
      <c r="BJ739" t="s">
        <v>361</v>
      </c>
      <c r="BK739" t="s">
        <v>102</v>
      </c>
      <c r="BL739" t="s">
        <v>361</v>
      </c>
      <c r="BM739" t="s">
        <v>14201</v>
      </c>
      <c r="BN739" t="s">
        <v>74</v>
      </c>
      <c r="BO739" t="s">
        <v>293</v>
      </c>
      <c r="BP739" t="s">
        <v>74</v>
      </c>
      <c r="BQ739" t="s">
        <v>74</v>
      </c>
      <c r="BR739" t="s">
        <v>106</v>
      </c>
      <c r="BS739" t="s">
        <v>14202</v>
      </c>
      <c r="BT739" t="str">
        <f>HYPERLINK("https%3A%2F%2Fwww.webofscience.com%2Fwos%2Fwoscc%2Ffull-record%2FWOS:000373134600002","View Full Record in Web of Science")</f>
        <v>View Full Record in Web of Science</v>
      </c>
    </row>
    <row r="740" spans="1:72" x14ac:dyDescent="0.15">
      <c r="A740" t="s">
        <v>72</v>
      </c>
      <c r="B740" t="s">
        <v>14203</v>
      </c>
      <c r="C740" t="s">
        <v>74</v>
      </c>
      <c r="D740" t="s">
        <v>74</v>
      </c>
      <c r="E740" t="s">
        <v>74</v>
      </c>
      <c r="F740" t="s">
        <v>14204</v>
      </c>
      <c r="G740" t="s">
        <v>74</v>
      </c>
      <c r="H740" t="s">
        <v>74</v>
      </c>
      <c r="I740" t="s">
        <v>14205</v>
      </c>
      <c r="J740" t="s">
        <v>344</v>
      </c>
      <c r="K740" t="s">
        <v>74</v>
      </c>
      <c r="L740" t="s">
        <v>74</v>
      </c>
      <c r="M740" t="s">
        <v>78</v>
      </c>
      <c r="N740" t="s">
        <v>79</v>
      </c>
      <c r="O740" t="s">
        <v>74</v>
      </c>
      <c r="P740" t="s">
        <v>74</v>
      </c>
      <c r="Q740" t="s">
        <v>74</v>
      </c>
      <c r="R740" t="s">
        <v>74</v>
      </c>
      <c r="S740" t="s">
        <v>74</v>
      </c>
      <c r="T740" t="s">
        <v>14206</v>
      </c>
      <c r="U740" t="s">
        <v>14207</v>
      </c>
      <c r="V740" t="s">
        <v>14208</v>
      </c>
      <c r="W740" t="s">
        <v>14209</v>
      </c>
      <c r="X740" t="s">
        <v>14210</v>
      </c>
      <c r="Y740" t="s">
        <v>14211</v>
      </c>
      <c r="Z740" t="s">
        <v>14212</v>
      </c>
      <c r="AA740" t="s">
        <v>14213</v>
      </c>
      <c r="AB740" t="s">
        <v>14214</v>
      </c>
      <c r="AC740" t="s">
        <v>14215</v>
      </c>
      <c r="AD740" t="s">
        <v>14216</v>
      </c>
      <c r="AE740" t="s">
        <v>14217</v>
      </c>
      <c r="AF740" t="s">
        <v>74</v>
      </c>
      <c r="AG740">
        <v>75</v>
      </c>
      <c r="AH740">
        <v>50</v>
      </c>
      <c r="AI740">
        <v>55</v>
      </c>
      <c r="AJ740">
        <v>2</v>
      </c>
      <c r="AK740">
        <v>36</v>
      </c>
      <c r="AL740" t="s">
        <v>92</v>
      </c>
      <c r="AM740" t="s">
        <v>93</v>
      </c>
      <c r="AN740" t="s">
        <v>94</v>
      </c>
      <c r="AO740" t="s">
        <v>356</v>
      </c>
      <c r="AP740" t="s">
        <v>357</v>
      </c>
      <c r="AQ740" t="s">
        <v>74</v>
      </c>
      <c r="AR740" t="s">
        <v>358</v>
      </c>
      <c r="AS740" t="s">
        <v>359</v>
      </c>
      <c r="AT740" t="s">
        <v>14027</v>
      </c>
      <c r="AU740">
        <v>2016</v>
      </c>
      <c r="AV740">
        <v>121</v>
      </c>
      <c r="AW740">
        <v>2</v>
      </c>
      <c r="AX740" t="s">
        <v>74</v>
      </c>
      <c r="AY740" t="s">
        <v>74</v>
      </c>
      <c r="AZ740" t="s">
        <v>74</v>
      </c>
      <c r="BA740" t="s">
        <v>74</v>
      </c>
      <c r="BB740">
        <v>1085</v>
      </c>
      <c r="BC740">
        <v>1109</v>
      </c>
      <c r="BD740" t="s">
        <v>74</v>
      </c>
      <c r="BE740" t="s">
        <v>14218</v>
      </c>
      <c r="BF740" t="str">
        <f>HYPERLINK("http://dx.doi.org/10.1002/2015JC011117","http://dx.doi.org/10.1002/2015JC011117")</f>
        <v>http://dx.doi.org/10.1002/2015JC011117</v>
      </c>
      <c r="BG740" t="s">
        <v>74</v>
      </c>
      <c r="BH740" t="s">
        <v>74</v>
      </c>
      <c r="BI740">
        <v>25</v>
      </c>
      <c r="BJ740" t="s">
        <v>361</v>
      </c>
      <c r="BK740" t="s">
        <v>102</v>
      </c>
      <c r="BL740" t="s">
        <v>361</v>
      </c>
      <c r="BM740" t="s">
        <v>14201</v>
      </c>
      <c r="BN740" t="s">
        <v>74</v>
      </c>
      <c r="BO740" t="s">
        <v>293</v>
      </c>
      <c r="BP740" t="s">
        <v>74</v>
      </c>
      <c r="BQ740" t="s">
        <v>74</v>
      </c>
      <c r="BR740" t="s">
        <v>106</v>
      </c>
      <c r="BS740" t="s">
        <v>14219</v>
      </c>
      <c r="BT740" t="str">
        <f>HYPERLINK("https%3A%2F%2Fwww.webofscience.com%2Fwos%2Fwoscc%2Ffull-record%2FWOS:000373134600004","View Full Record in Web of Science")</f>
        <v>View Full Record in Web of Science</v>
      </c>
    </row>
    <row r="741" spans="1:72" x14ac:dyDescent="0.15">
      <c r="A741" t="s">
        <v>72</v>
      </c>
      <c r="B741" t="s">
        <v>14220</v>
      </c>
      <c r="C741" t="s">
        <v>74</v>
      </c>
      <c r="D741" t="s">
        <v>74</v>
      </c>
      <c r="E741" t="s">
        <v>74</v>
      </c>
      <c r="F741" t="s">
        <v>14221</v>
      </c>
      <c r="G741" t="s">
        <v>74</v>
      </c>
      <c r="H741" t="s">
        <v>74</v>
      </c>
      <c r="I741" t="s">
        <v>14222</v>
      </c>
      <c r="J741" t="s">
        <v>344</v>
      </c>
      <c r="K741" t="s">
        <v>74</v>
      </c>
      <c r="L741" t="s">
        <v>74</v>
      </c>
      <c r="M741" t="s">
        <v>78</v>
      </c>
      <c r="N741" t="s">
        <v>79</v>
      </c>
      <c r="O741" t="s">
        <v>74</v>
      </c>
      <c r="P741" t="s">
        <v>74</v>
      </c>
      <c r="Q741" t="s">
        <v>74</v>
      </c>
      <c r="R741" t="s">
        <v>74</v>
      </c>
      <c r="S741" t="s">
        <v>74</v>
      </c>
      <c r="T741" t="s">
        <v>14223</v>
      </c>
      <c r="U741" t="s">
        <v>14224</v>
      </c>
      <c r="V741" t="s">
        <v>14225</v>
      </c>
      <c r="W741" t="s">
        <v>14226</v>
      </c>
      <c r="X741" t="s">
        <v>14227</v>
      </c>
      <c r="Y741" t="s">
        <v>14228</v>
      </c>
      <c r="Z741" t="s">
        <v>14229</v>
      </c>
      <c r="AA741" t="s">
        <v>74</v>
      </c>
      <c r="AB741" t="s">
        <v>14230</v>
      </c>
      <c r="AC741" t="s">
        <v>14231</v>
      </c>
      <c r="AD741" t="s">
        <v>14232</v>
      </c>
      <c r="AE741" t="s">
        <v>14233</v>
      </c>
      <c r="AF741" t="s">
        <v>74</v>
      </c>
      <c r="AG741">
        <v>38</v>
      </c>
      <c r="AH741">
        <v>12</v>
      </c>
      <c r="AI741">
        <v>12</v>
      </c>
      <c r="AJ741">
        <v>1</v>
      </c>
      <c r="AK741">
        <v>4</v>
      </c>
      <c r="AL741" t="s">
        <v>92</v>
      </c>
      <c r="AM741" t="s">
        <v>93</v>
      </c>
      <c r="AN741" t="s">
        <v>94</v>
      </c>
      <c r="AO741" t="s">
        <v>356</v>
      </c>
      <c r="AP741" t="s">
        <v>357</v>
      </c>
      <c r="AQ741" t="s">
        <v>74</v>
      </c>
      <c r="AR741" t="s">
        <v>358</v>
      </c>
      <c r="AS741" t="s">
        <v>359</v>
      </c>
      <c r="AT741" t="s">
        <v>14027</v>
      </c>
      <c r="AU741">
        <v>2016</v>
      </c>
      <c r="AV741">
        <v>121</v>
      </c>
      <c r="AW741">
        <v>2</v>
      </c>
      <c r="AX741" t="s">
        <v>74</v>
      </c>
      <c r="AY741" t="s">
        <v>74</v>
      </c>
      <c r="AZ741" t="s">
        <v>74</v>
      </c>
      <c r="BA741" t="s">
        <v>74</v>
      </c>
      <c r="BB741">
        <v>1291</v>
      </c>
      <c r="BC741">
        <v>1305</v>
      </c>
      <c r="BD741" t="s">
        <v>74</v>
      </c>
      <c r="BE741" t="s">
        <v>14234</v>
      </c>
      <c r="BF741" t="str">
        <f>HYPERLINK("http://dx.doi.org/10.1002/2015JC011418","http://dx.doi.org/10.1002/2015JC011418")</f>
        <v>http://dx.doi.org/10.1002/2015JC011418</v>
      </c>
      <c r="BG741" t="s">
        <v>74</v>
      </c>
      <c r="BH741" t="s">
        <v>74</v>
      </c>
      <c r="BI741">
        <v>15</v>
      </c>
      <c r="BJ741" t="s">
        <v>361</v>
      </c>
      <c r="BK741" t="s">
        <v>102</v>
      </c>
      <c r="BL741" t="s">
        <v>361</v>
      </c>
      <c r="BM741" t="s">
        <v>14201</v>
      </c>
      <c r="BN741" t="s">
        <v>74</v>
      </c>
      <c r="BO741" t="s">
        <v>420</v>
      </c>
      <c r="BP741" t="s">
        <v>74</v>
      </c>
      <c r="BQ741" t="s">
        <v>74</v>
      </c>
      <c r="BR741" t="s">
        <v>106</v>
      </c>
      <c r="BS741" t="s">
        <v>14235</v>
      </c>
      <c r="BT741" t="str">
        <f>HYPERLINK("https%3A%2F%2Fwww.webofscience.com%2Fwos%2Fwoscc%2Ffull-record%2FWOS:000373134600016","View Full Record in Web of Science")</f>
        <v>View Full Record in Web of Science</v>
      </c>
    </row>
    <row r="742" spans="1:72" x14ac:dyDescent="0.15">
      <c r="A742" t="s">
        <v>72</v>
      </c>
      <c r="B742" t="s">
        <v>14236</v>
      </c>
      <c r="C742" t="s">
        <v>74</v>
      </c>
      <c r="D742" t="s">
        <v>74</v>
      </c>
      <c r="E742" t="s">
        <v>74</v>
      </c>
      <c r="F742" t="s">
        <v>14237</v>
      </c>
      <c r="G742" t="s">
        <v>74</v>
      </c>
      <c r="H742" t="s">
        <v>74</v>
      </c>
      <c r="I742" t="s">
        <v>14238</v>
      </c>
      <c r="J742" t="s">
        <v>344</v>
      </c>
      <c r="K742" t="s">
        <v>74</v>
      </c>
      <c r="L742" t="s">
        <v>74</v>
      </c>
      <c r="M742" t="s">
        <v>78</v>
      </c>
      <c r="N742" t="s">
        <v>79</v>
      </c>
      <c r="O742" t="s">
        <v>74</v>
      </c>
      <c r="P742" t="s">
        <v>74</v>
      </c>
      <c r="Q742" t="s">
        <v>74</v>
      </c>
      <c r="R742" t="s">
        <v>74</v>
      </c>
      <c r="S742" t="s">
        <v>74</v>
      </c>
      <c r="T742" t="s">
        <v>14239</v>
      </c>
      <c r="U742" t="s">
        <v>14240</v>
      </c>
      <c r="V742" t="s">
        <v>14241</v>
      </c>
      <c r="W742" t="s">
        <v>14242</v>
      </c>
      <c r="X742" t="s">
        <v>14243</v>
      </c>
      <c r="Y742" t="s">
        <v>14244</v>
      </c>
      <c r="Z742" t="s">
        <v>14245</v>
      </c>
      <c r="AA742" t="s">
        <v>14246</v>
      </c>
      <c r="AB742" t="s">
        <v>14247</v>
      </c>
      <c r="AC742" t="s">
        <v>14248</v>
      </c>
      <c r="AD742" t="s">
        <v>14249</v>
      </c>
      <c r="AE742" t="s">
        <v>14250</v>
      </c>
      <c r="AF742" t="s">
        <v>74</v>
      </c>
      <c r="AG742">
        <v>79</v>
      </c>
      <c r="AH742">
        <v>10</v>
      </c>
      <c r="AI742">
        <v>10</v>
      </c>
      <c r="AJ742">
        <v>0</v>
      </c>
      <c r="AK742">
        <v>33</v>
      </c>
      <c r="AL742" t="s">
        <v>92</v>
      </c>
      <c r="AM742" t="s">
        <v>93</v>
      </c>
      <c r="AN742" t="s">
        <v>94</v>
      </c>
      <c r="AO742" t="s">
        <v>356</v>
      </c>
      <c r="AP742" t="s">
        <v>357</v>
      </c>
      <c r="AQ742" t="s">
        <v>74</v>
      </c>
      <c r="AR742" t="s">
        <v>358</v>
      </c>
      <c r="AS742" t="s">
        <v>359</v>
      </c>
      <c r="AT742" t="s">
        <v>14027</v>
      </c>
      <c r="AU742">
        <v>2016</v>
      </c>
      <c r="AV742">
        <v>121</v>
      </c>
      <c r="AW742">
        <v>2</v>
      </c>
      <c r="AX742" t="s">
        <v>74</v>
      </c>
      <c r="AY742" t="s">
        <v>74</v>
      </c>
      <c r="AZ742" t="s">
        <v>74</v>
      </c>
      <c r="BA742" t="s">
        <v>74</v>
      </c>
      <c r="BB742">
        <v>1476</v>
      </c>
      <c r="BC742">
        <v>1501</v>
      </c>
      <c r="BD742" t="s">
        <v>74</v>
      </c>
      <c r="BE742" t="s">
        <v>14251</v>
      </c>
      <c r="BF742" t="str">
        <f>HYPERLINK("http://dx.doi.org/10.1002/2015JC011449","http://dx.doi.org/10.1002/2015JC011449")</f>
        <v>http://dx.doi.org/10.1002/2015JC011449</v>
      </c>
      <c r="BG742" t="s">
        <v>74</v>
      </c>
      <c r="BH742" t="s">
        <v>74</v>
      </c>
      <c r="BI742">
        <v>26</v>
      </c>
      <c r="BJ742" t="s">
        <v>361</v>
      </c>
      <c r="BK742" t="s">
        <v>102</v>
      </c>
      <c r="BL742" t="s">
        <v>361</v>
      </c>
      <c r="BM742" t="s">
        <v>14201</v>
      </c>
      <c r="BN742" t="s">
        <v>74</v>
      </c>
      <c r="BO742" t="s">
        <v>14252</v>
      </c>
      <c r="BP742" t="s">
        <v>74</v>
      </c>
      <c r="BQ742" t="s">
        <v>74</v>
      </c>
      <c r="BR742" t="s">
        <v>106</v>
      </c>
      <c r="BS742" t="s">
        <v>14253</v>
      </c>
      <c r="BT742" t="str">
        <f>HYPERLINK("https%3A%2F%2Fwww.webofscience.com%2Fwos%2Fwoscc%2Ffull-record%2FWOS:000373134600026","View Full Record in Web of Science")</f>
        <v>View Full Record in Web of Science</v>
      </c>
    </row>
    <row r="743" spans="1:72" x14ac:dyDescent="0.15">
      <c r="A743" t="s">
        <v>72</v>
      </c>
      <c r="B743" t="s">
        <v>14254</v>
      </c>
      <c r="C743" t="s">
        <v>74</v>
      </c>
      <c r="D743" t="s">
        <v>74</v>
      </c>
      <c r="E743" t="s">
        <v>74</v>
      </c>
      <c r="F743" t="s">
        <v>14255</v>
      </c>
      <c r="G743" t="s">
        <v>74</v>
      </c>
      <c r="H743" t="s">
        <v>74</v>
      </c>
      <c r="I743" t="s">
        <v>14256</v>
      </c>
      <c r="J743" t="s">
        <v>2433</v>
      </c>
      <c r="K743" t="s">
        <v>74</v>
      </c>
      <c r="L743" t="s">
        <v>74</v>
      </c>
      <c r="M743" t="s">
        <v>78</v>
      </c>
      <c r="N743" t="s">
        <v>79</v>
      </c>
      <c r="O743" t="s">
        <v>74</v>
      </c>
      <c r="P743" t="s">
        <v>74</v>
      </c>
      <c r="Q743" t="s">
        <v>74</v>
      </c>
      <c r="R743" t="s">
        <v>74</v>
      </c>
      <c r="S743" t="s">
        <v>74</v>
      </c>
      <c r="T743" t="s">
        <v>14257</v>
      </c>
      <c r="U743" t="s">
        <v>14258</v>
      </c>
      <c r="V743" t="s">
        <v>14259</v>
      </c>
      <c r="W743" t="s">
        <v>14260</v>
      </c>
      <c r="X743" t="s">
        <v>14261</v>
      </c>
      <c r="Y743" t="s">
        <v>14262</v>
      </c>
      <c r="Z743" t="s">
        <v>14263</v>
      </c>
      <c r="AA743" t="s">
        <v>74</v>
      </c>
      <c r="AB743" t="s">
        <v>14264</v>
      </c>
      <c r="AC743" t="s">
        <v>14265</v>
      </c>
      <c r="AD743" t="s">
        <v>14266</v>
      </c>
      <c r="AE743" t="s">
        <v>14267</v>
      </c>
      <c r="AF743" t="s">
        <v>74</v>
      </c>
      <c r="AG743">
        <v>62</v>
      </c>
      <c r="AH743">
        <v>28</v>
      </c>
      <c r="AI743">
        <v>34</v>
      </c>
      <c r="AJ743">
        <v>0</v>
      </c>
      <c r="AK743">
        <v>13</v>
      </c>
      <c r="AL743" t="s">
        <v>92</v>
      </c>
      <c r="AM743" t="s">
        <v>93</v>
      </c>
      <c r="AN743" t="s">
        <v>94</v>
      </c>
      <c r="AO743" t="s">
        <v>2444</v>
      </c>
      <c r="AP743" t="s">
        <v>2445</v>
      </c>
      <c r="AQ743" t="s">
        <v>74</v>
      </c>
      <c r="AR743" t="s">
        <v>2446</v>
      </c>
      <c r="AS743" t="s">
        <v>2447</v>
      </c>
      <c r="AT743" t="s">
        <v>14027</v>
      </c>
      <c r="AU743">
        <v>2016</v>
      </c>
      <c r="AV743">
        <v>121</v>
      </c>
      <c r="AW743">
        <v>2</v>
      </c>
      <c r="AX743" t="s">
        <v>74</v>
      </c>
      <c r="AY743" t="s">
        <v>74</v>
      </c>
      <c r="AZ743" t="s">
        <v>74</v>
      </c>
      <c r="BA743" t="s">
        <v>74</v>
      </c>
      <c r="BB743">
        <v>812</v>
      </c>
      <c r="BC743">
        <v>825</v>
      </c>
      <c r="BD743" t="s">
        <v>74</v>
      </c>
      <c r="BE743" t="s">
        <v>14268</v>
      </c>
      <c r="BF743" t="str">
        <f>HYPERLINK("http://dx.doi.org/10.1002/2015JB012325","http://dx.doi.org/10.1002/2015JB012325")</f>
        <v>http://dx.doi.org/10.1002/2015JB012325</v>
      </c>
      <c r="BG743" t="s">
        <v>74</v>
      </c>
      <c r="BH743" t="s">
        <v>74</v>
      </c>
      <c r="BI743">
        <v>14</v>
      </c>
      <c r="BJ743" t="s">
        <v>727</v>
      </c>
      <c r="BK743" t="s">
        <v>102</v>
      </c>
      <c r="BL743" t="s">
        <v>727</v>
      </c>
      <c r="BM743" t="s">
        <v>14269</v>
      </c>
      <c r="BN743" t="s">
        <v>74</v>
      </c>
      <c r="BO743" t="s">
        <v>420</v>
      </c>
      <c r="BP743" t="s">
        <v>74</v>
      </c>
      <c r="BQ743" t="s">
        <v>74</v>
      </c>
      <c r="BR743" t="s">
        <v>106</v>
      </c>
      <c r="BS743" t="s">
        <v>14270</v>
      </c>
      <c r="BT743" t="str">
        <f>HYPERLINK("https%3A%2F%2Fwww.webofscience.com%2Fwos%2Fwoscc%2Ffull-record%2FWOS:000373084400022","View Full Record in Web of Science")</f>
        <v>View Full Record in Web of Science</v>
      </c>
    </row>
    <row r="744" spans="1:72" x14ac:dyDescent="0.15">
      <c r="A744" t="s">
        <v>72</v>
      </c>
      <c r="B744" t="s">
        <v>14271</v>
      </c>
      <c r="C744" t="s">
        <v>74</v>
      </c>
      <c r="D744" t="s">
        <v>74</v>
      </c>
      <c r="E744" t="s">
        <v>74</v>
      </c>
      <c r="F744" t="s">
        <v>14272</v>
      </c>
      <c r="G744" t="s">
        <v>74</v>
      </c>
      <c r="H744" t="s">
        <v>74</v>
      </c>
      <c r="I744" t="s">
        <v>14273</v>
      </c>
      <c r="J744" t="s">
        <v>385</v>
      </c>
      <c r="K744" t="s">
        <v>74</v>
      </c>
      <c r="L744" t="s">
        <v>74</v>
      </c>
      <c r="M744" t="s">
        <v>78</v>
      </c>
      <c r="N744" t="s">
        <v>79</v>
      </c>
      <c r="O744" t="s">
        <v>74</v>
      </c>
      <c r="P744" t="s">
        <v>74</v>
      </c>
      <c r="Q744" t="s">
        <v>74</v>
      </c>
      <c r="R744" t="s">
        <v>74</v>
      </c>
      <c r="S744" t="s">
        <v>74</v>
      </c>
      <c r="T744" t="s">
        <v>14274</v>
      </c>
      <c r="U744" t="s">
        <v>14275</v>
      </c>
      <c r="V744" t="s">
        <v>14276</v>
      </c>
      <c r="W744" t="s">
        <v>14277</v>
      </c>
      <c r="X744" t="s">
        <v>14278</v>
      </c>
      <c r="Y744" t="s">
        <v>14279</v>
      </c>
      <c r="Z744" t="s">
        <v>14280</v>
      </c>
      <c r="AA744" t="s">
        <v>14281</v>
      </c>
      <c r="AB744" t="s">
        <v>74</v>
      </c>
      <c r="AC744" t="s">
        <v>14282</v>
      </c>
      <c r="AD744" t="s">
        <v>14283</v>
      </c>
      <c r="AE744" t="s">
        <v>14284</v>
      </c>
      <c r="AF744" t="s">
        <v>74</v>
      </c>
      <c r="AG744">
        <v>32</v>
      </c>
      <c r="AH744">
        <v>3</v>
      </c>
      <c r="AI744">
        <v>3</v>
      </c>
      <c r="AJ744">
        <v>1</v>
      </c>
      <c r="AK744">
        <v>6</v>
      </c>
      <c r="AL744" t="s">
        <v>92</v>
      </c>
      <c r="AM744" t="s">
        <v>93</v>
      </c>
      <c r="AN744" t="s">
        <v>94</v>
      </c>
      <c r="AO744" t="s">
        <v>397</v>
      </c>
      <c r="AP744" t="s">
        <v>398</v>
      </c>
      <c r="AQ744" t="s">
        <v>74</v>
      </c>
      <c r="AR744" t="s">
        <v>399</v>
      </c>
      <c r="AS744" t="s">
        <v>400</v>
      </c>
      <c r="AT744" t="s">
        <v>14027</v>
      </c>
      <c r="AU744">
        <v>2016</v>
      </c>
      <c r="AV744">
        <v>121</v>
      </c>
      <c r="AW744">
        <v>2</v>
      </c>
      <c r="AX744" t="s">
        <v>74</v>
      </c>
      <c r="AY744" t="s">
        <v>74</v>
      </c>
      <c r="AZ744" t="s">
        <v>74</v>
      </c>
      <c r="BA744" t="s">
        <v>74</v>
      </c>
      <c r="BB744">
        <v>1339</v>
      </c>
      <c r="BC744">
        <v>1348</v>
      </c>
      <c r="BD744" t="s">
        <v>74</v>
      </c>
      <c r="BE744" t="s">
        <v>14285</v>
      </c>
      <c r="BF744" t="str">
        <f>HYPERLINK("http://dx.doi.org/10.1002/2015JA021167","http://dx.doi.org/10.1002/2015JA021167")</f>
        <v>http://dx.doi.org/10.1002/2015JA021167</v>
      </c>
      <c r="BG744" t="s">
        <v>74</v>
      </c>
      <c r="BH744" t="s">
        <v>74</v>
      </c>
      <c r="BI744">
        <v>10</v>
      </c>
      <c r="BJ744" t="s">
        <v>248</v>
      </c>
      <c r="BK744" t="s">
        <v>102</v>
      </c>
      <c r="BL744" t="s">
        <v>248</v>
      </c>
      <c r="BM744" t="s">
        <v>14286</v>
      </c>
      <c r="BN744" t="s">
        <v>74</v>
      </c>
      <c r="BO744" t="s">
        <v>420</v>
      </c>
      <c r="BP744" t="s">
        <v>74</v>
      </c>
      <c r="BQ744" t="s">
        <v>74</v>
      </c>
      <c r="BR744" t="s">
        <v>106</v>
      </c>
      <c r="BS744" t="s">
        <v>14287</v>
      </c>
      <c r="BT744" t="str">
        <f>HYPERLINK("https%3A%2F%2Fwww.webofscience.com%2Fwos%2Fwoscc%2Ffull-record%2FWOS:000373002100029","View Full Record in Web of Science")</f>
        <v>View Full Record in Web of Science</v>
      </c>
    </row>
    <row r="745" spans="1:72" x14ac:dyDescent="0.15">
      <c r="A745" t="s">
        <v>72</v>
      </c>
      <c r="B745" t="s">
        <v>14288</v>
      </c>
      <c r="C745" t="s">
        <v>74</v>
      </c>
      <c r="D745" t="s">
        <v>74</v>
      </c>
      <c r="E745" t="s">
        <v>74</v>
      </c>
      <c r="F745" t="s">
        <v>14289</v>
      </c>
      <c r="G745" t="s">
        <v>74</v>
      </c>
      <c r="H745" t="s">
        <v>74</v>
      </c>
      <c r="I745" t="s">
        <v>14290</v>
      </c>
      <c r="J745" t="s">
        <v>385</v>
      </c>
      <c r="K745" t="s">
        <v>74</v>
      </c>
      <c r="L745" t="s">
        <v>74</v>
      </c>
      <c r="M745" t="s">
        <v>78</v>
      </c>
      <c r="N745" t="s">
        <v>79</v>
      </c>
      <c r="O745" t="s">
        <v>74</v>
      </c>
      <c r="P745" t="s">
        <v>74</v>
      </c>
      <c r="Q745" t="s">
        <v>74</v>
      </c>
      <c r="R745" t="s">
        <v>74</v>
      </c>
      <c r="S745" t="s">
        <v>74</v>
      </c>
      <c r="T745" t="s">
        <v>14291</v>
      </c>
      <c r="U745" t="s">
        <v>14292</v>
      </c>
      <c r="V745" t="s">
        <v>14293</v>
      </c>
      <c r="W745" t="s">
        <v>14294</v>
      </c>
      <c r="X745" t="s">
        <v>14295</v>
      </c>
      <c r="Y745" t="s">
        <v>14296</v>
      </c>
      <c r="Z745" t="s">
        <v>14297</v>
      </c>
      <c r="AA745" t="s">
        <v>14298</v>
      </c>
      <c r="AB745" t="s">
        <v>14299</v>
      </c>
      <c r="AC745" t="s">
        <v>14300</v>
      </c>
      <c r="AD745" t="s">
        <v>14301</v>
      </c>
      <c r="AE745" t="s">
        <v>14302</v>
      </c>
      <c r="AF745" t="s">
        <v>74</v>
      </c>
      <c r="AG745">
        <v>51</v>
      </c>
      <c r="AH745">
        <v>15</v>
      </c>
      <c r="AI745">
        <v>15</v>
      </c>
      <c r="AJ745">
        <v>1</v>
      </c>
      <c r="AK745">
        <v>11</v>
      </c>
      <c r="AL745" t="s">
        <v>92</v>
      </c>
      <c r="AM745" t="s">
        <v>93</v>
      </c>
      <c r="AN745" t="s">
        <v>94</v>
      </c>
      <c r="AO745" t="s">
        <v>397</v>
      </c>
      <c r="AP745" t="s">
        <v>398</v>
      </c>
      <c r="AQ745" t="s">
        <v>74</v>
      </c>
      <c r="AR745" t="s">
        <v>399</v>
      </c>
      <c r="AS745" t="s">
        <v>400</v>
      </c>
      <c r="AT745" t="s">
        <v>14027</v>
      </c>
      <c r="AU745">
        <v>2016</v>
      </c>
      <c r="AV745">
        <v>121</v>
      </c>
      <c r="AW745">
        <v>2</v>
      </c>
      <c r="AX745" t="s">
        <v>74</v>
      </c>
      <c r="AY745" t="s">
        <v>74</v>
      </c>
      <c r="AZ745" t="s">
        <v>74</v>
      </c>
      <c r="BA745" t="s">
        <v>74</v>
      </c>
      <c r="BB745">
        <v>1557</v>
      </c>
      <c r="BC745">
        <v>1568</v>
      </c>
      <c r="BD745" t="s">
        <v>74</v>
      </c>
      <c r="BE745" t="s">
        <v>14303</v>
      </c>
      <c r="BF745" t="str">
        <f>HYPERLINK("http://dx.doi.org/10.1002/2015JA021841","http://dx.doi.org/10.1002/2015JA021841")</f>
        <v>http://dx.doi.org/10.1002/2015JA021841</v>
      </c>
      <c r="BG745" t="s">
        <v>74</v>
      </c>
      <c r="BH745" t="s">
        <v>74</v>
      </c>
      <c r="BI745">
        <v>12</v>
      </c>
      <c r="BJ745" t="s">
        <v>248</v>
      </c>
      <c r="BK745" t="s">
        <v>102</v>
      </c>
      <c r="BL745" t="s">
        <v>248</v>
      </c>
      <c r="BM745" t="s">
        <v>14286</v>
      </c>
      <c r="BN745" t="s">
        <v>74</v>
      </c>
      <c r="BO745" t="s">
        <v>420</v>
      </c>
      <c r="BP745" t="s">
        <v>74</v>
      </c>
      <c r="BQ745" t="s">
        <v>74</v>
      </c>
      <c r="BR745" t="s">
        <v>106</v>
      </c>
      <c r="BS745" t="s">
        <v>14304</v>
      </c>
      <c r="BT745" t="str">
        <f>HYPERLINK("https%3A%2F%2Fwww.webofscience.com%2Fwos%2Fwoscc%2Ffull-record%2FWOS:000373002100046","View Full Record in Web of Science")</f>
        <v>View Full Record in Web of Science</v>
      </c>
    </row>
    <row r="746" spans="1:72" x14ac:dyDescent="0.15">
      <c r="A746" t="s">
        <v>72</v>
      </c>
      <c r="B746" t="s">
        <v>14305</v>
      </c>
      <c r="C746" t="s">
        <v>74</v>
      </c>
      <c r="D746" t="s">
        <v>74</v>
      </c>
      <c r="E746" t="s">
        <v>74</v>
      </c>
      <c r="F746" t="s">
        <v>14306</v>
      </c>
      <c r="G746" t="s">
        <v>74</v>
      </c>
      <c r="H746" t="s">
        <v>74</v>
      </c>
      <c r="I746" t="s">
        <v>14307</v>
      </c>
      <c r="J746" t="s">
        <v>7348</v>
      </c>
      <c r="K746" t="s">
        <v>74</v>
      </c>
      <c r="L746" t="s">
        <v>74</v>
      </c>
      <c r="M746" t="s">
        <v>78</v>
      </c>
      <c r="N746" t="s">
        <v>79</v>
      </c>
      <c r="O746" t="s">
        <v>74</v>
      </c>
      <c r="P746" t="s">
        <v>74</v>
      </c>
      <c r="Q746" t="s">
        <v>74</v>
      </c>
      <c r="R746" t="s">
        <v>74</v>
      </c>
      <c r="S746" t="s">
        <v>74</v>
      </c>
      <c r="T746" t="s">
        <v>14308</v>
      </c>
      <c r="U746" t="s">
        <v>14309</v>
      </c>
      <c r="V746" t="s">
        <v>14310</v>
      </c>
      <c r="W746" t="s">
        <v>14311</v>
      </c>
      <c r="X746" t="s">
        <v>14312</v>
      </c>
      <c r="Y746" t="s">
        <v>14313</v>
      </c>
      <c r="Z746" t="s">
        <v>14314</v>
      </c>
      <c r="AA746" t="s">
        <v>14315</v>
      </c>
      <c r="AB746" t="s">
        <v>14316</v>
      </c>
      <c r="AC746" t="s">
        <v>14317</v>
      </c>
      <c r="AD746" t="s">
        <v>14318</v>
      </c>
      <c r="AE746" t="s">
        <v>14319</v>
      </c>
      <c r="AF746" t="s">
        <v>74</v>
      </c>
      <c r="AG746">
        <v>39</v>
      </c>
      <c r="AH746">
        <v>26</v>
      </c>
      <c r="AI746">
        <v>26</v>
      </c>
      <c r="AJ746">
        <v>2</v>
      </c>
      <c r="AK746">
        <v>31</v>
      </c>
      <c r="AL746" t="s">
        <v>3662</v>
      </c>
      <c r="AM746" t="s">
        <v>262</v>
      </c>
      <c r="AN746" t="s">
        <v>3663</v>
      </c>
      <c r="AO746" t="s">
        <v>7359</v>
      </c>
      <c r="AP746" t="s">
        <v>7360</v>
      </c>
      <c r="AQ746" t="s">
        <v>74</v>
      </c>
      <c r="AR746" t="s">
        <v>7361</v>
      </c>
      <c r="AS746" t="s">
        <v>7362</v>
      </c>
      <c r="AT746" t="s">
        <v>14027</v>
      </c>
      <c r="AU746">
        <v>2016</v>
      </c>
      <c r="AV746">
        <v>28</v>
      </c>
      <c r="AW746">
        <v>1</v>
      </c>
      <c r="AX746" t="s">
        <v>74</v>
      </c>
      <c r="AY746" t="s">
        <v>74</v>
      </c>
      <c r="AZ746" t="s">
        <v>74</v>
      </c>
      <c r="BA746" t="s">
        <v>74</v>
      </c>
      <c r="BB746">
        <v>3</v>
      </c>
      <c r="BC746">
        <v>16</v>
      </c>
      <c r="BD746" t="s">
        <v>74</v>
      </c>
      <c r="BE746" t="s">
        <v>14320</v>
      </c>
      <c r="BF746" t="str">
        <f>HYPERLINK("http://dx.doi.org/10.1017/S095410201500036X","http://dx.doi.org/10.1017/S095410201500036X")</f>
        <v>http://dx.doi.org/10.1017/S095410201500036X</v>
      </c>
      <c r="BG746" t="s">
        <v>74</v>
      </c>
      <c r="BH746" t="s">
        <v>74</v>
      </c>
      <c r="BI746">
        <v>14</v>
      </c>
      <c r="BJ746" t="s">
        <v>7364</v>
      </c>
      <c r="BK746" t="s">
        <v>102</v>
      </c>
      <c r="BL746" t="s">
        <v>7365</v>
      </c>
      <c r="BM746" t="s">
        <v>14321</v>
      </c>
      <c r="BN746" t="s">
        <v>74</v>
      </c>
      <c r="BO746" t="s">
        <v>74</v>
      </c>
      <c r="BP746" t="s">
        <v>74</v>
      </c>
      <c r="BQ746" t="s">
        <v>74</v>
      </c>
      <c r="BR746" t="s">
        <v>106</v>
      </c>
      <c r="BS746" t="s">
        <v>14322</v>
      </c>
      <c r="BT746" t="str">
        <f>HYPERLINK("https%3A%2F%2Fwww.webofscience.com%2Fwos%2Fwoscc%2Ffull-record%2FWOS:000372521000002","View Full Record in Web of Science")</f>
        <v>View Full Record in Web of Science</v>
      </c>
    </row>
    <row r="747" spans="1:72" x14ac:dyDescent="0.15">
      <c r="A747" t="s">
        <v>72</v>
      </c>
      <c r="B747" t="s">
        <v>14323</v>
      </c>
      <c r="C747" t="s">
        <v>74</v>
      </c>
      <c r="D747" t="s">
        <v>74</v>
      </c>
      <c r="E747" t="s">
        <v>74</v>
      </c>
      <c r="F747" t="s">
        <v>14324</v>
      </c>
      <c r="G747" t="s">
        <v>74</v>
      </c>
      <c r="H747" t="s">
        <v>74</v>
      </c>
      <c r="I747" t="s">
        <v>14325</v>
      </c>
      <c r="J747" t="s">
        <v>7348</v>
      </c>
      <c r="K747" t="s">
        <v>74</v>
      </c>
      <c r="L747" t="s">
        <v>74</v>
      </c>
      <c r="M747" t="s">
        <v>78</v>
      </c>
      <c r="N747" t="s">
        <v>79</v>
      </c>
      <c r="O747" t="s">
        <v>74</v>
      </c>
      <c r="P747" t="s">
        <v>74</v>
      </c>
      <c r="Q747" t="s">
        <v>74</v>
      </c>
      <c r="R747" t="s">
        <v>74</v>
      </c>
      <c r="S747" t="s">
        <v>74</v>
      </c>
      <c r="T747" t="s">
        <v>14326</v>
      </c>
      <c r="U747" t="s">
        <v>14327</v>
      </c>
      <c r="V747" t="s">
        <v>14328</v>
      </c>
      <c r="W747" t="s">
        <v>14329</v>
      </c>
      <c r="X747" t="s">
        <v>14330</v>
      </c>
      <c r="Y747" t="s">
        <v>14331</v>
      </c>
      <c r="Z747" t="s">
        <v>14332</v>
      </c>
      <c r="AA747" t="s">
        <v>14333</v>
      </c>
      <c r="AB747" t="s">
        <v>14334</v>
      </c>
      <c r="AC747" t="s">
        <v>14335</v>
      </c>
      <c r="AD747" t="s">
        <v>14336</v>
      </c>
      <c r="AE747" t="s">
        <v>14337</v>
      </c>
      <c r="AF747" t="s">
        <v>74</v>
      </c>
      <c r="AG747">
        <v>37</v>
      </c>
      <c r="AH747">
        <v>5</v>
      </c>
      <c r="AI747">
        <v>6</v>
      </c>
      <c r="AJ747">
        <v>1</v>
      </c>
      <c r="AK747">
        <v>31</v>
      </c>
      <c r="AL747" t="s">
        <v>3662</v>
      </c>
      <c r="AM747" t="s">
        <v>262</v>
      </c>
      <c r="AN747" t="s">
        <v>3663</v>
      </c>
      <c r="AO747" t="s">
        <v>7359</v>
      </c>
      <c r="AP747" t="s">
        <v>7360</v>
      </c>
      <c r="AQ747" t="s">
        <v>74</v>
      </c>
      <c r="AR747" t="s">
        <v>7361</v>
      </c>
      <c r="AS747" t="s">
        <v>7362</v>
      </c>
      <c r="AT747" t="s">
        <v>14027</v>
      </c>
      <c r="AU747">
        <v>2016</v>
      </c>
      <c r="AV747">
        <v>28</v>
      </c>
      <c r="AW747">
        <v>1</v>
      </c>
      <c r="AX747" t="s">
        <v>74</v>
      </c>
      <c r="AY747" t="s">
        <v>74</v>
      </c>
      <c r="AZ747" t="s">
        <v>74</v>
      </c>
      <c r="BA747" t="s">
        <v>74</v>
      </c>
      <c r="BB747">
        <v>17</v>
      </c>
      <c r="BC747">
        <v>28</v>
      </c>
      <c r="BD747" t="s">
        <v>74</v>
      </c>
      <c r="BE747" t="s">
        <v>14338</v>
      </c>
      <c r="BF747" t="str">
        <f>HYPERLINK("http://dx.doi.org/10.1017/S0954102015000413","http://dx.doi.org/10.1017/S0954102015000413")</f>
        <v>http://dx.doi.org/10.1017/S0954102015000413</v>
      </c>
      <c r="BG747" t="s">
        <v>74</v>
      </c>
      <c r="BH747" t="s">
        <v>74</v>
      </c>
      <c r="BI747">
        <v>12</v>
      </c>
      <c r="BJ747" t="s">
        <v>7364</v>
      </c>
      <c r="BK747" t="s">
        <v>102</v>
      </c>
      <c r="BL747" t="s">
        <v>7365</v>
      </c>
      <c r="BM747" t="s">
        <v>14321</v>
      </c>
      <c r="BN747" t="s">
        <v>74</v>
      </c>
      <c r="BO747" t="s">
        <v>74</v>
      </c>
      <c r="BP747" t="s">
        <v>74</v>
      </c>
      <c r="BQ747" t="s">
        <v>74</v>
      </c>
      <c r="BR747" t="s">
        <v>106</v>
      </c>
      <c r="BS747" t="s">
        <v>14339</v>
      </c>
      <c r="BT747" t="str">
        <f>HYPERLINK("https%3A%2F%2Fwww.webofscience.com%2Fwos%2Fwoscc%2Ffull-record%2FWOS:000372521000003","View Full Record in Web of Science")</f>
        <v>View Full Record in Web of Science</v>
      </c>
    </row>
    <row r="748" spans="1:72" x14ac:dyDescent="0.15">
      <c r="A748" t="s">
        <v>72</v>
      </c>
      <c r="B748" t="s">
        <v>14340</v>
      </c>
      <c r="C748" t="s">
        <v>74</v>
      </c>
      <c r="D748" t="s">
        <v>74</v>
      </c>
      <c r="E748" t="s">
        <v>74</v>
      </c>
      <c r="F748" t="s">
        <v>14341</v>
      </c>
      <c r="G748" t="s">
        <v>74</v>
      </c>
      <c r="H748" t="s">
        <v>74</v>
      </c>
      <c r="I748" t="s">
        <v>14342</v>
      </c>
      <c r="J748" t="s">
        <v>7348</v>
      </c>
      <c r="K748" t="s">
        <v>74</v>
      </c>
      <c r="L748" t="s">
        <v>74</v>
      </c>
      <c r="M748" t="s">
        <v>78</v>
      </c>
      <c r="N748" t="s">
        <v>79</v>
      </c>
      <c r="O748" t="s">
        <v>74</v>
      </c>
      <c r="P748" t="s">
        <v>74</v>
      </c>
      <c r="Q748" t="s">
        <v>74</v>
      </c>
      <c r="R748" t="s">
        <v>74</v>
      </c>
      <c r="S748" t="s">
        <v>74</v>
      </c>
      <c r="T748" t="s">
        <v>14343</v>
      </c>
      <c r="U748" t="s">
        <v>14344</v>
      </c>
      <c r="V748" t="s">
        <v>14345</v>
      </c>
      <c r="W748" t="s">
        <v>14346</v>
      </c>
      <c r="X748" t="s">
        <v>14347</v>
      </c>
      <c r="Y748" t="s">
        <v>14348</v>
      </c>
      <c r="Z748" t="s">
        <v>14349</v>
      </c>
      <c r="AA748" t="s">
        <v>4261</v>
      </c>
      <c r="AB748" t="s">
        <v>14350</v>
      </c>
      <c r="AC748" t="s">
        <v>14351</v>
      </c>
      <c r="AD748" t="s">
        <v>14352</v>
      </c>
      <c r="AE748" t="s">
        <v>14353</v>
      </c>
      <c r="AF748" t="s">
        <v>74</v>
      </c>
      <c r="AG748">
        <v>21</v>
      </c>
      <c r="AH748">
        <v>16</v>
      </c>
      <c r="AI748">
        <v>18</v>
      </c>
      <c r="AJ748">
        <v>0</v>
      </c>
      <c r="AK748">
        <v>17</v>
      </c>
      <c r="AL748" t="s">
        <v>3662</v>
      </c>
      <c r="AM748" t="s">
        <v>262</v>
      </c>
      <c r="AN748" t="s">
        <v>3663</v>
      </c>
      <c r="AO748" t="s">
        <v>7359</v>
      </c>
      <c r="AP748" t="s">
        <v>7360</v>
      </c>
      <c r="AQ748" t="s">
        <v>74</v>
      </c>
      <c r="AR748" t="s">
        <v>7361</v>
      </c>
      <c r="AS748" t="s">
        <v>7362</v>
      </c>
      <c r="AT748" t="s">
        <v>14027</v>
      </c>
      <c r="AU748">
        <v>2016</v>
      </c>
      <c r="AV748">
        <v>28</v>
      </c>
      <c r="AW748">
        <v>1</v>
      </c>
      <c r="AX748" t="s">
        <v>74</v>
      </c>
      <c r="AY748" t="s">
        <v>74</v>
      </c>
      <c r="AZ748" t="s">
        <v>74</v>
      </c>
      <c r="BA748" t="s">
        <v>74</v>
      </c>
      <c r="BB748">
        <v>29</v>
      </c>
      <c r="BC748">
        <v>34</v>
      </c>
      <c r="BD748" t="s">
        <v>74</v>
      </c>
      <c r="BE748" t="s">
        <v>14354</v>
      </c>
      <c r="BF748" t="str">
        <f>HYPERLINK("http://dx.doi.org/10.1017/S0954102015000450","http://dx.doi.org/10.1017/S0954102015000450")</f>
        <v>http://dx.doi.org/10.1017/S0954102015000450</v>
      </c>
      <c r="BG748" t="s">
        <v>74</v>
      </c>
      <c r="BH748" t="s">
        <v>74</v>
      </c>
      <c r="BI748">
        <v>6</v>
      </c>
      <c r="BJ748" t="s">
        <v>7364</v>
      </c>
      <c r="BK748" t="s">
        <v>102</v>
      </c>
      <c r="BL748" t="s">
        <v>7365</v>
      </c>
      <c r="BM748" t="s">
        <v>14321</v>
      </c>
      <c r="BN748" t="s">
        <v>74</v>
      </c>
      <c r="BO748" t="s">
        <v>222</v>
      </c>
      <c r="BP748" t="s">
        <v>74</v>
      </c>
      <c r="BQ748" t="s">
        <v>74</v>
      </c>
      <c r="BR748" t="s">
        <v>106</v>
      </c>
      <c r="BS748" t="s">
        <v>14355</v>
      </c>
      <c r="BT748" t="str">
        <f>HYPERLINK("https%3A%2F%2Fwww.webofscience.com%2Fwos%2Fwoscc%2Ffull-record%2FWOS:000372521000004","View Full Record in Web of Science")</f>
        <v>View Full Record in Web of Science</v>
      </c>
    </row>
    <row r="749" spans="1:72" x14ac:dyDescent="0.15">
      <c r="A749" t="s">
        <v>72</v>
      </c>
      <c r="B749" t="s">
        <v>14356</v>
      </c>
      <c r="C749" t="s">
        <v>74</v>
      </c>
      <c r="D749" t="s">
        <v>74</v>
      </c>
      <c r="E749" t="s">
        <v>74</v>
      </c>
      <c r="F749" t="s">
        <v>14357</v>
      </c>
      <c r="G749" t="s">
        <v>74</v>
      </c>
      <c r="H749" t="s">
        <v>74</v>
      </c>
      <c r="I749" t="s">
        <v>14358</v>
      </c>
      <c r="J749" t="s">
        <v>7348</v>
      </c>
      <c r="K749" t="s">
        <v>74</v>
      </c>
      <c r="L749" t="s">
        <v>74</v>
      </c>
      <c r="M749" t="s">
        <v>78</v>
      </c>
      <c r="N749" t="s">
        <v>79</v>
      </c>
      <c r="O749" t="s">
        <v>74</v>
      </c>
      <c r="P749" t="s">
        <v>74</v>
      </c>
      <c r="Q749" t="s">
        <v>74</v>
      </c>
      <c r="R749" t="s">
        <v>74</v>
      </c>
      <c r="S749" t="s">
        <v>74</v>
      </c>
      <c r="T749" t="s">
        <v>14359</v>
      </c>
      <c r="U749" t="s">
        <v>14360</v>
      </c>
      <c r="V749" t="s">
        <v>14361</v>
      </c>
      <c r="W749" t="s">
        <v>14362</v>
      </c>
      <c r="X749" t="s">
        <v>14363</v>
      </c>
      <c r="Y749" t="s">
        <v>14364</v>
      </c>
      <c r="Z749" t="s">
        <v>14365</v>
      </c>
      <c r="AA749" t="s">
        <v>4246</v>
      </c>
      <c r="AB749" t="s">
        <v>14366</v>
      </c>
      <c r="AC749" t="s">
        <v>14367</v>
      </c>
      <c r="AD749" t="s">
        <v>14368</v>
      </c>
      <c r="AE749" t="s">
        <v>14369</v>
      </c>
      <c r="AF749" t="s">
        <v>74</v>
      </c>
      <c r="AG749">
        <v>40</v>
      </c>
      <c r="AH749">
        <v>10</v>
      </c>
      <c r="AI749">
        <v>10</v>
      </c>
      <c r="AJ749">
        <v>1</v>
      </c>
      <c r="AK749">
        <v>11</v>
      </c>
      <c r="AL749" t="s">
        <v>3662</v>
      </c>
      <c r="AM749" t="s">
        <v>262</v>
      </c>
      <c r="AN749" t="s">
        <v>3663</v>
      </c>
      <c r="AO749" t="s">
        <v>7359</v>
      </c>
      <c r="AP749" t="s">
        <v>7360</v>
      </c>
      <c r="AQ749" t="s">
        <v>74</v>
      </c>
      <c r="AR749" t="s">
        <v>7361</v>
      </c>
      <c r="AS749" t="s">
        <v>7362</v>
      </c>
      <c r="AT749" t="s">
        <v>14027</v>
      </c>
      <c r="AU749">
        <v>2016</v>
      </c>
      <c r="AV749">
        <v>28</v>
      </c>
      <c r="AW749">
        <v>1</v>
      </c>
      <c r="AX749" t="s">
        <v>74</v>
      </c>
      <c r="AY749" t="s">
        <v>74</v>
      </c>
      <c r="AZ749" t="s">
        <v>74</v>
      </c>
      <c r="BA749" t="s">
        <v>74</v>
      </c>
      <c r="BB749">
        <v>44</v>
      </c>
      <c r="BC749">
        <v>50</v>
      </c>
      <c r="BD749" t="s">
        <v>74</v>
      </c>
      <c r="BE749" t="s">
        <v>14370</v>
      </c>
      <c r="BF749" t="str">
        <f>HYPERLINK("http://dx.doi.org/10.1017/S0954102015000462","http://dx.doi.org/10.1017/S0954102015000462")</f>
        <v>http://dx.doi.org/10.1017/S0954102015000462</v>
      </c>
      <c r="BG749" t="s">
        <v>74</v>
      </c>
      <c r="BH749" t="s">
        <v>74</v>
      </c>
      <c r="BI749">
        <v>7</v>
      </c>
      <c r="BJ749" t="s">
        <v>7364</v>
      </c>
      <c r="BK749" t="s">
        <v>102</v>
      </c>
      <c r="BL749" t="s">
        <v>7365</v>
      </c>
      <c r="BM749" t="s">
        <v>14321</v>
      </c>
      <c r="BN749" t="s">
        <v>74</v>
      </c>
      <c r="BO749" t="s">
        <v>74</v>
      </c>
      <c r="BP749" t="s">
        <v>74</v>
      </c>
      <c r="BQ749" t="s">
        <v>74</v>
      </c>
      <c r="BR749" t="s">
        <v>106</v>
      </c>
      <c r="BS749" t="s">
        <v>14371</v>
      </c>
      <c r="BT749" t="str">
        <f>HYPERLINK("https%3A%2F%2Fwww.webofscience.com%2Fwos%2Fwoscc%2Ffull-record%2FWOS:000372521000006","View Full Record in Web of Science")</f>
        <v>View Full Record in Web of Science</v>
      </c>
    </row>
    <row r="750" spans="1:72" x14ac:dyDescent="0.15">
      <c r="A750" t="s">
        <v>72</v>
      </c>
      <c r="B750" t="s">
        <v>14372</v>
      </c>
      <c r="C750" t="s">
        <v>74</v>
      </c>
      <c r="D750" t="s">
        <v>74</v>
      </c>
      <c r="E750" t="s">
        <v>74</v>
      </c>
      <c r="F750" t="s">
        <v>14373</v>
      </c>
      <c r="G750" t="s">
        <v>74</v>
      </c>
      <c r="H750" t="s">
        <v>74</v>
      </c>
      <c r="I750" t="s">
        <v>14374</v>
      </c>
      <c r="J750" t="s">
        <v>7348</v>
      </c>
      <c r="K750" t="s">
        <v>74</v>
      </c>
      <c r="L750" t="s">
        <v>74</v>
      </c>
      <c r="M750" t="s">
        <v>78</v>
      </c>
      <c r="N750" t="s">
        <v>79</v>
      </c>
      <c r="O750" t="s">
        <v>74</v>
      </c>
      <c r="P750" t="s">
        <v>74</v>
      </c>
      <c r="Q750" t="s">
        <v>74</v>
      </c>
      <c r="R750" t="s">
        <v>74</v>
      </c>
      <c r="S750" t="s">
        <v>74</v>
      </c>
      <c r="T750" t="s">
        <v>14375</v>
      </c>
      <c r="U750" t="s">
        <v>14376</v>
      </c>
      <c r="V750" t="s">
        <v>14377</v>
      </c>
      <c r="W750" t="s">
        <v>14378</v>
      </c>
      <c r="X750" t="s">
        <v>7353</v>
      </c>
      <c r="Y750" t="s">
        <v>14379</v>
      </c>
      <c r="Z750" t="s">
        <v>9417</v>
      </c>
      <c r="AA750" t="s">
        <v>14380</v>
      </c>
      <c r="AB750" t="s">
        <v>14381</v>
      </c>
      <c r="AC750" t="s">
        <v>14382</v>
      </c>
      <c r="AD750" t="s">
        <v>14382</v>
      </c>
      <c r="AE750" t="s">
        <v>14383</v>
      </c>
      <c r="AF750" t="s">
        <v>74</v>
      </c>
      <c r="AG750">
        <v>34</v>
      </c>
      <c r="AH750">
        <v>10</v>
      </c>
      <c r="AI750">
        <v>10</v>
      </c>
      <c r="AJ750">
        <v>0</v>
      </c>
      <c r="AK750">
        <v>21</v>
      </c>
      <c r="AL750" t="s">
        <v>3662</v>
      </c>
      <c r="AM750" t="s">
        <v>262</v>
      </c>
      <c r="AN750" t="s">
        <v>3663</v>
      </c>
      <c r="AO750" t="s">
        <v>7359</v>
      </c>
      <c r="AP750" t="s">
        <v>7360</v>
      </c>
      <c r="AQ750" t="s">
        <v>74</v>
      </c>
      <c r="AR750" t="s">
        <v>7361</v>
      </c>
      <c r="AS750" t="s">
        <v>7362</v>
      </c>
      <c r="AT750" t="s">
        <v>14027</v>
      </c>
      <c r="AU750">
        <v>2016</v>
      </c>
      <c r="AV750">
        <v>28</v>
      </c>
      <c r="AW750">
        <v>1</v>
      </c>
      <c r="AX750" t="s">
        <v>74</v>
      </c>
      <c r="AY750" t="s">
        <v>74</v>
      </c>
      <c r="AZ750" t="s">
        <v>74</v>
      </c>
      <c r="BA750" t="s">
        <v>74</v>
      </c>
      <c r="BB750">
        <v>51</v>
      </c>
      <c r="BC750">
        <v>57</v>
      </c>
      <c r="BD750" t="s">
        <v>74</v>
      </c>
      <c r="BE750" t="s">
        <v>14384</v>
      </c>
      <c r="BF750" t="str">
        <f>HYPERLINK("http://dx.doi.org/10.1017/S0954102015000474","http://dx.doi.org/10.1017/S0954102015000474")</f>
        <v>http://dx.doi.org/10.1017/S0954102015000474</v>
      </c>
      <c r="BG750" t="s">
        <v>74</v>
      </c>
      <c r="BH750" t="s">
        <v>74</v>
      </c>
      <c r="BI750">
        <v>7</v>
      </c>
      <c r="BJ750" t="s">
        <v>7364</v>
      </c>
      <c r="BK750" t="s">
        <v>102</v>
      </c>
      <c r="BL750" t="s">
        <v>7365</v>
      </c>
      <c r="BM750" t="s">
        <v>14321</v>
      </c>
      <c r="BN750" t="s">
        <v>74</v>
      </c>
      <c r="BO750" t="s">
        <v>74</v>
      </c>
      <c r="BP750" t="s">
        <v>74</v>
      </c>
      <c r="BQ750" t="s">
        <v>74</v>
      </c>
      <c r="BR750" t="s">
        <v>106</v>
      </c>
      <c r="BS750" t="s">
        <v>14385</v>
      </c>
      <c r="BT750" t="str">
        <f>HYPERLINK("https%3A%2F%2Fwww.webofscience.com%2Fwos%2Fwoscc%2Ffull-record%2FWOS:000372521000007","View Full Record in Web of Science")</f>
        <v>View Full Record in Web of Science</v>
      </c>
    </row>
    <row r="751" spans="1:72" x14ac:dyDescent="0.15">
      <c r="A751" t="s">
        <v>72</v>
      </c>
      <c r="B751" t="s">
        <v>14386</v>
      </c>
      <c r="C751" t="s">
        <v>74</v>
      </c>
      <c r="D751" t="s">
        <v>74</v>
      </c>
      <c r="E751" t="s">
        <v>74</v>
      </c>
      <c r="F751" t="s">
        <v>14387</v>
      </c>
      <c r="G751" t="s">
        <v>74</v>
      </c>
      <c r="H751" t="s">
        <v>74</v>
      </c>
      <c r="I751" t="s">
        <v>14388</v>
      </c>
      <c r="J751" t="s">
        <v>7348</v>
      </c>
      <c r="K751" t="s">
        <v>74</v>
      </c>
      <c r="L751" t="s">
        <v>74</v>
      </c>
      <c r="M751" t="s">
        <v>78</v>
      </c>
      <c r="N751" t="s">
        <v>79</v>
      </c>
      <c r="O751" t="s">
        <v>74</v>
      </c>
      <c r="P751" t="s">
        <v>74</v>
      </c>
      <c r="Q751" t="s">
        <v>74</v>
      </c>
      <c r="R751" t="s">
        <v>74</v>
      </c>
      <c r="S751" t="s">
        <v>74</v>
      </c>
      <c r="T751" t="s">
        <v>14389</v>
      </c>
      <c r="U751" t="s">
        <v>14390</v>
      </c>
      <c r="V751" t="s">
        <v>14391</v>
      </c>
      <c r="W751" t="s">
        <v>14392</v>
      </c>
      <c r="X751" t="s">
        <v>14393</v>
      </c>
      <c r="Y751" t="s">
        <v>14394</v>
      </c>
      <c r="Z751" t="s">
        <v>14395</v>
      </c>
      <c r="AA751" t="s">
        <v>14396</v>
      </c>
      <c r="AB751" t="s">
        <v>14397</v>
      </c>
      <c r="AC751" t="s">
        <v>14398</v>
      </c>
      <c r="AD751" t="s">
        <v>14399</v>
      </c>
      <c r="AE751" t="s">
        <v>14400</v>
      </c>
      <c r="AF751" t="s">
        <v>74</v>
      </c>
      <c r="AG751">
        <v>37</v>
      </c>
      <c r="AH751">
        <v>20</v>
      </c>
      <c r="AI751">
        <v>22</v>
      </c>
      <c r="AJ751">
        <v>1</v>
      </c>
      <c r="AK751">
        <v>21</v>
      </c>
      <c r="AL751" t="s">
        <v>3662</v>
      </c>
      <c r="AM751" t="s">
        <v>262</v>
      </c>
      <c r="AN751" t="s">
        <v>3663</v>
      </c>
      <c r="AO751" t="s">
        <v>7359</v>
      </c>
      <c r="AP751" t="s">
        <v>7360</v>
      </c>
      <c r="AQ751" t="s">
        <v>74</v>
      </c>
      <c r="AR751" t="s">
        <v>7361</v>
      </c>
      <c r="AS751" t="s">
        <v>7362</v>
      </c>
      <c r="AT751" t="s">
        <v>14027</v>
      </c>
      <c r="AU751">
        <v>2016</v>
      </c>
      <c r="AV751">
        <v>28</v>
      </c>
      <c r="AW751">
        <v>1</v>
      </c>
      <c r="AX751" t="s">
        <v>74</v>
      </c>
      <c r="AY751" t="s">
        <v>74</v>
      </c>
      <c r="AZ751" t="s">
        <v>74</v>
      </c>
      <c r="BA751" t="s">
        <v>74</v>
      </c>
      <c r="BB751">
        <v>59</v>
      </c>
      <c r="BC751">
        <v>70</v>
      </c>
      <c r="BD751" t="s">
        <v>74</v>
      </c>
      <c r="BE751" t="s">
        <v>14401</v>
      </c>
      <c r="BF751" t="str">
        <f>HYPERLINK("http://dx.doi.org/10.1017/S0954102015000449","http://dx.doi.org/10.1017/S0954102015000449")</f>
        <v>http://dx.doi.org/10.1017/S0954102015000449</v>
      </c>
      <c r="BG751" t="s">
        <v>74</v>
      </c>
      <c r="BH751" t="s">
        <v>74</v>
      </c>
      <c r="BI751">
        <v>12</v>
      </c>
      <c r="BJ751" t="s">
        <v>7364</v>
      </c>
      <c r="BK751" t="s">
        <v>102</v>
      </c>
      <c r="BL751" t="s">
        <v>7365</v>
      </c>
      <c r="BM751" t="s">
        <v>14321</v>
      </c>
      <c r="BN751" t="s">
        <v>74</v>
      </c>
      <c r="BO751" t="s">
        <v>74</v>
      </c>
      <c r="BP751" t="s">
        <v>74</v>
      </c>
      <c r="BQ751" t="s">
        <v>74</v>
      </c>
      <c r="BR751" t="s">
        <v>106</v>
      </c>
      <c r="BS751" t="s">
        <v>14402</v>
      </c>
      <c r="BT751" t="str">
        <f>HYPERLINK("https%3A%2F%2Fwww.webofscience.com%2Fwos%2Fwoscc%2Ffull-record%2FWOS:000372521000008","View Full Record in Web of Science")</f>
        <v>View Full Record in Web of Science</v>
      </c>
    </row>
    <row r="752" spans="1:72" x14ac:dyDescent="0.15">
      <c r="A752" t="s">
        <v>72</v>
      </c>
      <c r="B752" t="s">
        <v>14403</v>
      </c>
      <c r="C752" t="s">
        <v>74</v>
      </c>
      <c r="D752" t="s">
        <v>74</v>
      </c>
      <c r="E752" t="s">
        <v>74</v>
      </c>
      <c r="F752" t="s">
        <v>14404</v>
      </c>
      <c r="G752" t="s">
        <v>74</v>
      </c>
      <c r="H752" t="s">
        <v>74</v>
      </c>
      <c r="I752" t="s">
        <v>14405</v>
      </c>
      <c r="J752" t="s">
        <v>14406</v>
      </c>
      <c r="K752" t="s">
        <v>74</v>
      </c>
      <c r="L752" t="s">
        <v>74</v>
      </c>
      <c r="M752" t="s">
        <v>78</v>
      </c>
      <c r="N752" t="s">
        <v>79</v>
      </c>
      <c r="O752" t="s">
        <v>74</v>
      </c>
      <c r="P752" t="s">
        <v>74</v>
      </c>
      <c r="Q752" t="s">
        <v>74</v>
      </c>
      <c r="R752" t="s">
        <v>74</v>
      </c>
      <c r="S752" t="s">
        <v>74</v>
      </c>
      <c r="T752" t="s">
        <v>14407</v>
      </c>
      <c r="U752" t="s">
        <v>14408</v>
      </c>
      <c r="V752" t="s">
        <v>14409</v>
      </c>
      <c r="W752" t="s">
        <v>14410</v>
      </c>
      <c r="X752" t="s">
        <v>14411</v>
      </c>
      <c r="Y752" t="s">
        <v>14412</v>
      </c>
      <c r="Z752" t="s">
        <v>14413</v>
      </c>
      <c r="AA752" t="s">
        <v>14414</v>
      </c>
      <c r="AB752" t="s">
        <v>14415</v>
      </c>
      <c r="AC752" t="s">
        <v>14416</v>
      </c>
      <c r="AD752" t="s">
        <v>14417</v>
      </c>
      <c r="AE752" t="s">
        <v>14418</v>
      </c>
      <c r="AF752" t="s">
        <v>74</v>
      </c>
      <c r="AG752">
        <v>71</v>
      </c>
      <c r="AH752">
        <v>20</v>
      </c>
      <c r="AI752">
        <v>24</v>
      </c>
      <c r="AJ752">
        <v>0</v>
      </c>
      <c r="AK752">
        <v>31</v>
      </c>
      <c r="AL752" t="s">
        <v>194</v>
      </c>
      <c r="AM752" t="s">
        <v>262</v>
      </c>
      <c r="AN752" t="s">
        <v>263</v>
      </c>
      <c r="AO752" t="s">
        <v>14419</v>
      </c>
      <c r="AP752" t="s">
        <v>14420</v>
      </c>
      <c r="AQ752" t="s">
        <v>74</v>
      </c>
      <c r="AR752" t="s">
        <v>14421</v>
      </c>
      <c r="AS752" t="s">
        <v>14422</v>
      </c>
      <c r="AT752" t="s">
        <v>14027</v>
      </c>
      <c r="AU752">
        <v>2016</v>
      </c>
      <c r="AV752">
        <v>90</v>
      </c>
      <c r="AW752">
        <v>2</v>
      </c>
      <c r="AX752" t="s">
        <v>74</v>
      </c>
      <c r="AY752" t="s">
        <v>74</v>
      </c>
      <c r="AZ752" t="s">
        <v>74</v>
      </c>
      <c r="BA752" t="s">
        <v>74</v>
      </c>
      <c r="BB752">
        <v>105</v>
      </c>
      <c r="BC752">
        <v>127</v>
      </c>
      <c r="BD752" t="s">
        <v>74</v>
      </c>
      <c r="BE752" t="s">
        <v>14423</v>
      </c>
      <c r="BF752" t="str">
        <f>HYPERLINK("http://dx.doi.org/10.1007/s00190-015-0857-6","http://dx.doi.org/10.1007/s00190-015-0857-6")</f>
        <v>http://dx.doi.org/10.1007/s00190-015-0857-6</v>
      </c>
      <c r="BG752" t="s">
        <v>74</v>
      </c>
      <c r="BH752" t="s">
        <v>74</v>
      </c>
      <c r="BI752">
        <v>23</v>
      </c>
      <c r="BJ752" t="s">
        <v>14424</v>
      </c>
      <c r="BK752" t="s">
        <v>102</v>
      </c>
      <c r="BL752" t="s">
        <v>14424</v>
      </c>
      <c r="BM752" t="s">
        <v>14425</v>
      </c>
      <c r="BN752" t="s">
        <v>74</v>
      </c>
      <c r="BO752" t="s">
        <v>74</v>
      </c>
      <c r="BP752" t="s">
        <v>74</v>
      </c>
      <c r="BQ752" t="s">
        <v>74</v>
      </c>
      <c r="BR752" t="s">
        <v>106</v>
      </c>
      <c r="BS752" t="s">
        <v>14426</v>
      </c>
      <c r="BT752" t="str">
        <f>HYPERLINK("https%3A%2F%2Fwww.webofscience.com%2Fwos%2Fwoscc%2Ffull-record%2FWOS:000372754800001","View Full Record in Web of Science")</f>
        <v>View Full Record in Web of Science</v>
      </c>
    </row>
    <row r="753" spans="1:72" x14ac:dyDescent="0.15">
      <c r="A753" t="s">
        <v>72</v>
      </c>
      <c r="B753" t="s">
        <v>14427</v>
      </c>
      <c r="C753" t="s">
        <v>74</v>
      </c>
      <c r="D753" t="s">
        <v>74</v>
      </c>
      <c r="E753" t="s">
        <v>74</v>
      </c>
      <c r="F753" t="s">
        <v>14428</v>
      </c>
      <c r="G753" t="s">
        <v>74</v>
      </c>
      <c r="H753" t="s">
        <v>74</v>
      </c>
      <c r="I753" t="s">
        <v>14429</v>
      </c>
      <c r="J753" t="s">
        <v>823</v>
      </c>
      <c r="K753" t="s">
        <v>74</v>
      </c>
      <c r="L753" t="s">
        <v>74</v>
      </c>
      <c r="M753" t="s">
        <v>78</v>
      </c>
      <c r="N753" t="s">
        <v>79</v>
      </c>
      <c r="O753" t="s">
        <v>74</v>
      </c>
      <c r="P753" t="s">
        <v>74</v>
      </c>
      <c r="Q753" t="s">
        <v>74</v>
      </c>
      <c r="R753" t="s">
        <v>74</v>
      </c>
      <c r="S753" t="s">
        <v>74</v>
      </c>
      <c r="T753" t="s">
        <v>14430</v>
      </c>
      <c r="U753" t="s">
        <v>14431</v>
      </c>
      <c r="V753" t="s">
        <v>14432</v>
      </c>
      <c r="W753" t="s">
        <v>14433</v>
      </c>
      <c r="X753" t="s">
        <v>14434</v>
      </c>
      <c r="Y753" t="s">
        <v>14435</v>
      </c>
      <c r="Z753" t="s">
        <v>9658</v>
      </c>
      <c r="AA753" t="s">
        <v>9659</v>
      </c>
      <c r="AB753" t="s">
        <v>14436</v>
      </c>
      <c r="AC753" t="s">
        <v>14437</v>
      </c>
      <c r="AD753" t="s">
        <v>14438</v>
      </c>
      <c r="AE753" t="s">
        <v>14439</v>
      </c>
      <c r="AF753" t="s">
        <v>74</v>
      </c>
      <c r="AG753">
        <v>81</v>
      </c>
      <c r="AH753">
        <v>26</v>
      </c>
      <c r="AI753">
        <v>28</v>
      </c>
      <c r="AJ753">
        <v>3</v>
      </c>
      <c r="AK753">
        <v>33</v>
      </c>
      <c r="AL753" t="s">
        <v>92</v>
      </c>
      <c r="AM753" t="s">
        <v>93</v>
      </c>
      <c r="AN753" t="s">
        <v>94</v>
      </c>
      <c r="AO753" t="s">
        <v>835</v>
      </c>
      <c r="AP753" t="s">
        <v>836</v>
      </c>
      <c r="AQ753" t="s">
        <v>74</v>
      </c>
      <c r="AR753" t="s">
        <v>823</v>
      </c>
      <c r="AS753" t="s">
        <v>837</v>
      </c>
      <c r="AT753" t="s">
        <v>14027</v>
      </c>
      <c r="AU753">
        <v>2016</v>
      </c>
      <c r="AV753">
        <v>31</v>
      </c>
      <c r="AW753">
        <v>2</v>
      </c>
      <c r="AX753" t="s">
        <v>74</v>
      </c>
      <c r="AY753" t="s">
        <v>74</v>
      </c>
      <c r="AZ753" t="s">
        <v>74</v>
      </c>
      <c r="BA753" t="s">
        <v>74</v>
      </c>
      <c r="BB753">
        <v>298</v>
      </c>
      <c r="BC753">
        <v>310</v>
      </c>
      <c r="BD753" t="s">
        <v>74</v>
      </c>
      <c r="BE753" t="s">
        <v>14440</v>
      </c>
      <c r="BF753" t="str">
        <f>HYPERLINK("http://dx.doi.org/10.1002/2015PA002855","http://dx.doi.org/10.1002/2015PA002855")</f>
        <v>http://dx.doi.org/10.1002/2015PA002855</v>
      </c>
      <c r="BG753" t="s">
        <v>74</v>
      </c>
      <c r="BH753" t="s">
        <v>74</v>
      </c>
      <c r="BI753">
        <v>13</v>
      </c>
      <c r="BJ753" t="s">
        <v>839</v>
      </c>
      <c r="BK753" t="s">
        <v>102</v>
      </c>
      <c r="BL753" t="s">
        <v>840</v>
      </c>
      <c r="BM753" t="s">
        <v>14441</v>
      </c>
      <c r="BN753" t="s">
        <v>74</v>
      </c>
      <c r="BO753" t="s">
        <v>420</v>
      </c>
      <c r="BP753" t="s">
        <v>74</v>
      </c>
      <c r="BQ753" t="s">
        <v>74</v>
      </c>
      <c r="BR753" t="s">
        <v>106</v>
      </c>
      <c r="BS753" t="s">
        <v>14442</v>
      </c>
      <c r="BT753" t="str">
        <f>HYPERLINK("https%3A%2F%2Fwww.webofscience.com%2Fwos%2Fwoscc%2Ffull-record%2FWOS:000372727100006","View Full Record in Web of Science")</f>
        <v>View Full Record in Web of Science</v>
      </c>
    </row>
    <row r="754" spans="1:72" x14ac:dyDescent="0.15">
      <c r="A754" t="s">
        <v>72</v>
      </c>
      <c r="B754" t="s">
        <v>14443</v>
      </c>
      <c r="C754" t="s">
        <v>74</v>
      </c>
      <c r="D754" t="s">
        <v>74</v>
      </c>
      <c r="E754" t="s">
        <v>74</v>
      </c>
      <c r="F754" t="s">
        <v>14444</v>
      </c>
      <c r="G754" t="s">
        <v>74</v>
      </c>
      <c r="H754" t="s">
        <v>74</v>
      </c>
      <c r="I754" t="s">
        <v>14445</v>
      </c>
      <c r="J754" t="s">
        <v>14446</v>
      </c>
      <c r="K754" t="s">
        <v>74</v>
      </c>
      <c r="L754" t="s">
        <v>74</v>
      </c>
      <c r="M754" t="s">
        <v>78</v>
      </c>
      <c r="N754" t="s">
        <v>79</v>
      </c>
      <c r="O754" t="s">
        <v>74</v>
      </c>
      <c r="P754" t="s">
        <v>74</v>
      </c>
      <c r="Q754" t="s">
        <v>74</v>
      </c>
      <c r="R754" t="s">
        <v>74</v>
      </c>
      <c r="S754" t="s">
        <v>74</v>
      </c>
      <c r="T754" t="s">
        <v>14447</v>
      </c>
      <c r="U754" t="s">
        <v>14448</v>
      </c>
      <c r="V754" t="s">
        <v>14449</v>
      </c>
      <c r="W754" t="s">
        <v>14450</v>
      </c>
      <c r="X754" t="s">
        <v>14451</v>
      </c>
      <c r="Y754" t="s">
        <v>14452</v>
      </c>
      <c r="Z754" t="s">
        <v>14453</v>
      </c>
      <c r="AA754" t="s">
        <v>14454</v>
      </c>
      <c r="AB754" t="s">
        <v>74</v>
      </c>
      <c r="AC754" t="s">
        <v>74</v>
      </c>
      <c r="AD754" t="s">
        <v>74</v>
      </c>
      <c r="AE754" t="s">
        <v>74</v>
      </c>
      <c r="AF754" t="s">
        <v>74</v>
      </c>
      <c r="AG754">
        <v>43</v>
      </c>
      <c r="AH754">
        <v>17</v>
      </c>
      <c r="AI754">
        <v>17</v>
      </c>
      <c r="AJ754">
        <v>1</v>
      </c>
      <c r="AK754">
        <v>18</v>
      </c>
      <c r="AL754" t="s">
        <v>124</v>
      </c>
      <c r="AM754" t="s">
        <v>125</v>
      </c>
      <c r="AN754" t="s">
        <v>126</v>
      </c>
      <c r="AO754" t="s">
        <v>14455</v>
      </c>
      <c r="AP754" t="s">
        <v>14456</v>
      </c>
      <c r="AQ754" t="s">
        <v>74</v>
      </c>
      <c r="AR754" t="s">
        <v>14446</v>
      </c>
      <c r="AS754" t="s">
        <v>14457</v>
      </c>
      <c r="AT754" t="s">
        <v>14027</v>
      </c>
      <c r="AU754">
        <v>2016</v>
      </c>
      <c r="AV754">
        <v>27</v>
      </c>
      <c r="AW754">
        <v>1</v>
      </c>
      <c r="AX754" t="s">
        <v>74</v>
      </c>
      <c r="AY754" t="s">
        <v>74</v>
      </c>
      <c r="AZ754" t="s">
        <v>74</v>
      </c>
      <c r="BA754" t="s">
        <v>74</v>
      </c>
      <c r="BB754">
        <v>55</v>
      </c>
      <c r="BC754">
        <v>65</v>
      </c>
      <c r="BD754" t="s">
        <v>74</v>
      </c>
      <c r="BE754" t="s">
        <v>14458</v>
      </c>
      <c r="BF754" t="str">
        <f>HYPERLINK("http://dx.doi.org/10.1002/env.2373","http://dx.doi.org/10.1002/env.2373")</f>
        <v>http://dx.doi.org/10.1002/env.2373</v>
      </c>
      <c r="BG754" t="s">
        <v>74</v>
      </c>
      <c r="BH754" t="s">
        <v>74</v>
      </c>
      <c r="BI754">
        <v>11</v>
      </c>
      <c r="BJ754" t="s">
        <v>14459</v>
      </c>
      <c r="BK754" t="s">
        <v>102</v>
      </c>
      <c r="BL754" t="s">
        <v>14460</v>
      </c>
      <c r="BM754" t="s">
        <v>14461</v>
      </c>
      <c r="BN754" t="s">
        <v>74</v>
      </c>
      <c r="BO754" t="s">
        <v>74</v>
      </c>
      <c r="BP754" t="s">
        <v>74</v>
      </c>
      <c r="BQ754" t="s">
        <v>74</v>
      </c>
      <c r="BR754" t="s">
        <v>106</v>
      </c>
      <c r="BS754" t="s">
        <v>14462</v>
      </c>
      <c r="BT754" t="str">
        <f>HYPERLINK("https%3A%2F%2Fwww.webofscience.com%2Fwos%2Fwoscc%2Ffull-record%2FWOS:000372028200005","View Full Record in Web of Science")</f>
        <v>View Full Record in Web of Science</v>
      </c>
    </row>
    <row r="755" spans="1:72" x14ac:dyDescent="0.15">
      <c r="A755" t="s">
        <v>72</v>
      </c>
      <c r="B755" t="s">
        <v>14463</v>
      </c>
      <c r="C755" t="s">
        <v>74</v>
      </c>
      <c r="D755" t="s">
        <v>74</v>
      </c>
      <c r="E755" t="s">
        <v>74</v>
      </c>
      <c r="F755" t="s">
        <v>14464</v>
      </c>
      <c r="G755" t="s">
        <v>74</v>
      </c>
      <c r="H755" t="s">
        <v>74</v>
      </c>
      <c r="I755" t="s">
        <v>14465</v>
      </c>
      <c r="J755" t="s">
        <v>14466</v>
      </c>
      <c r="K755" t="s">
        <v>74</v>
      </c>
      <c r="L755" t="s">
        <v>74</v>
      </c>
      <c r="M755" t="s">
        <v>78</v>
      </c>
      <c r="N755" t="s">
        <v>79</v>
      </c>
      <c r="O755" t="s">
        <v>74</v>
      </c>
      <c r="P755" t="s">
        <v>74</v>
      </c>
      <c r="Q755" t="s">
        <v>74</v>
      </c>
      <c r="R755" t="s">
        <v>74</v>
      </c>
      <c r="S755" t="s">
        <v>74</v>
      </c>
      <c r="T755" t="s">
        <v>74</v>
      </c>
      <c r="U755" t="s">
        <v>14467</v>
      </c>
      <c r="V755" t="s">
        <v>14468</v>
      </c>
      <c r="W755" t="s">
        <v>14469</v>
      </c>
      <c r="X755" t="s">
        <v>14470</v>
      </c>
      <c r="Y755" t="s">
        <v>14471</v>
      </c>
      <c r="Z755" t="s">
        <v>14472</v>
      </c>
      <c r="AA755" t="s">
        <v>74</v>
      </c>
      <c r="AB755" t="s">
        <v>74</v>
      </c>
      <c r="AC755" t="s">
        <v>14473</v>
      </c>
      <c r="AD755" t="s">
        <v>14474</v>
      </c>
      <c r="AE755" t="s">
        <v>14475</v>
      </c>
      <c r="AF755" t="s">
        <v>74</v>
      </c>
      <c r="AG755">
        <v>27</v>
      </c>
      <c r="AH755">
        <v>20</v>
      </c>
      <c r="AI755">
        <v>24</v>
      </c>
      <c r="AJ755">
        <v>2</v>
      </c>
      <c r="AK755">
        <v>27</v>
      </c>
      <c r="AL755" t="s">
        <v>124</v>
      </c>
      <c r="AM755" t="s">
        <v>125</v>
      </c>
      <c r="AN755" t="s">
        <v>126</v>
      </c>
      <c r="AO755" t="s">
        <v>14476</v>
      </c>
      <c r="AP755" t="s">
        <v>74</v>
      </c>
      <c r="AQ755" t="s">
        <v>74</v>
      </c>
      <c r="AR755" t="s">
        <v>14477</v>
      </c>
      <c r="AS755" t="s">
        <v>14478</v>
      </c>
      <c r="AT755" t="s">
        <v>14027</v>
      </c>
      <c r="AU755">
        <v>2016</v>
      </c>
      <c r="AV755">
        <v>8</v>
      </c>
      <c r="AW755">
        <v>1</v>
      </c>
      <c r="AX755" t="s">
        <v>74</v>
      </c>
      <c r="AY755" t="s">
        <v>74</v>
      </c>
      <c r="AZ755" t="s">
        <v>74</v>
      </c>
      <c r="BA755" t="s">
        <v>74</v>
      </c>
      <c r="BB755">
        <v>14</v>
      </c>
      <c r="BC755">
        <v>19</v>
      </c>
      <c r="BD755" t="s">
        <v>74</v>
      </c>
      <c r="BE755" t="s">
        <v>14479</v>
      </c>
      <c r="BF755" t="str">
        <f>HYPERLINK("http://dx.doi.org/10.1111/1758-2229.12337","http://dx.doi.org/10.1111/1758-2229.12337")</f>
        <v>http://dx.doi.org/10.1111/1758-2229.12337</v>
      </c>
      <c r="BG755" t="s">
        <v>74</v>
      </c>
      <c r="BH755" t="s">
        <v>74</v>
      </c>
      <c r="BI755">
        <v>6</v>
      </c>
      <c r="BJ755" t="s">
        <v>14480</v>
      </c>
      <c r="BK755" t="s">
        <v>102</v>
      </c>
      <c r="BL755" t="s">
        <v>14481</v>
      </c>
      <c r="BM755" t="s">
        <v>14482</v>
      </c>
      <c r="BN755">
        <v>26417678</v>
      </c>
      <c r="BO755" t="s">
        <v>74</v>
      </c>
      <c r="BP755" t="s">
        <v>74</v>
      </c>
      <c r="BQ755" t="s">
        <v>74</v>
      </c>
      <c r="BR755" t="s">
        <v>106</v>
      </c>
      <c r="BS755" t="s">
        <v>14483</v>
      </c>
      <c r="BT755" t="str">
        <f>HYPERLINK("https%3A%2F%2Fwww.webofscience.com%2Fwos%2Fwoscc%2Ffull-record%2FWOS:000371481100003","View Full Record in Web of Science")</f>
        <v>View Full Record in Web of Science</v>
      </c>
    </row>
    <row r="756" spans="1:72" x14ac:dyDescent="0.15">
      <c r="A756" t="s">
        <v>72</v>
      </c>
      <c r="B756" t="s">
        <v>14484</v>
      </c>
      <c r="C756" t="s">
        <v>74</v>
      </c>
      <c r="D756" t="s">
        <v>74</v>
      </c>
      <c r="E756" t="s">
        <v>74</v>
      </c>
      <c r="F756" t="s">
        <v>14485</v>
      </c>
      <c r="G756" t="s">
        <v>74</v>
      </c>
      <c r="H756" t="s">
        <v>74</v>
      </c>
      <c r="I756" t="s">
        <v>14486</v>
      </c>
      <c r="J756" t="s">
        <v>14487</v>
      </c>
      <c r="K756" t="s">
        <v>74</v>
      </c>
      <c r="L756" t="s">
        <v>74</v>
      </c>
      <c r="M756" t="s">
        <v>78</v>
      </c>
      <c r="N756" t="s">
        <v>79</v>
      </c>
      <c r="O756" t="s">
        <v>74</v>
      </c>
      <c r="P756" t="s">
        <v>74</v>
      </c>
      <c r="Q756" t="s">
        <v>74</v>
      </c>
      <c r="R756" t="s">
        <v>74</v>
      </c>
      <c r="S756" t="s">
        <v>74</v>
      </c>
      <c r="T756" t="s">
        <v>14488</v>
      </c>
      <c r="U756" t="s">
        <v>14489</v>
      </c>
      <c r="V756" t="s">
        <v>14490</v>
      </c>
      <c r="W756" t="s">
        <v>14491</v>
      </c>
      <c r="X756" t="s">
        <v>14492</v>
      </c>
      <c r="Y756" t="s">
        <v>14493</v>
      </c>
      <c r="Z756" t="s">
        <v>14494</v>
      </c>
      <c r="AA756" t="s">
        <v>74</v>
      </c>
      <c r="AB756" t="s">
        <v>74</v>
      </c>
      <c r="AC756" t="s">
        <v>74</v>
      </c>
      <c r="AD756" t="s">
        <v>74</v>
      </c>
      <c r="AE756" t="s">
        <v>74</v>
      </c>
      <c r="AF756" t="s">
        <v>74</v>
      </c>
      <c r="AG756">
        <v>27</v>
      </c>
      <c r="AH756">
        <v>5</v>
      </c>
      <c r="AI756">
        <v>5</v>
      </c>
      <c r="AJ756">
        <v>2</v>
      </c>
      <c r="AK756">
        <v>12</v>
      </c>
      <c r="AL756" t="s">
        <v>454</v>
      </c>
      <c r="AM756" t="s">
        <v>455</v>
      </c>
      <c r="AN756" t="s">
        <v>5065</v>
      </c>
      <c r="AO756" t="s">
        <v>14495</v>
      </c>
      <c r="AP756" t="s">
        <v>14496</v>
      </c>
      <c r="AQ756" t="s">
        <v>74</v>
      </c>
      <c r="AR756" t="s">
        <v>14497</v>
      </c>
      <c r="AS756" t="s">
        <v>14498</v>
      </c>
      <c r="AT756" t="s">
        <v>14499</v>
      </c>
      <c r="AU756">
        <v>2016</v>
      </c>
      <c r="AV756">
        <v>9</v>
      </c>
      <c r="AW756">
        <v>2</v>
      </c>
      <c r="AX756" t="s">
        <v>74</v>
      </c>
      <c r="AY756" t="s">
        <v>74</v>
      </c>
      <c r="AZ756" t="s">
        <v>74</v>
      </c>
      <c r="BA756" t="s">
        <v>74</v>
      </c>
      <c r="BB756">
        <v>156</v>
      </c>
      <c r="BC756">
        <v>170</v>
      </c>
      <c r="BD756" t="s">
        <v>74</v>
      </c>
      <c r="BE756" t="s">
        <v>14500</v>
      </c>
      <c r="BF756" t="str">
        <f>HYPERLINK("http://dx.doi.org/10.1080/17538947.2014.967318","http://dx.doi.org/10.1080/17538947.2014.967318")</f>
        <v>http://dx.doi.org/10.1080/17538947.2014.967318</v>
      </c>
      <c r="BG756" t="s">
        <v>74</v>
      </c>
      <c r="BH756" t="s">
        <v>74</v>
      </c>
      <c r="BI756">
        <v>15</v>
      </c>
      <c r="BJ756" t="s">
        <v>14501</v>
      </c>
      <c r="BK756" t="s">
        <v>102</v>
      </c>
      <c r="BL756" t="s">
        <v>14502</v>
      </c>
      <c r="BM756" t="s">
        <v>14503</v>
      </c>
      <c r="BN756" t="s">
        <v>74</v>
      </c>
      <c r="BO756" t="s">
        <v>74</v>
      </c>
      <c r="BP756" t="s">
        <v>74</v>
      </c>
      <c r="BQ756" t="s">
        <v>74</v>
      </c>
      <c r="BR756" t="s">
        <v>106</v>
      </c>
      <c r="BS756" t="s">
        <v>14504</v>
      </c>
      <c r="BT756" t="str">
        <f>HYPERLINK("https%3A%2F%2Fwww.webofscience.com%2Fwos%2Fwoscc%2Ffull-record%2FWOS:000371795600003","View Full Record in Web of Science")</f>
        <v>View Full Record in Web of Science</v>
      </c>
    </row>
    <row r="757" spans="1:72" x14ac:dyDescent="0.15">
      <c r="A757" t="s">
        <v>72</v>
      </c>
      <c r="B757" t="s">
        <v>14505</v>
      </c>
      <c r="C757" t="s">
        <v>74</v>
      </c>
      <c r="D757" t="s">
        <v>74</v>
      </c>
      <c r="E757" t="s">
        <v>74</v>
      </c>
      <c r="F757" t="s">
        <v>14506</v>
      </c>
      <c r="G757" t="s">
        <v>74</v>
      </c>
      <c r="H757" t="s">
        <v>74</v>
      </c>
      <c r="I757" t="s">
        <v>14507</v>
      </c>
      <c r="J757" t="s">
        <v>2842</v>
      </c>
      <c r="K757" t="s">
        <v>74</v>
      </c>
      <c r="L757" t="s">
        <v>74</v>
      </c>
      <c r="M757" t="s">
        <v>78</v>
      </c>
      <c r="N757" t="s">
        <v>79</v>
      </c>
      <c r="O757" t="s">
        <v>74</v>
      </c>
      <c r="P757" t="s">
        <v>74</v>
      </c>
      <c r="Q757" t="s">
        <v>74</v>
      </c>
      <c r="R757" t="s">
        <v>74</v>
      </c>
      <c r="S757" t="s">
        <v>74</v>
      </c>
      <c r="T757" t="s">
        <v>74</v>
      </c>
      <c r="U757" t="s">
        <v>14508</v>
      </c>
      <c r="V757" t="s">
        <v>14509</v>
      </c>
      <c r="W757" t="s">
        <v>14510</v>
      </c>
      <c r="X757" t="s">
        <v>14511</v>
      </c>
      <c r="Y757" t="s">
        <v>14512</v>
      </c>
      <c r="Z757" t="s">
        <v>14513</v>
      </c>
      <c r="AA757" t="s">
        <v>14514</v>
      </c>
      <c r="AB757" t="s">
        <v>14515</v>
      </c>
      <c r="AC757" t="s">
        <v>14516</v>
      </c>
      <c r="AD757" t="s">
        <v>14517</v>
      </c>
      <c r="AE757" t="s">
        <v>14518</v>
      </c>
      <c r="AF757" t="s">
        <v>74</v>
      </c>
      <c r="AG757">
        <v>25</v>
      </c>
      <c r="AH757">
        <v>2</v>
      </c>
      <c r="AI757">
        <v>2</v>
      </c>
      <c r="AJ757">
        <v>0</v>
      </c>
      <c r="AK757">
        <v>9</v>
      </c>
      <c r="AL757" t="s">
        <v>2874</v>
      </c>
      <c r="AM757" t="s">
        <v>2233</v>
      </c>
      <c r="AN757" t="s">
        <v>2875</v>
      </c>
      <c r="AO757" t="s">
        <v>2852</v>
      </c>
      <c r="AP757" t="s">
        <v>2853</v>
      </c>
      <c r="AQ757" t="s">
        <v>74</v>
      </c>
      <c r="AR757" t="s">
        <v>2854</v>
      </c>
      <c r="AS757" t="s">
        <v>2855</v>
      </c>
      <c r="AT757" t="s">
        <v>14027</v>
      </c>
      <c r="AU757">
        <v>2016</v>
      </c>
      <c r="AV757">
        <v>48</v>
      </c>
      <c r="AW757">
        <v>1</v>
      </c>
      <c r="AX757" t="s">
        <v>74</v>
      </c>
      <c r="AY757" t="s">
        <v>74</v>
      </c>
      <c r="AZ757" t="s">
        <v>74</v>
      </c>
      <c r="BA757" t="s">
        <v>74</v>
      </c>
      <c r="BB757">
        <v>1</v>
      </c>
      <c r="BC757">
        <v>8</v>
      </c>
      <c r="BD757" t="s">
        <v>74</v>
      </c>
      <c r="BE757" t="s">
        <v>14519</v>
      </c>
      <c r="BF757" t="str">
        <f>HYPERLINK("http://dx.doi.org/10.1657/AAAR0015-005","http://dx.doi.org/10.1657/AAAR0015-005")</f>
        <v>http://dx.doi.org/10.1657/AAAR0015-005</v>
      </c>
      <c r="BG757" t="s">
        <v>74</v>
      </c>
      <c r="BH757" t="s">
        <v>74</v>
      </c>
      <c r="BI757">
        <v>8</v>
      </c>
      <c r="BJ757" t="s">
        <v>2857</v>
      </c>
      <c r="BK757" t="s">
        <v>102</v>
      </c>
      <c r="BL757" t="s">
        <v>158</v>
      </c>
      <c r="BM757" t="s">
        <v>14520</v>
      </c>
      <c r="BN757" t="s">
        <v>74</v>
      </c>
      <c r="BO757" t="s">
        <v>3849</v>
      </c>
      <c r="BP757" t="s">
        <v>74</v>
      </c>
      <c r="BQ757" t="s">
        <v>74</v>
      </c>
      <c r="BR757" t="s">
        <v>106</v>
      </c>
      <c r="BS757" t="s">
        <v>14521</v>
      </c>
      <c r="BT757" t="str">
        <f>HYPERLINK("https%3A%2F%2Fwww.webofscience.com%2Fwos%2Fwoscc%2Ffull-record%2FWOS:000371322100001","View Full Record in Web of Science")</f>
        <v>View Full Record in Web of Science</v>
      </c>
    </row>
    <row r="758" spans="1:72" x14ac:dyDescent="0.15">
      <c r="A758" t="s">
        <v>72</v>
      </c>
      <c r="B758" t="s">
        <v>14522</v>
      </c>
      <c r="C758" t="s">
        <v>74</v>
      </c>
      <c r="D758" t="s">
        <v>74</v>
      </c>
      <c r="E758" t="s">
        <v>74</v>
      </c>
      <c r="F758" t="s">
        <v>14523</v>
      </c>
      <c r="G758" t="s">
        <v>74</v>
      </c>
      <c r="H758" t="s">
        <v>74</v>
      </c>
      <c r="I758" t="s">
        <v>14524</v>
      </c>
      <c r="J758" t="s">
        <v>2842</v>
      </c>
      <c r="K758" t="s">
        <v>74</v>
      </c>
      <c r="L758" t="s">
        <v>74</v>
      </c>
      <c r="M758" t="s">
        <v>78</v>
      </c>
      <c r="N758" t="s">
        <v>79</v>
      </c>
      <c r="O758" t="s">
        <v>74</v>
      </c>
      <c r="P758" t="s">
        <v>74</v>
      </c>
      <c r="Q758" t="s">
        <v>74</v>
      </c>
      <c r="R758" t="s">
        <v>74</v>
      </c>
      <c r="S758" t="s">
        <v>74</v>
      </c>
      <c r="T758" t="s">
        <v>74</v>
      </c>
      <c r="U758" t="s">
        <v>14525</v>
      </c>
      <c r="V758" t="s">
        <v>14526</v>
      </c>
      <c r="W758" t="s">
        <v>14527</v>
      </c>
      <c r="X758" t="s">
        <v>14528</v>
      </c>
      <c r="Y758" t="s">
        <v>14529</v>
      </c>
      <c r="Z758" t="s">
        <v>14530</v>
      </c>
      <c r="AA758" t="s">
        <v>74</v>
      </c>
      <c r="AB758" t="s">
        <v>74</v>
      </c>
      <c r="AC758" t="s">
        <v>14531</v>
      </c>
      <c r="AD758" t="s">
        <v>14531</v>
      </c>
      <c r="AE758" t="s">
        <v>14532</v>
      </c>
      <c r="AF758" t="s">
        <v>74</v>
      </c>
      <c r="AG758">
        <v>79</v>
      </c>
      <c r="AH758">
        <v>6</v>
      </c>
      <c r="AI758">
        <v>7</v>
      </c>
      <c r="AJ758">
        <v>0</v>
      </c>
      <c r="AK758">
        <v>10</v>
      </c>
      <c r="AL758" t="s">
        <v>2874</v>
      </c>
      <c r="AM758" t="s">
        <v>2233</v>
      </c>
      <c r="AN758" t="s">
        <v>2875</v>
      </c>
      <c r="AO758" t="s">
        <v>2852</v>
      </c>
      <c r="AP758" t="s">
        <v>2853</v>
      </c>
      <c r="AQ758" t="s">
        <v>74</v>
      </c>
      <c r="AR758" t="s">
        <v>2854</v>
      </c>
      <c r="AS758" t="s">
        <v>2855</v>
      </c>
      <c r="AT758" t="s">
        <v>14027</v>
      </c>
      <c r="AU758">
        <v>2016</v>
      </c>
      <c r="AV758">
        <v>48</v>
      </c>
      <c r="AW758">
        <v>1</v>
      </c>
      <c r="AX758" t="s">
        <v>74</v>
      </c>
      <c r="AY758" t="s">
        <v>74</v>
      </c>
      <c r="AZ758" t="s">
        <v>74</v>
      </c>
      <c r="BA758" t="s">
        <v>74</v>
      </c>
      <c r="BB758">
        <v>9</v>
      </c>
      <c r="BC758">
        <v>31</v>
      </c>
      <c r="BD758" t="s">
        <v>74</v>
      </c>
      <c r="BE758" t="s">
        <v>14533</v>
      </c>
      <c r="BF758" t="str">
        <f>HYPERLINK("http://dx.doi.org/10.1657/AAAR0015-026","http://dx.doi.org/10.1657/AAAR0015-026")</f>
        <v>http://dx.doi.org/10.1657/AAAR0015-026</v>
      </c>
      <c r="BG758" t="s">
        <v>74</v>
      </c>
      <c r="BH758" t="s">
        <v>74</v>
      </c>
      <c r="BI758">
        <v>23</v>
      </c>
      <c r="BJ758" t="s">
        <v>2857</v>
      </c>
      <c r="BK758" t="s">
        <v>14534</v>
      </c>
      <c r="BL758" t="s">
        <v>158</v>
      </c>
      <c r="BM758" t="s">
        <v>14520</v>
      </c>
      <c r="BN758" t="s">
        <v>74</v>
      </c>
      <c r="BO758" t="s">
        <v>842</v>
      </c>
      <c r="BP758" t="s">
        <v>74</v>
      </c>
      <c r="BQ758" t="s">
        <v>74</v>
      </c>
      <c r="BR758" t="s">
        <v>106</v>
      </c>
      <c r="BS758" t="s">
        <v>14535</v>
      </c>
      <c r="BT758" t="str">
        <f>HYPERLINK("https%3A%2F%2Fwww.webofscience.com%2Fwos%2Fwoscc%2Ffull-record%2FWOS:000371322100002","View Full Record in Web of Science")</f>
        <v>View Full Record in Web of Science</v>
      </c>
    </row>
    <row r="759" spans="1:72" x14ac:dyDescent="0.15">
      <c r="A759" t="s">
        <v>72</v>
      </c>
      <c r="B759" t="s">
        <v>14536</v>
      </c>
      <c r="C759" t="s">
        <v>74</v>
      </c>
      <c r="D759" t="s">
        <v>74</v>
      </c>
      <c r="E759" t="s">
        <v>74</v>
      </c>
      <c r="F759" t="s">
        <v>14537</v>
      </c>
      <c r="G759" t="s">
        <v>74</v>
      </c>
      <c r="H759" t="s">
        <v>74</v>
      </c>
      <c r="I759" t="s">
        <v>14538</v>
      </c>
      <c r="J759" t="s">
        <v>2842</v>
      </c>
      <c r="K759" t="s">
        <v>74</v>
      </c>
      <c r="L759" t="s">
        <v>74</v>
      </c>
      <c r="M759" t="s">
        <v>78</v>
      </c>
      <c r="N759" t="s">
        <v>79</v>
      </c>
      <c r="O759" t="s">
        <v>74</v>
      </c>
      <c r="P759" t="s">
        <v>74</v>
      </c>
      <c r="Q759" t="s">
        <v>74</v>
      </c>
      <c r="R759" t="s">
        <v>74</v>
      </c>
      <c r="S759" t="s">
        <v>74</v>
      </c>
      <c r="T759" t="s">
        <v>74</v>
      </c>
      <c r="U759" t="s">
        <v>14539</v>
      </c>
      <c r="V759" t="s">
        <v>14540</v>
      </c>
      <c r="W759" t="s">
        <v>14541</v>
      </c>
      <c r="X759" t="s">
        <v>14542</v>
      </c>
      <c r="Y759" t="s">
        <v>14543</v>
      </c>
      <c r="Z759" t="s">
        <v>14544</v>
      </c>
      <c r="AA759" t="s">
        <v>14545</v>
      </c>
      <c r="AB759" t="s">
        <v>14546</v>
      </c>
      <c r="AC759" t="s">
        <v>14547</v>
      </c>
      <c r="AD759" t="s">
        <v>14548</v>
      </c>
      <c r="AE759" t="s">
        <v>14549</v>
      </c>
      <c r="AF759" t="s">
        <v>74</v>
      </c>
      <c r="AG759">
        <v>32</v>
      </c>
      <c r="AH759">
        <v>11</v>
      </c>
      <c r="AI759">
        <v>11</v>
      </c>
      <c r="AJ759">
        <v>0</v>
      </c>
      <c r="AK759">
        <v>5</v>
      </c>
      <c r="AL759" t="s">
        <v>2874</v>
      </c>
      <c r="AM759" t="s">
        <v>2233</v>
      </c>
      <c r="AN759" t="s">
        <v>2875</v>
      </c>
      <c r="AO759" t="s">
        <v>2852</v>
      </c>
      <c r="AP759" t="s">
        <v>2853</v>
      </c>
      <c r="AQ759" t="s">
        <v>74</v>
      </c>
      <c r="AR759" t="s">
        <v>2854</v>
      </c>
      <c r="AS759" t="s">
        <v>2855</v>
      </c>
      <c r="AT759" t="s">
        <v>14027</v>
      </c>
      <c r="AU759">
        <v>2016</v>
      </c>
      <c r="AV759">
        <v>48</v>
      </c>
      <c r="AW759">
        <v>1</v>
      </c>
      <c r="AX759" t="s">
        <v>74</v>
      </c>
      <c r="AY759" t="s">
        <v>74</v>
      </c>
      <c r="AZ759" t="s">
        <v>74</v>
      </c>
      <c r="BA759" t="s">
        <v>74</v>
      </c>
      <c r="BB759">
        <v>33</v>
      </c>
      <c r="BC759">
        <v>43</v>
      </c>
      <c r="BD759" t="s">
        <v>74</v>
      </c>
      <c r="BE759" t="s">
        <v>14550</v>
      </c>
      <c r="BF759" t="str">
        <f>HYPERLINK("http://dx.doi.org/10.1657/AAAR0014-095","http://dx.doi.org/10.1657/AAAR0014-095")</f>
        <v>http://dx.doi.org/10.1657/AAAR0014-095</v>
      </c>
      <c r="BG759" t="s">
        <v>74</v>
      </c>
      <c r="BH759" t="s">
        <v>74</v>
      </c>
      <c r="BI759">
        <v>11</v>
      </c>
      <c r="BJ759" t="s">
        <v>2857</v>
      </c>
      <c r="BK759" t="s">
        <v>102</v>
      </c>
      <c r="BL759" t="s">
        <v>158</v>
      </c>
      <c r="BM759" t="s">
        <v>14520</v>
      </c>
      <c r="BN759" t="s">
        <v>74</v>
      </c>
      <c r="BO759" t="s">
        <v>842</v>
      </c>
      <c r="BP759" t="s">
        <v>74</v>
      </c>
      <c r="BQ759" t="s">
        <v>74</v>
      </c>
      <c r="BR759" t="s">
        <v>106</v>
      </c>
      <c r="BS759" t="s">
        <v>14551</v>
      </c>
      <c r="BT759" t="str">
        <f>HYPERLINK("https%3A%2F%2Fwww.webofscience.com%2Fwos%2Fwoscc%2Ffull-record%2FWOS:000371322100003","View Full Record in Web of Science")</f>
        <v>View Full Record in Web of Science</v>
      </c>
    </row>
    <row r="760" spans="1:72" x14ac:dyDescent="0.15">
      <c r="A760" t="s">
        <v>72</v>
      </c>
      <c r="B760" t="s">
        <v>14552</v>
      </c>
      <c r="C760" t="s">
        <v>74</v>
      </c>
      <c r="D760" t="s">
        <v>74</v>
      </c>
      <c r="E760" t="s">
        <v>74</v>
      </c>
      <c r="F760" t="s">
        <v>14553</v>
      </c>
      <c r="G760" t="s">
        <v>74</v>
      </c>
      <c r="H760" t="s">
        <v>74</v>
      </c>
      <c r="I760" t="s">
        <v>14554</v>
      </c>
      <c r="J760" t="s">
        <v>2842</v>
      </c>
      <c r="K760" t="s">
        <v>74</v>
      </c>
      <c r="L760" t="s">
        <v>74</v>
      </c>
      <c r="M760" t="s">
        <v>78</v>
      </c>
      <c r="N760" t="s">
        <v>79</v>
      </c>
      <c r="O760" t="s">
        <v>74</v>
      </c>
      <c r="P760" t="s">
        <v>74</v>
      </c>
      <c r="Q760" t="s">
        <v>74</v>
      </c>
      <c r="R760" t="s">
        <v>74</v>
      </c>
      <c r="S760" t="s">
        <v>74</v>
      </c>
      <c r="T760" t="s">
        <v>74</v>
      </c>
      <c r="U760" t="s">
        <v>14555</v>
      </c>
      <c r="V760" t="s">
        <v>14556</v>
      </c>
      <c r="W760" t="s">
        <v>14557</v>
      </c>
      <c r="X760" t="s">
        <v>14558</v>
      </c>
      <c r="Y760" t="s">
        <v>14559</v>
      </c>
      <c r="Z760" t="s">
        <v>14560</v>
      </c>
      <c r="AA760" t="s">
        <v>74</v>
      </c>
      <c r="AB760" t="s">
        <v>74</v>
      </c>
      <c r="AC760" t="s">
        <v>14561</v>
      </c>
      <c r="AD760" t="s">
        <v>14562</v>
      </c>
      <c r="AE760" t="s">
        <v>14563</v>
      </c>
      <c r="AF760" t="s">
        <v>74</v>
      </c>
      <c r="AG760">
        <v>35</v>
      </c>
      <c r="AH760">
        <v>0</v>
      </c>
      <c r="AI760">
        <v>1</v>
      </c>
      <c r="AJ760">
        <v>1</v>
      </c>
      <c r="AK760">
        <v>18</v>
      </c>
      <c r="AL760" t="s">
        <v>2874</v>
      </c>
      <c r="AM760" t="s">
        <v>2233</v>
      </c>
      <c r="AN760" t="s">
        <v>2875</v>
      </c>
      <c r="AO760" t="s">
        <v>2852</v>
      </c>
      <c r="AP760" t="s">
        <v>2853</v>
      </c>
      <c r="AQ760" t="s">
        <v>74</v>
      </c>
      <c r="AR760" t="s">
        <v>2854</v>
      </c>
      <c r="AS760" t="s">
        <v>2855</v>
      </c>
      <c r="AT760" t="s">
        <v>14027</v>
      </c>
      <c r="AU760">
        <v>2016</v>
      </c>
      <c r="AV760">
        <v>48</v>
      </c>
      <c r="AW760">
        <v>1</v>
      </c>
      <c r="AX760" t="s">
        <v>74</v>
      </c>
      <c r="AY760" t="s">
        <v>74</v>
      </c>
      <c r="AZ760" t="s">
        <v>74</v>
      </c>
      <c r="BA760" t="s">
        <v>74</v>
      </c>
      <c r="BB760">
        <v>45</v>
      </c>
      <c r="BC760">
        <v>59</v>
      </c>
      <c r="BD760" t="s">
        <v>74</v>
      </c>
      <c r="BE760" t="s">
        <v>14564</v>
      </c>
      <c r="BF760" t="str">
        <f>HYPERLINK("http://dx.doi.org/10.1657/AAAR0014-089","http://dx.doi.org/10.1657/AAAR0014-089")</f>
        <v>http://dx.doi.org/10.1657/AAAR0014-089</v>
      </c>
      <c r="BG760" t="s">
        <v>74</v>
      </c>
      <c r="BH760" t="s">
        <v>74</v>
      </c>
      <c r="BI760">
        <v>15</v>
      </c>
      <c r="BJ760" t="s">
        <v>2857</v>
      </c>
      <c r="BK760" t="s">
        <v>102</v>
      </c>
      <c r="BL760" t="s">
        <v>158</v>
      </c>
      <c r="BM760" t="s">
        <v>14520</v>
      </c>
      <c r="BN760" t="s">
        <v>74</v>
      </c>
      <c r="BO760" t="s">
        <v>3386</v>
      </c>
      <c r="BP760" t="s">
        <v>74</v>
      </c>
      <c r="BQ760" t="s">
        <v>74</v>
      </c>
      <c r="BR760" t="s">
        <v>106</v>
      </c>
      <c r="BS760" t="s">
        <v>14565</v>
      </c>
      <c r="BT760" t="str">
        <f>HYPERLINK("https%3A%2F%2Fwww.webofscience.com%2Fwos%2Fwoscc%2Ffull-record%2FWOS:000371322100004","View Full Record in Web of Science")</f>
        <v>View Full Record in Web of Science</v>
      </c>
    </row>
    <row r="761" spans="1:72" x14ac:dyDescent="0.15">
      <c r="A761" t="s">
        <v>72</v>
      </c>
      <c r="B761" t="s">
        <v>14566</v>
      </c>
      <c r="C761" t="s">
        <v>74</v>
      </c>
      <c r="D761" t="s">
        <v>74</v>
      </c>
      <c r="E761" t="s">
        <v>74</v>
      </c>
      <c r="F761" t="s">
        <v>14567</v>
      </c>
      <c r="G761" t="s">
        <v>74</v>
      </c>
      <c r="H761" t="s">
        <v>74</v>
      </c>
      <c r="I761" t="s">
        <v>14568</v>
      </c>
      <c r="J761" t="s">
        <v>2842</v>
      </c>
      <c r="K761" t="s">
        <v>74</v>
      </c>
      <c r="L761" t="s">
        <v>74</v>
      </c>
      <c r="M761" t="s">
        <v>78</v>
      </c>
      <c r="N761" t="s">
        <v>79</v>
      </c>
      <c r="O761" t="s">
        <v>74</v>
      </c>
      <c r="P761" t="s">
        <v>74</v>
      </c>
      <c r="Q761" t="s">
        <v>74</v>
      </c>
      <c r="R761" t="s">
        <v>74</v>
      </c>
      <c r="S761" t="s">
        <v>74</v>
      </c>
      <c r="T761" t="s">
        <v>74</v>
      </c>
      <c r="U761" t="s">
        <v>14569</v>
      </c>
      <c r="V761" t="s">
        <v>14570</v>
      </c>
      <c r="W761" t="s">
        <v>14571</v>
      </c>
      <c r="X761" t="s">
        <v>14572</v>
      </c>
      <c r="Y761" t="s">
        <v>14573</v>
      </c>
      <c r="Z761" t="s">
        <v>14574</v>
      </c>
      <c r="AA761" t="s">
        <v>14575</v>
      </c>
      <c r="AB761" t="s">
        <v>14576</v>
      </c>
      <c r="AC761" t="s">
        <v>14577</v>
      </c>
      <c r="AD761" t="s">
        <v>14578</v>
      </c>
      <c r="AE761" t="s">
        <v>14579</v>
      </c>
      <c r="AF761" t="s">
        <v>74</v>
      </c>
      <c r="AG761">
        <v>49</v>
      </c>
      <c r="AH761">
        <v>19</v>
      </c>
      <c r="AI761">
        <v>20</v>
      </c>
      <c r="AJ761">
        <v>3</v>
      </c>
      <c r="AK761">
        <v>53</v>
      </c>
      <c r="AL761" t="s">
        <v>2874</v>
      </c>
      <c r="AM761" t="s">
        <v>2233</v>
      </c>
      <c r="AN761" t="s">
        <v>2875</v>
      </c>
      <c r="AO761" t="s">
        <v>2852</v>
      </c>
      <c r="AP761" t="s">
        <v>2853</v>
      </c>
      <c r="AQ761" t="s">
        <v>74</v>
      </c>
      <c r="AR761" t="s">
        <v>2854</v>
      </c>
      <c r="AS761" t="s">
        <v>2855</v>
      </c>
      <c r="AT761" t="s">
        <v>14027</v>
      </c>
      <c r="AU761">
        <v>2016</v>
      </c>
      <c r="AV761">
        <v>48</v>
      </c>
      <c r="AW761">
        <v>1</v>
      </c>
      <c r="AX761" t="s">
        <v>74</v>
      </c>
      <c r="AY761" t="s">
        <v>74</v>
      </c>
      <c r="AZ761" t="s">
        <v>74</v>
      </c>
      <c r="BA761" t="s">
        <v>74</v>
      </c>
      <c r="BB761">
        <v>61</v>
      </c>
      <c r="BC761">
        <v>78</v>
      </c>
      <c r="BD761" t="s">
        <v>74</v>
      </c>
      <c r="BE761" t="s">
        <v>14580</v>
      </c>
      <c r="BF761" t="str">
        <f>HYPERLINK("http://dx.doi.org/10.1657/AAAR0014-084","http://dx.doi.org/10.1657/AAAR0014-084")</f>
        <v>http://dx.doi.org/10.1657/AAAR0014-084</v>
      </c>
      <c r="BG761" t="s">
        <v>74</v>
      </c>
      <c r="BH761" t="s">
        <v>74</v>
      </c>
      <c r="BI761">
        <v>18</v>
      </c>
      <c r="BJ761" t="s">
        <v>2857</v>
      </c>
      <c r="BK761" t="s">
        <v>102</v>
      </c>
      <c r="BL761" t="s">
        <v>158</v>
      </c>
      <c r="BM761" t="s">
        <v>14520</v>
      </c>
      <c r="BN761" t="s">
        <v>74</v>
      </c>
      <c r="BO761" t="s">
        <v>842</v>
      </c>
      <c r="BP761" t="s">
        <v>74</v>
      </c>
      <c r="BQ761" t="s">
        <v>74</v>
      </c>
      <c r="BR761" t="s">
        <v>106</v>
      </c>
      <c r="BS761" t="s">
        <v>14581</v>
      </c>
      <c r="BT761" t="str">
        <f>HYPERLINK("https%3A%2F%2Fwww.webofscience.com%2Fwos%2Fwoscc%2Ffull-record%2FWOS:000371322100005","View Full Record in Web of Science")</f>
        <v>View Full Record in Web of Science</v>
      </c>
    </row>
    <row r="762" spans="1:72" x14ac:dyDescent="0.15">
      <c r="A762" t="s">
        <v>72</v>
      </c>
      <c r="B762" t="s">
        <v>14582</v>
      </c>
      <c r="C762" t="s">
        <v>74</v>
      </c>
      <c r="D762" t="s">
        <v>74</v>
      </c>
      <c r="E762" t="s">
        <v>74</v>
      </c>
      <c r="F762" t="s">
        <v>14583</v>
      </c>
      <c r="G762" t="s">
        <v>74</v>
      </c>
      <c r="H762" t="s">
        <v>74</v>
      </c>
      <c r="I762" t="s">
        <v>14584</v>
      </c>
      <c r="J762" t="s">
        <v>2842</v>
      </c>
      <c r="K762" t="s">
        <v>74</v>
      </c>
      <c r="L762" t="s">
        <v>74</v>
      </c>
      <c r="M762" t="s">
        <v>78</v>
      </c>
      <c r="N762" t="s">
        <v>79</v>
      </c>
      <c r="O762" t="s">
        <v>74</v>
      </c>
      <c r="P762" t="s">
        <v>74</v>
      </c>
      <c r="Q762" t="s">
        <v>74</v>
      </c>
      <c r="R762" t="s">
        <v>74</v>
      </c>
      <c r="S762" t="s">
        <v>74</v>
      </c>
      <c r="T762" t="s">
        <v>74</v>
      </c>
      <c r="U762" t="s">
        <v>14585</v>
      </c>
      <c r="V762" t="s">
        <v>14586</v>
      </c>
      <c r="W762" t="s">
        <v>14587</v>
      </c>
      <c r="X762" t="s">
        <v>14588</v>
      </c>
      <c r="Y762" t="s">
        <v>14589</v>
      </c>
      <c r="Z762" t="s">
        <v>14590</v>
      </c>
      <c r="AA762" t="s">
        <v>14591</v>
      </c>
      <c r="AB762" t="s">
        <v>14592</v>
      </c>
      <c r="AC762" t="s">
        <v>14593</v>
      </c>
      <c r="AD762" t="s">
        <v>14593</v>
      </c>
      <c r="AE762" t="s">
        <v>14594</v>
      </c>
      <c r="AF762" t="s">
        <v>74</v>
      </c>
      <c r="AG762">
        <v>68</v>
      </c>
      <c r="AH762">
        <v>12</v>
      </c>
      <c r="AI762">
        <v>12</v>
      </c>
      <c r="AJ762">
        <v>4</v>
      </c>
      <c r="AK762">
        <v>20</v>
      </c>
      <c r="AL762" t="s">
        <v>454</v>
      </c>
      <c r="AM762" t="s">
        <v>455</v>
      </c>
      <c r="AN762" t="s">
        <v>456</v>
      </c>
      <c r="AO762" t="s">
        <v>2852</v>
      </c>
      <c r="AP762" t="s">
        <v>2853</v>
      </c>
      <c r="AQ762" t="s">
        <v>74</v>
      </c>
      <c r="AR762" t="s">
        <v>2854</v>
      </c>
      <c r="AS762" t="s">
        <v>2855</v>
      </c>
      <c r="AT762" t="s">
        <v>14027</v>
      </c>
      <c r="AU762">
        <v>2016</v>
      </c>
      <c r="AV762">
        <v>48</v>
      </c>
      <c r="AW762">
        <v>1</v>
      </c>
      <c r="AX762" t="s">
        <v>74</v>
      </c>
      <c r="AY762" t="s">
        <v>74</v>
      </c>
      <c r="AZ762" t="s">
        <v>74</v>
      </c>
      <c r="BA762" t="s">
        <v>74</v>
      </c>
      <c r="BB762">
        <v>93</v>
      </c>
      <c r="BC762">
        <v>109</v>
      </c>
      <c r="BD762" t="s">
        <v>74</v>
      </c>
      <c r="BE762" t="s">
        <v>14595</v>
      </c>
      <c r="BF762" t="str">
        <f>HYPERLINK("http://dx.doi.org/10.1657/AAAR0015-009","http://dx.doi.org/10.1657/AAAR0015-009")</f>
        <v>http://dx.doi.org/10.1657/AAAR0015-009</v>
      </c>
      <c r="BG762" t="s">
        <v>74</v>
      </c>
      <c r="BH762" t="s">
        <v>74</v>
      </c>
      <c r="BI762">
        <v>17</v>
      </c>
      <c r="BJ762" t="s">
        <v>2857</v>
      </c>
      <c r="BK762" t="s">
        <v>102</v>
      </c>
      <c r="BL762" t="s">
        <v>158</v>
      </c>
      <c r="BM762" t="s">
        <v>14520</v>
      </c>
      <c r="BN762" t="s">
        <v>74</v>
      </c>
      <c r="BO762" t="s">
        <v>842</v>
      </c>
      <c r="BP762" t="s">
        <v>74</v>
      </c>
      <c r="BQ762" t="s">
        <v>74</v>
      </c>
      <c r="BR762" t="s">
        <v>106</v>
      </c>
      <c r="BS762" t="s">
        <v>14596</v>
      </c>
      <c r="BT762" t="str">
        <f>HYPERLINK("https%3A%2F%2Fwww.webofscience.com%2Fwos%2Fwoscc%2Ffull-record%2FWOS:000371322100007","View Full Record in Web of Science")</f>
        <v>View Full Record in Web of Science</v>
      </c>
    </row>
    <row r="763" spans="1:72" x14ac:dyDescent="0.15">
      <c r="A763" t="s">
        <v>72</v>
      </c>
      <c r="B763" t="s">
        <v>14597</v>
      </c>
      <c r="C763" t="s">
        <v>74</v>
      </c>
      <c r="D763" t="s">
        <v>74</v>
      </c>
      <c r="E763" t="s">
        <v>74</v>
      </c>
      <c r="F763" t="s">
        <v>14598</v>
      </c>
      <c r="G763" t="s">
        <v>74</v>
      </c>
      <c r="H763" t="s">
        <v>74</v>
      </c>
      <c r="I763" t="s">
        <v>14599</v>
      </c>
      <c r="J763" t="s">
        <v>2842</v>
      </c>
      <c r="K763" t="s">
        <v>74</v>
      </c>
      <c r="L763" t="s">
        <v>74</v>
      </c>
      <c r="M763" t="s">
        <v>78</v>
      </c>
      <c r="N763" t="s">
        <v>79</v>
      </c>
      <c r="O763" t="s">
        <v>74</v>
      </c>
      <c r="P763" t="s">
        <v>74</v>
      </c>
      <c r="Q763" t="s">
        <v>74</v>
      </c>
      <c r="R763" t="s">
        <v>74</v>
      </c>
      <c r="S763" t="s">
        <v>74</v>
      </c>
      <c r="T763" t="s">
        <v>74</v>
      </c>
      <c r="U763" t="s">
        <v>14600</v>
      </c>
      <c r="V763" t="s">
        <v>14601</v>
      </c>
      <c r="W763" t="s">
        <v>14602</v>
      </c>
      <c r="X763" t="s">
        <v>14603</v>
      </c>
      <c r="Y763" t="s">
        <v>14604</v>
      </c>
      <c r="Z763" t="s">
        <v>14605</v>
      </c>
      <c r="AA763" t="s">
        <v>14606</v>
      </c>
      <c r="AB763" t="s">
        <v>14607</v>
      </c>
      <c r="AC763" t="s">
        <v>14608</v>
      </c>
      <c r="AD763" t="s">
        <v>14609</v>
      </c>
      <c r="AE763" t="s">
        <v>14610</v>
      </c>
      <c r="AF763" t="s">
        <v>74</v>
      </c>
      <c r="AG763">
        <v>71</v>
      </c>
      <c r="AH763">
        <v>17</v>
      </c>
      <c r="AI763">
        <v>19</v>
      </c>
      <c r="AJ763">
        <v>2</v>
      </c>
      <c r="AK763">
        <v>88</v>
      </c>
      <c r="AL763" t="s">
        <v>454</v>
      </c>
      <c r="AM763" t="s">
        <v>455</v>
      </c>
      <c r="AN763" t="s">
        <v>456</v>
      </c>
      <c r="AO763" t="s">
        <v>2852</v>
      </c>
      <c r="AP763" t="s">
        <v>2853</v>
      </c>
      <c r="AQ763" t="s">
        <v>74</v>
      </c>
      <c r="AR763" t="s">
        <v>2854</v>
      </c>
      <c r="AS763" t="s">
        <v>2855</v>
      </c>
      <c r="AT763" t="s">
        <v>14027</v>
      </c>
      <c r="AU763">
        <v>2016</v>
      </c>
      <c r="AV763">
        <v>48</v>
      </c>
      <c r="AW763">
        <v>1</v>
      </c>
      <c r="AX763" t="s">
        <v>74</v>
      </c>
      <c r="AY763" t="s">
        <v>74</v>
      </c>
      <c r="AZ763" t="s">
        <v>74</v>
      </c>
      <c r="BA763" t="s">
        <v>74</v>
      </c>
      <c r="BB763">
        <v>111</v>
      </c>
      <c r="BC763">
        <v>125</v>
      </c>
      <c r="BD763" t="s">
        <v>74</v>
      </c>
      <c r="BE763" t="s">
        <v>14611</v>
      </c>
      <c r="BF763" t="str">
        <f>HYPERLINK("http://dx.doi.org/10.1657/AAAR0014-064","http://dx.doi.org/10.1657/AAAR0014-064")</f>
        <v>http://dx.doi.org/10.1657/AAAR0014-064</v>
      </c>
      <c r="BG763" t="s">
        <v>74</v>
      </c>
      <c r="BH763" t="s">
        <v>74</v>
      </c>
      <c r="BI763">
        <v>15</v>
      </c>
      <c r="BJ763" t="s">
        <v>2857</v>
      </c>
      <c r="BK763" t="s">
        <v>102</v>
      </c>
      <c r="BL763" t="s">
        <v>158</v>
      </c>
      <c r="BM763" t="s">
        <v>14520</v>
      </c>
      <c r="BN763" t="s">
        <v>74</v>
      </c>
      <c r="BO763" t="s">
        <v>842</v>
      </c>
      <c r="BP763" t="s">
        <v>74</v>
      </c>
      <c r="BQ763" t="s">
        <v>74</v>
      </c>
      <c r="BR763" t="s">
        <v>106</v>
      </c>
      <c r="BS763" t="s">
        <v>14612</v>
      </c>
      <c r="BT763" t="str">
        <f>HYPERLINK("https%3A%2F%2Fwww.webofscience.com%2Fwos%2Fwoscc%2Ffull-record%2FWOS:000371322100008","View Full Record in Web of Science")</f>
        <v>View Full Record in Web of Science</v>
      </c>
    </row>
    <row r="764" spans="1:72" x14ac:dyDescent="0.15">
      <c r="A764" t="s">
        <v>72</v>
      </c>
      <c r="B764" t="s">
        <v>14613</v>
      </c>
      <c r="C764" t="s">
        <v>74</v>
      </c>
      <c r="D764" t="s">
        <v>74</v>
      </c>
      <c r="E764" t="s">
        <v>74</v>
      </c>
      <c r="F764" t="s">
        <v>14614</v>
      </c>
      <c r="G764" t="s">
        <v>74</v>
      </c>
      <c r="H764" t="s">
        <v>74</v>
      </c>
      <c r="I764" t="s">
        <v>14615</v>
      </c>
      <c r="J764" t="s">
        <v>2842</v>
      </c>
      <c r="K764" t="s">
        <v>74</v>
      </c>
      <c r="L764" t="s">
        <v>74</v>
      </c>
      <c r="M764" t="s">
        <v>78</v>
      </c>
      <c r="N764" t="s">
        <v>79</v>
      </c>
      <c r="O764" t="s">
        <v>74</v>
      </c>
      <c r="P764" t="s">
        <v>74</v>
      </c>
      <c r="Q764" t="s">
        <v>74</v>
      </c>
      <c r="R764" t="s">
        <v>74</v>
      </c>
      <c r="S764" t="s">
        <v>74</v>
      </c>
      <c r="T764" t="s">
        <v>74</v>
      </c>
      <c r="U764" t="s">
        <v>14616</v>
      </c>
      <c r="V764" t="s">
        <v>14617</v>
      </c>
      <c r="W764" t="s">
        <v>14618</v>
      </c>
      <c r="X764" t="s">
        <v>14619</v>
      </c>
      <c r="Y764" t="s">
        <v>14620</v>
      </c>
      <c r="Z764" t="s">
        <v>14621</v>
      </c>
      <c r="AA764" t="s">
        <v>14622</v>
      </c>
      <c r="AB764" t="s">
        <v>14623</v>
      </c>
      <c r="AC764" t="s">
        <v>14624</v>
      </c>
      <c r="AD764" t="s">
        <v>14625</v>
      </c>
      <c r="AE764" t="s">
        <v>14626</v>
      </c>
      <c r="AF764" t="s">
        <v>74</v>
      </c>
      <c r="AG764">
        <v>40</v>
      </c>
      <c r="AH764">
        <v>38</v>
      </c>
      <c r="AI764">
        <v>46</v>
      </c>
      <c r="AJ764">
        <v>8</v>
      </c>
      <c r="AK764">
        <v>58</v>
      </c>
      <c r="AL764" t="s">
        <v>454</v>
      </c>
      <c r="AM764" t="s">
        <v>455</v>
      </c>
      <c r="AN764" t="s">
        <v>456</v>
      </c>
      <c r="AO764" t="s">
        <v>2852</v>
      </c>
      <c r="AP764" t="s">
        <v>2853</v>
      </c>
      <c r="AQ764" t="s">
        <v>74</v>
      </c>
      <c r="AR764" t="s">
        <v>2854</v>
      </c>
      <c r="AS764" t="s">
        <v>2855</v>
      </c>
      <c r="AT764" t="s">
        <v>14027</v>
      </c>
      <c r="AU764">
        <v>2016</v>
      </c>
      <c r="AV764">
        <v>48</v>
      </c>
      <c r="AW764">
        <v>1</v>
      </c>
      <c r="AX764" t="s">
        <v>74</v>
      </c>
      <c r="AY764" t="s">
        <v>74</v>
      </c>
      <c r="AZ764" t="s">
        <v>74</v>
      </c>
      <c r="BA764" t="s">
        <v>74</v>
      </c>
      <c r="BB764">
        <v>161</v>
      </c>
      <c r="BC764">
        <v>176</v>
      </c>
      <c r="BD764" t="s">
        <v>74</v>
      </c>
      <c r="BE764" t="s">
        <v>14627</v>
      </c>
      <c r="BF764" t="str">
        <f>HYPERLINK("http://dx.doi.org/10.1657/AAAR00C-13-127","http://dx.doi.org/10.1657/AAAR00C-13-127")</f>
        <v>http://dx.doi.org/10.1657/AAAR00C-13-127</v>
      </c>
      <c r="BG764" t="s">
        <v>74</v>
      </c>
      <c r="BH764" t="s">
        <v>74</v>
      </c>
      <c r="BI764">
        <v>16</v>
      </c>
      <c r="BJ764" t="s">
        <v>2857</v>
      </c>
      <c r="BK764" t="s">
        <v>102</v>
      </c>
      <c r="BL764" t="s">
        <v>158</v>
      </c>
      <c r="BM764" t="s">
        <v>14520</v>
      </c>
      <c r="BN764" t="s">
        <v>74</v>
      </c>
      <c r="BO764" t="s">
        <v>293</v>
      </c>
      <c r="BP764" t="s">
        <v>74</v>
      </c>
      <c r="BQ764" t="s">
        <v>74</v>
      </c>
      <c r="BR764" t="s">
        <v>106</v>
      </c>
      <c r="BS764" t="s">
        <v>14628</v>
      </c>
      <c r="BT764" t="str">
        <f>HYPERLINK("https%3A%2F%2Fwww.webofscience.com%2Fwos%2Fwoscc%2Ffull-record%2FWOS:000371322100011","View Full Record in Web of Science")</f>
        <v>View Full Record in Web of Science</v>
      </c>
    </row>
    <row r="765" spans="1:72" x14ac:dyDescent="0.15">
      <c r="A765" t="s">
        <v>72</v>
      </c>
      <c r="B765" t="s">
        <v>14629</v>
      </c>
      <c r="C765" t="s">
        <v>74</v>
      </c>
      <c r="D765" t="s">
        <v>74</v>
      </c>
      <c r="E765" t="s">
        <v>74</v>
      </c>
      <c r="F765" t="s">
        <v>14630</v>
      </c>
      <c r="G765" t="s">
        <v>74</v>
      </c>
      <c r="H765" t="s">
        <v>74</v>
      </c>
      <c r="I765" t="s">
        <v>14631</v>
      </c>
      <c r="J765" t="s">
        <v>2842</v>
      </c>
      <c r="K765" t="s">
        <v>74</v>
      </c>
      <c r="L765" t="s">
        <v>74</v>
      </c>
      <c r="M765" t="s">
        <v>78</v>
      </c>
      <c r="N765" t="s">
        <v>79</v>
      </c>
      <c r="O765" t="s">
        <v>74</v>
      </c>
      <c r="P765" t="s">
        <v>74</v>
      </c>
      <c r="Q765" t="s">
        <v>74</v>
      </c>
      <c r="R765" t="s">
        <v>74</v>
      </c>
      <c r="S765" t="s">
        <v>74</v>
      </c>
      <c r="T765" t="s">
        <v>74</v>
      </c>
      <c r="U765" t="s">
        <v>14632</v>
      </c>
      <c r="V765" t="s">
        <v>14633</v>
      </c>
      <c r="W765" t="s">
        <v>14634</v>
      </c>
      <c r="X765" t="s">
        <v>14635</v>
      </c>
      <c r="Y765" t="s">
        <v>14636</v>
      </c>
      <c r="Z765" t="s">
        <v>14637</v>
      </c>
      <c r="AA765" t="s">
        <v>74</v>
      </c>
      <c r="AB765" t="s">
        <v>74</v>
      </c>
      <c r="AC765" t="s">
        <v>14638</v>
      </c>
      <c r="AD765" t="s">
        <v>14639</v>
      </c>
      <c r="AE765" t="s">
        <v>14640</v>
      </c>
      <c r="AF765" t="s">
        <v>74</v>
      </c>
      <c r="AG765">
        <v>41</v>
      </c>
      <c r="AH765">
        <v>3</v>
      </c>
      <c r="AI765">
        <v>4</v>
      </c>
      <c r="AJ765">
        <v>0</v>
      </c>
      <c r="AK765">
        <v>9</v>
      </c>
      <c r="AL765" t="s">
        <v>2874</v>
      </c>
      <c r="AM765" t="s">
        <v>2233</v>
      </c>
      <c r="AN765" t="s">
        <v>2875</v>
      </c>
      <c r="AO765" t="s">
        <v>2852</v>
      </c>
      <c r="AP765" t="s">
        <v>2853</v>
      </c>
      <c r="AQ765" t="s">
        <v>74</v>
      </c>
      <c r="AR765" t="s">
        <v>2854</v>
      </c>
      <c r="AS765" t="s">
        <v>2855</v>
      </c>
      <c r="AT765" t="s">
        <v>14027</v>
      </c>
      <c r="AU765">
        <v>2016</v>
      </c>
      <c r="AV765">
        <v>48</v>
      </c>
      <c r="AW765">
        <v>1</v>
      </c>
      <c r="AX765" t="s">
        <v>74</v>
      </c>
      <c r="AY765" t="s">
        <v>74</v>
      </c>
      <c r="AZ765" t="s">
        <v>74</v>
      </c>
      <c r="BA765" t="s">
        <v>74</v>
      </c>
      <c r="BB765">
        <v>177</v>
      </c>
      <c r="BC765">
        <v>197</v>
      </c>
      <c r="BD765" t="s">
        <v>74</v>
      </c>
      <c r="BE765" t="s">
        <v>14641</v>
      </c>
      <c r="BF765" t="str">
        <f>HYPERLINK("http://dx.doi.org/10.1657/AAAR0014-047","http://dx.doi.org/10.1657/AAAR0014-047")</f>
        <v>http://dx.doi.org/10.1657/AAAR0014-047</v>
      </c>
      <c r="BG765" t="s">
        <v>74</v>
      </c>
      <c r="BH765" t="s">
        <v>74</v>
      </c>
      <c r="BI765">
        <v>21</v>
      </c>
      <c r="BJ765" t="s">
        <v>2857</v>
      </c>
      <c r="BK765" t="s">
        <v>102</v>
      </c>
      <c r="BL765" t="s">
        <v>158</v>
      </c>
      <c r="BM765" t="s">
        <v>14520</v>
      </c>
      <c r="BN765" t="s">
        <v>74</v>
      </c>
      <c r="BO765" t="s">
        <v>293</v>
      </c>
      <c r="BP765" t="s">
        <v>74</v>
      </c>
      <c r="BQ765" t="s">
        <v>74</v>
      </c>
      <c r="BR765" t="s">
        <v>106</v>
      </c>
      <c r="BS765" t="s">
        <v>14642</v>
      </c>
      <c r="BT765" t="str">
        <f>HYPERLINK("https%3A%2F%2Fwww.webofscience.com%2Fwos%2Fwoscc%2Ffull-record%2FWOS:000371322100012","View Full Record in Web of Science")</f>
        <v>View Full Record in Web of Science</v>
      </c>
    </row>
    <row r="766" spans="1:72" x14ac:dyDescent="0.15">
      <c r="A766" t="s">
        <v>72</v>
      </c>
      <c r="B766" t="s">
        <v>14643</v>
      </c>
      <c r="C766" t="s">
        <v>74</v>
      </c>
      <c r="D766" t="s">
        <v>74</v>
      </c>
      <c r="E766" t="s">
        <v>74</v>
      </c>
      <c r="F766" t="s">
        <v>14644</v>
      </c>
      <c r="G766" t="s">
        <v>74</v>
      </c>
      <c r="H766" t="s">
        <v>74</v>
      </c>
      <c r="I766" t="s">
        <v>14645</v>
      </c>
      <c r="J766" t="s">
        <v>2842</v>
      </c>
      <c r="K766" t="s">
        <v>74</v>
      </c>
      <c r="L766" t="s">
        <v>74</v>
      </c>
      <c r="M766" t="s">
        <v>78</v>
      </c>
      <c r="N766" t="s">
        <v>1418</v>
      </c>
      <c r="O766" t="s">
        <v>74</v>
      </c>
      <c r="P766" t="s">
        <v>74</v>
      </c>
      <c r="Q766" t="s">
        <v>74</v>
      </c>
      <c r="R766" t="s">
        <v>74</v>
      </c>
      <c r="S766" t="s">
        <v>74</v>
      </c>
      <c r="T766" t="s">
        <v>74</v>
      </c>
      <c r="U766" t="s">
        <v>14646</v>
      </c>
      <c r="V766" t="s">
        <v>74</v>
      </c>
      <c r="W766" t="s">
        <v>14647</v>
      </c>
      <c r="X766" t="s">
        <v>14648</v>
      </c>
      <c r="Y766" t="s">
        <v>14649</v>
      </c>
      <c r="Z766" t="s">
        <v>14650</v>
      </c>
      <c r="AA766" t="s">
        <v>74</v>
      </c>
      <c r="AB766" t="s">
        <v>74</v>
      </c>
      <c r="AC766" t="s">
        <v>74</v>
      </c>
      <c r="AD766" t="s">
        <v>74</v>
      </c>
      <c r="AE766" t="s">
        <v>74</v>
      </c>
      <c r="AF766" t="s">
        <v>74</v>
      </c>
      <c r="AG766">
        <v>50</v>
      </c>
      <c r="AH766">
        <v>7</v>
      </c>
      <c r="AI766">
        <v>8</v>
      </c>
      <c r="AJ766">
        <v>0</v>
      </c>
      <c r="AK766">
        <v>28</v>
      </c>
      <c r="AL766" t="s">
        <v>454</v>
      </c>
      <c r="AM766" t="s">
        <v>455</v>
      </c>
      <c r="AN766" t="s">
        <v>456</v>
      </c>
      <c r="AO766" t="s">
        <v>2852</v>
      </c>
      <c r="AP766" t="s">
        <v>2853</v>
      </c>
      <c r="AQ766" t="s">
        <v>74</v>
      </c>
      <c r="AR766" t="s">
        <v>2854</v>
      </c>
      <c r="AS766" t="s">
        <v>2855</v>
      </c>
      <c r="AT766" t="s">
        <v>14027</v>
      </c>
      <c r="AU766">
        <v>2016</v>
      </c>
      <c r="AV766">
        <v>48</v>
      </c>
      <c r="AW766">
        <v>1</v>
      </c>
      <c r="AX766" t="s">
        <v>74</v>
      </c>
      <c r="AY766" t="s">
        <v>74</v>
      </c>
      <c r="AZ766" t="s">
        <v>74</v>
      </c>
      <c r="BA766" t="s">
        <v>74</v>
      </c>
      <c r="BB766">
        <v>213</v>
      </c>
      <c r="BC766">
        <v>219</v>
      </c>
      <c r="BD766" t="s">
        <v>74</v>
      </c>
      <c r="BE766" t="s">
        <v>14651</v>
      </c>
      <c r="BF766" t="str">
        <f>HYPERLINK("http://dx.doi.org/10.1657/AAAR0015-041","http://dx.doi.org/10.1657/AAAR0015-041")</f>
        <v>http://dx.doi.org/10.1657/AAAR0015-041</v>
      </c>
      <c r="BG766" t="s">
        <v>74</v>
      </c>
      <c r="BH766" t="s">
        <v>74</v>
      </c>
      <c r="BI766">
        <v>7</v>
      </c>
      <c r="BJ766" t="s">
        <v>2857</v>
      </c>
      <c r="BK766" t="s">
        <v>102</v>
      </c>
      <c r="BL766" t="s">
        <v>158</v>
      </c>
      <c r="BM766" t="s">
        <v>14520</v>
      </c>
      <c r="BN766" t="s">
        <v>74</v>
      </c>
      <c r="BO766" t="s">
        <v>293</v>
      </c>
      <c r="BP766" t="s">
        <v>74</v>
      </c>
      <c r="BQ766" t="s">
        <v>74</v>
      </c>
      <c r="BR766" t="s">
        <v>106</v>
      </c>
      <c r="BS766" t="s">
        <v>14652</v>
      </c>
      <c r="BT766" t="str">
        <f>HYPERLINK("https%3A%2F%2Fwww.webofscience.com%2Fwos%2Fwoscc%2Ffull-record%2FWOS:000371322100014","View Full Record in Web of Science")</f>
        <v>View Full Record in Web of Science</v>
      </c>
    </row>
    <row r="767" spans="1:72" x14ac:dyDescent="0.15">
      <c r="A767" t="s">
        <v>72</v>
      </c>
      <c r="B767" t="s">
        <v>14653</v>
      </c>
      <c r="C767" t="s">
        <v>74</v>
      </c>
      <c r="D767" t="s">
        <v>74</v>
      </c>
      <c r="E767" t="s">
        <v>74</v>
      </c>
      <c r="F767" t="s">
        <v>14654</v>
      </c>
      <c r="G767" t="s">
        <v>74</v>
      </c>
      <c r="H767" t="s">
        <v>74</v>
      </c>
      <c r="I767" t="s">
        <v>14655</v>
      </c>
      <c r="J767" t="s">
        <v>14656</v>
      </c>
      <c r="K767" t="s">
        <v>74</v>
      </c>
      <c r="L767" t="s">
        <v>74</v>
      </c>
      <c r="M767" t="s">
        <v>78</v>
      </c>
      <c r="N767" t="s">
        <v>79</v>
      </c>
      <c r="O767" t="s">
        <v>74</v>
      </c>
      <c r="P767" t="s">
        <v>74</v>
      </c>
      <c r="Q767" t="s">
        <v>74</v>
      </c>
      <c r="R767" t="s">
        <v>74</v>
      </c>
      <c r="S767" t="s">
        <v>74</v>
      </c>
      <c r="T767" t="s">
        <v>14657</v>
      </c>
      <c r="U767" t="s">
        <v>14658</v>
      </c>
      <c r="V767" t="s">
        <v>14659</v>
      </c>
      <c r="W767" t="s">
        <v>14660</v>
      </c>
      <c r="X767" t="s">
        <v>14661</v>
      </c>
      <c r="Y767" t="s">
        <v>14662</v>
      </c>
      <c r="Z767" t="s">
        <v>14663</v>
      </c>
      <c r="AA767" t="s">
        <v>14664</v>
      </c>
      <c r="AB767" t="s">
        <v>14665</v>
      </c>
      <c r="AC767" t="s">
        <v>14666</v>
      </c>
      <c r="AD767" t="s">
        <v>14667</v>
      </c>
      <c r="AE767" t="s">
        <v>14668</v>
      </c>
      <c r="AF767" t="s">
        <v>74</v>
      </c>
      <c r="AG767">
        <v>26</v>
      </c>
      <c r="AH767">
        <v>0</v>
      </c>
      <c r="AI767">
        <v>0</v>
      </c>
      <c r="AJ767">
        <v>0</v>
      </c>
      <c r="AK767">
        <v>11</v>
      </c>
      <c r="AL767" t="s">
        <v>1829</v>
      </c>
      <c r="AM767" t="s">
        <v>679</v>
      </c>
      <c r="AN767" t="s">
        <v>1830</v>
      </c>
      <c r="AO767" t="s">
        <v>14669</v>
      </c>
      <c r="AP767" t="s">
        <v>14670</v>
      </c>
      <c r="AQ767" t="s">
        <v>74</v>
      </c>
      <c r="AR767" t="s">
        <v>14671</v>
      </c>
      <c r="AS767" t="s">
        <v>14672</v>
      </c>
      <c r="AT767" t="s">
        <v>14027</v>
      </c>
      <c r="AU767">
        <v>2016</v>
      </c>
      <c r="AV767">
        <v>64</v>
      </c>
      <c r="AW767" t="s">
        <v>74</v>
      </c>
      <c r="AX767" t="s">
        <v>74</v>
      </c>
      <c r="AY767" t="s">
        <v>74</v>
      </c>
      <c r="AZ767" t="s">
        <v>74</v>
      </c>
      <c r="BA767" t="s">
        <v>74</v>
      </c>
      <c r="BB767">
        <v>136</v>
      </c>
      <c r="BC767">
        <v>141</v>
      </c>
      <c r="BD767" t="s">
        <v>74</v>
      </c>
      <c r="BE767" t="s">
        <v>14673</v>
      </c>
      <c r="BF767" t="str">
        <f>HYPERLINK("http://dx.doi.org/10.1016/j.bse.2015.12.003","http://dx.doi.org/10.1016/j.bse.2015.12.003")</f>
        <v>http://dx.doi.org/10.1016/j.bse.2015.12.003</v>
      </c>
      <c r="BG767" t="s">
        <v>74</v>
      </c>
      <c r="BH767" t="s">
        <v>74</v>
      </c>
      <c r="BI767">
        <v>6</v>
      </c>
      <c r="BJ767" t="s">
        <v>4652</v>
      </c>
      <c r="BK767" t="s">
        <v>102</v>
      </c>
      <c r="BL767" t="s">
        <v>4653</v>
      </c>
      <c r="BM767" t="s">
        <v>14674</v>
      </c>
      <c r="BN767" t="s">
        <v>74</v>
      </c>
      <c r="BO767" t="s">
        <v>74</v>
      </c>
      <c r="BP767" t="s">
        <v>74</v>
      </c>
      <c r="BQ767" t="s">
        <v>74</v>
      </c>
      <c r="BR767" t="s">
        <v>106</v>
      </c>
      <c r="BS767" t="s">
        <v>14675</v>
      </c>
      <c r="BT767" t="str">
        <f>HYPERLINK("https%3A%2F%2Fwww.webofscience.com%2Fwos%2Fwoscc%2Ffull-record%2FWOS:000370891300020","View Full Record in Web of Science")</f>
        <v>View Full Record in Web of Science</v>
      </c>
    </row>
    <row r="768" spans="1:72" x14ac:dyDescent="0.15">
      <c r="A768" t="s">
        <v>72</v>
      </c>
      <c r="B768" t="s">
        <v>14676</v>
      </c>
      <c r="C768" t="s">
        <v>74</v>
      </c>
      <c r="D768" t="s">
        <v>74</v>
      </c>
      <c r="E768" t="s">
        <v>74</v>
      </c>
      <c r="F768" t="s">
        <v>14677</v>
      </c>
      <c r="G768" t="s">
        <v>74</v>
      </c>
      <c r="H768" t="s">
        <v>74</v>
      </c>
      <c r="I768" t="s">
        <v>14678</v>
      </c>
      <c r="J768" t="s">
        <v>4268</v>
      </c>
      <c r="K768" t="s">
        <v>74</v>
      </c>
      <c r="L768" t="s">
        <v>74</v>
      </c>
      <c r="M768" t="s">
        <v>78</v>
      </c>
      <c r="N768" t="s">
        <v>79</v>
      </c>
      <c r="O768" t="s">
        <v>74</v>
      </c>
      <c r="P768" t="s">
        <v>74</v>
      </c>
      <c r="Q768" t="s">
        <v>74</v>
      </c>
      <c r="R768" t="s">
        <v>74</v>
      </c>
      <c r="S768" t="s">
        <v>74</v>
      </c>
      <c r="T768" t="s">
        <v>14679</v>
      </c>
      <c r="U768" t="s">
        <v>14680</v>
      </c>
      <c r="V768" t="s">
        <v>14681</v>
      </c>
      <c r="W768" t="s">
        <v>14682</v>
      </c>
      <c r="X768" t="s">
        <v>10803</v>
      </c>
      <c r="Y768" t="s">
        <v>14683</v>
      </c>
      <c r="Z768" t="s">
        <v>10804</v>
      </c>
      <c r="AA768" t="s">
        <v>3077</v>
      </c>
      <c r="AB768" t="s">
        <v>14684</v>
      </c>
      <c r="AC768" t="s">
        <v>14685</v>
      </c>
      <c r="AD768" t="s">
        <v>14686</v>
      </c>
      <c r="AE768" t="s">
        <v>14687</v>
      </c>
      <c r="AF768" t="s">
        <v>74</v>
      </c>
      <c r="AG768">
        <v>82</v>
      </c>
      <c r="AH768">
        <v>22</v>
      </c>
      <c r="AI768">
        <v>24</v>
      </c>
      <c r="AJ768">
        <v>5</v>
      </c>
      <c r="AK768">
        <v>55</v>
      </c>
      <c r="AL768" t="s">
        <v>1657</v>
      </c>
      <c r="AM768" t="s">
        <v>679</v>
      </c>
      <c r="AN768" t="s">
        <v>1658</v>
      </c>
      <c r="AO768" t="s">
        <v>4281</v>
      </c>
      <c r="AP768" t="s">
        <v>4282</v>
      </c>
      <c r="AQ768" t="s">
        <v>74</v>
      </c>
      <c r="AR768" t="s">
        <v>4283</v>
      </c>
      <c r="AS768" t="s">
        <v>4284</v>
      </c>
      <c r="AT768" t="s">
        <v>14688</v>
      </c>
      <c r="AU768">
        <v>2016</v>
      </c>
      <c r="AV768">
        <v>73</v>
      </c>
      <c r="AW768">
        <v>3</v>
      </c>
      <c r="AX768" t="s">
        <v>74</v>
      </c>
      <c r="AY768" t="s">
        <v>74</v>
      </c>
      <c r="AZ768" t="s">
        <v>74</v>
      </c>
      <c r="BA768" t="s">
        <v>74</v>
      </c>
      <c r="BB768">
        <v>739</v>
      </c>
      <c r="BC768">
        <v>752</v>
      </c>
      <c r="BD768" t="s">
        <v>74</v>
      </c>
      <c r="BE768" t="s">
        <v>14689</v>
      </c>
      <c r="BF768" t="str">
        <f>HYPERLINK("http://dx.doi.org/10.1093/icesjms/fsv233","http://dx.doi.org/10.1093/icesjms/fsv233")</f>
        <v>http://dx.doi.org/10.1093/icesjms/fsv233</v>
      </c>
      <c r="BG768" t="s">
        <v>74</v>
      </c>
      <c r="BH768" t="s">
        <v>74</v>
      </c>
      <c r="BI768">
        <v>14</v>
      </c>
      <c r="BJ768" t="s">
        <v>4286</v>
      </c>
      <c r="BK768" t="s">
        <v>102</v>
      </c>
      <c r="BL768" t="s">
        <v>4286</v>
      </c>
      <c r="BM768" t="s">
        <v>14690</v>
      </c>
      <c r="BN768" t="s">
        <v>74</v>
      </c>
      <c r="BO768" t="s">
        <v>420</v>
      </c>
      <c r="BP768" t="s">
        <v>74</v>
      </c>
      <c r="BQ768" t="s">
        <v>74</v>
      </c>
      <c r="BR768" t="s">
        <v>106</v>
      </c>
      <c r="BS768" t="s">
        <v>14691</v>
      </c>
      <c r="BT768" t="str">
        <f>HYPERLINK("https%3A%2F%2Fwww.webofscience.com%2Fwos%2Fwoscc%2Ffull-record%2FWOS:000371142000023","View Full Record in Web of Science")</f>
        <v>View Full Record in Web of Science</v>
      </c>
    </row>
    <row r="769" spans="1:72" x14ac:dyDescent="0.15">
      <c r="A769" t="s">
        <v>72</v>
      </c>
      <c r="B769" t="s">
        <v>14692</v>
      </c>
      <c r="C769" t="s">
        <v>74</v>
      </c>
      <c r="D769" t="s">
        <v>74</v>
      </c>
      <c r="E769" t="s">
        <v>74</v>
      </c>
      <c r="F769" t="s">
        <v>14693</v>
      </c>
      <c r="G769" t="s">
        <v>74</v>
      </c>
      <c r="H769" t="s">
        <v>74</v>
      </c>
      <c r="I769" t="s">
        <v>14694</v>
      </c>
      <c r="J769" t="s">
        <v>734</v>
      </c>
      <c r="K769" t="s">
        <v>74</v>
      </c>
      <c r="L769" t="s">
        <v>74</v>
      </c>
      <c r="M769" t="s">
        <v>78</v>
      </c>
      <c r="N769" t="s">
        <v>79</v>
      </c>
      <c r="O769" t="s">
        <v>74</v>
      </c>
      <c r="P769" t="s">
        <v>74</v>
      </c>
      <c r="Q769" t="s">
        <v>74</v>
      </c>
      <c r="R769" t="s">
        <v>74</v>
      </c>
      <c r="S769" t="s">
        <v>74</v>
      </c>
      <c r="T769" t="s">
        <v>74</v>
      </c>
      <c r="U769" t="s">
        <v>14695</v>
      </c>
      <c r="V769" t="s">
        <v>14696</v>
      </c>
      <c r="W769" t="s">
        <v>14697</v>
      </c>
      <c r="X769" t="s">
        <v>14698</v>
      </c>
      <c r="Y769" t="s">
        <v>14699</v>
      </c>
      <c r="Z769" t="s">
        <v>14700</v>
      </c>
      <c r="AA769" t="s">
        <v>14701</v>
      </c>
      <c r="AB769" t="s">
        <v>14702</v>
      </c>
      <c r="AC769" t="s">
        <v>14703</v>
      </c>
      <c r="AD769" t="s">
        <v>14704</v>
      </c>
      <c r="AE769" t="s">
        <v>14705</v>
      </c>
      <c r="AF769" t="s">
        <v>74</v>
      </c>
      <c r="AG769">
        <v>69</v>
      </c>
      <c r="AH769">
        <v>40</v>
      </c>
      <c r="AI769">
        <v>41</v>
      </c>
      <c r="AJ769">
        <v>5</v>
      </c>
      <c r="AK769">
        <v>52</v>
      </c>
      <c r="AL769" t="s">
        <v>772</v>
      </c>
      <c r="AM769" t="s">
        <v>773</v>
      </c>
      <c r="AN769" t="s">
        <v>774</v>
      </c>
      <c r="AO769" t="s">
        <v>749</v>
      </c>
      <c r="AP769" t="s">
        <v>74</v>
      </c>
      <c r="AQ769" t="s">
        <v>74</v>
      </c>
      <c r="AR769" t="s">
        <v>750</v>
      </c>
      <c r="AS769" t="s">
        <v>751</v>
      </c>
      <c r="AT769" t="s">
        <v>14027</v>
      </c>
      <c r="AU769">
        <v>2016</v>
      </c>
      <c r="AV769">
        <v>7</v>
      </c>
      <c r="AW769" t="s">
        <v>74</v>
      </c>
      <c r="AX769" t="s">
        <v>74</v>
      </c>
      <c r="AY769" t="s">
        <v>74</v>
      </c>
      <c r="AZ769" t="s">
        <v>74</v>
      </c>
      <c r="BA769" t="s">
        <v>74</v>
      </c>
      <c r="BB769" t="s">
        <v>74</v>
      </c>
      <c r="BC769" t="s">
        <v>74</v>
      </c>
      <c r="BD769">
        <v>10491</v>
      </c>
      <c r="BE769" t="s">
        <v>14706</v>
      </c>
      <c r="BF769" t="str">
        <f>HYPERLINK("http://dx.doi.org/10.1038/ncomms10491","http://dx.doi.org/10.1038/ncomms10491")</f>
        <v>http://dx.doi.org/10.1038/ncomms10491</v>
      </c>
      <c r="BG769" t="s">
        <v>74</v>
      </c>
      <c r="BH769" t="s">
        <v>74</v>
      </c>
      <c r="BI769">
        <v>9</v>
      </c>
      <c r="BJ769" t="s">
        <v>753</v>
      </c>
      <c r="BK769" t="s">
        <v>102</v>
      </c>
      <c r="BL769" t="s">
        <v>754</v>
      </c>
      <c r="BM769" t="s">
        <v>14707</v>
      </c>
      <c r="BN769">
        <v>26839155</v>
      </c>
      <c r="BO769" t="s">
        <v>14708</v>
      </c>
      <c r="BP769" t="s">
        <v>74</v>
      </c>
      <c r="BQ769" t="s">
        <v>74</v>
      </c>
      <c r="BR769" t="s">
        <v>106</v>
      </c>
      <c r="BS769" t="s">
        <v>14709</v>
      </c>
      <c r="BT769" t="str">
        <f>HYPERLINK("https%3A%2F%2Fwww.webofscience.com%2Fwos%2Fwoscc%2Ffull-record%2FWOS:000371012100003","View Full Record in Web of Science")</f>
        <v>View Full Record in Web of Science</v>
      </c>
    </row>
    <row r="770" spans="1:72" x14ac:dyDescent="0.15">
      <c r="A770" t="s">
        <v>72</v>
      </c>
      <c r="B770" t="s">
        <v>14710</v>
      </c>
      <c r="C770" t="s">
        <v>74</v>
      </c>
      <c r="D770" t="s">
        <v>74</v>
      </c>
      <c r="E770" t="s">
        <v>74</v>
      </c>
      <c r="F770" t="s">
        <v>14711</v>
      </c>
      <c r="G770" t="s">
        <v>74</v>
      </c>
      <c r="H770" t="s">
        <v>74</v>
      </c>
      <c r="I770" t="s">
        <v>14712</v>
      </c>
      <c r="J770" t="s">
        <v>734</v>
      </c>
      <c r="K770" t="s">
        <v>74</v>
      </c>
      <c r="L770" t="s">
        <v>74</v>
      </c>
      <c r="M770" t="s">
        <v>78</v>
      </c>
      <c r="N770" t="s">
        <v>79</v>
      </c>
      <c r="O770" t="s">
        <v>74</v>
      </c>
      <c r="P770" t="s">
        <v>74</v>
      </c>
      <c r="Q770" t="s">
        <v>74</v>
      </c>
      <c r="R770" t="s">
        <v>74</v>
      </c>
      <c r="S770" t="s">
        <v>74</v>
      </c>
      <c r="T770" t="s">
        <v>74</v>
      </c>
      <c r="U770" t="s">
        <v>14713</v>
      </c>
      <c r="V770" t="s">
        <v>14714</v>
      </c>
      <c r="W770" t="s">
        <v>14715</v>
      </c>
      <c r="X770" t="s">
        <v>14716</v>
      </c>
      <c r="Y770" t="s">
        <v>14717</v>
      </c>
      <c r="Z770" t="s">
        <v>14718</v>
      </c>
      <c r="AA770" t="s">
        <v>14719</v>
      </c>
      <c r="AB770" t="s">
        <v>14720</v>
      </c>
      <c r="AC770" t="s">
        <v>14721</v>
      </c>
      <c r="AD770" t="s">
        <v>14722</v>
      </c>
      <c r="AE770" t="s">
        <v>14723</v>
      </c>
      <c r="AF770" t="s">
        <v>74</v>
      </c>
      <c r="AG770">
        <v>62</v>
      </c>
      <c r="AH770">
        <v>75</v>
      </c>
      <c r="AI770">
        <v>84</v>
      </c>
      <c r="AJ770">
        <v>2</v>
      </c>
      <c r="AK770">
        <v>41</v>
      </c>
      <c r="AL770" t="s">
        <v>772</v>
      </c>
      <c r="AM770" t="s">
        <v>773</v>
      </c>
      <c r="AN770" t="s">
        <v>774</v>
      </c>
      <c r="AO770" t="s">
        <v>749</v>
      </c>
      <c r="AP770" t="s">
        <v>74</v>
      </c>
      <c r="AQ770" t="s">
        <v>74</v>
      </c>
      <c r="AR770" t="s">
        <v>750</v>
      </c>
      <c r="AS770" t="s">
        <v>751</v>
      </c>
      <c r="AT770" t="s">
        <v>14027</v>
      </c>
      <c r="AU770">
        <v>2016</v>
      </c>
      <c r="AV770">
        <v>7</v>
      </c>
      <c r="AW770" t="s">
        <v>74</v>
      </c>
      <c r="AX770" t="s">
        <v>74</v>
      </c>
      <c r="AY770" t="s">
        <v>74</v>
      </c>
      <c r="AZ770" t="s">
        <v>74</v>
      </c>
      <c r="BA770" t="s">
        <v>74</v>
      </c>
      <c r="BB770" t="s">
        <v>74</v>
      </c>
      <c r="BC770" t="s">
        <v>74</v>
      </c>
      <c r="BD770">
        <v>10409</v>
      </c>
      <c r="BE770" t="s">
        <v>14724</v>
      </c>
      <c r="BF770" t="str">
        <f>HYPERLINK("http://dx.doi.org/10.1038/ncomms10409","http://dx.doi.org/10.1038/ncomms10409")</f>
        <v>http://dx.doi.org/10.1038/ncomms10409</v>
      </c>
      <c r="BG770" t="s">
        <v>74</v>
      </c>
      <c r="BH770" t="s">
        <v>74</v>
      </c>
      <c r="BI770">
        <v>9</v>
      </c>
      <c r="BJ770" t="s">
        <v>753</v>
      </c>
      <c r="BK770" t="s">
        <v>102</v>
      </c>
      <c r="BL770" t="s">
        <v>754</v>
      </c>
      <c r="BM770" t="s">
        <v>14725</v>
      </c>
      <c r="BN770">
        <v>26842498</v>
      </c>
      <c r="BO770" t="s">
        <v>5441</v>
      </c>
      <c r="BP770" t="s">
        <v>74</v>
      </c>
      <c r="BQ770" t="s">
        <v>74</v>
      </c>
      <c r="BR770" t="s">
        <v>106</v>
      </c>
      <c r="BS770" t="s">
        <v>14726</v>
      </c>
      <c r="BT770" t="str">
        <f>HYPERLINK("https%3A%2F%2Fwww.webofscience.com%2Fwos%2Fwoscc%2Ffull-record%2FWOS:000371132700001","View Full Record in Web of Science")</f>
        <v>View Full Record in Web of Science</v>
      </c>
    </row>
    <row r="771" spans="1:72" x14ac:dyDescent="0.15">
      <c r="A771" t="s">
        <v>72</v>
      </c>
      <c r="B771" t="s">
        <v>14727</v>
      </c>
      <c r="C771" t="s">
        <v>74</v>
      </c>
      <c r="D771" t="s">
        <v>74</v>
      </c>
      <c r="E771" t="s">
        <v>74</v>
      </c>
      <c r="F771" t="s">
        <v>14728</v>
      </c>
      <c r="G771" t="s">
        <v>74</v>
      </c>
      <c r="H771" t="s">
        <v>74</v>
      </c>
      <c r="I771" t="s">
        <v>14729</v>
      </c>
      <c r="J771" t="s">
        <v>2804</v>
      </c>
      <c r="K771" t="s">
        <v>74</v>
      </c>
      <c r="L771" t="s">
        <v>74</v>
      </c>
      <c r="M771" t="s">
        <v>78</v>
      </c>
      <c r="N771" t="s">
        <v>79</v>
      </c>
      <c r="O771" t="s">
        <v>74</v>
      </c>
      <c r="P771" t="s">
        <v>74</v>
      </c>
      <c r="Q771" t="s">
        <v>74</v>
      </c>
      <c r="R771" t="s">
        <v>74</v>
      </c>
      <c r="S771" t="s">
        <v>74</v>
      </c>
      <c r="T771" t="s">
        <v>14730</v>
      </c>
      <c r="U771" t="s">
        <v>14731</v>
      </c>
      <c r="V771" t="s">
        <v>14732</v>
      </c>
      <c r="W771" t="s">
        <v>14733</v>
      </c>
      <c r="X771" t="s">
        <v>14734</v>
      </c>
      <c r="Y771" t="s">
        <v>14735</v>
      </c>
      <c r="Z771" t="s">
        <v>14736</v>
      </c>
      <c r="AA771" t="s">
        <v>14737</v>
      </c>
      <c r="AB771" t="s">
        <v>14738</v>
      </c>
      <c r="AC771" t="s">
        <v>14739</v>
      </c>
      <c r="AD771" t="s">
        <v>14740</v>
      </c>
      <c r="AE771" t="s">
        <v>14741</v>
      </c>
      <c r="AF771" t="s">
        <v>74</v>
      </c>
      <c r="AG771">
        <v>35</v>
      </c>
      <c r="AH771">
        <v>1</v>
      </c>
      <c r="AI771">
        <v>3</v>
      </c>
      <c r="AJ771">
        <v>1</v>
      </c>
      <c r="AK771">
        <v>25</v>
      </c>
      <c r="AL771" t="s">
        <v>194</v>
      </c>
      <c r="AM771" t="s">
        <v>262</v>
      </c>
      <c r="AN771" t="s">
        <v>263</v>
      </c>
      <c r="AO771" t="s">
        <v>2815</v>
      </c>
      <c r="AP771" t="s">
        <v>2816</v>
      </c>
      <c r="AQ771" t="s">
        <v>74</v>
      </c>
      <c r="AR771" t="s">
        <v>2817</v>
      </c>
      <c r="AS771" t="s">
        <v>2818</v>
      </c>
      <c r="AT771" t="s">
        <v>14027</v>
      </c>
      <c r="AU771">
        <v>2016</v>
      </c>
      <c r="AV771">
        <v>35</v>
      </c>
      <c r="AW771">
        <v>2</v>
      </c>
      <c r="AX771" t="s">
        <v>74</v>
      </c>
      <c r="AY771" t="s">
        <v>74</v>
      </c>
      <c r="AZ771" t="s">
        <v>74</v>
      </c>
      <c r="BA771" t="s">
        <v>74</v>
      </c>
      <c r="BB771">
        <v>68</v>
      </c>
      <c r="BC771">
        <v>75</v>
      </c>
      <c r="BD771" t="s">
        <v>74</v>
      </c>
      <c r="BE771" t="s">
        <v>14742</v>
      </c>
      <c r="BF771" t="str">
        <f>HYPERLINK("http://dx.doi.org/10.1007/s13131-015-0740-6","http://dx.doi.org/10.1007/s13131-015-0740-6")</f>
        <v>http://dx.doi.org/10.1007/s13131-015-0740-6</v>
      </c>
      <c r="BG771" t="s">
        <v>74</v>
      </c>
      <c r="BH771" t="s">
        <v>74</v>
      </c>
      <c r="BI771">
        <v>8</v>
      </c>
      <c r="BJ771" t="s">
        <v>361</v>
      </c>
      <c r="BK771" t="s">
        <v>102</v>
      </c>
      <c r="BL771" t="s">
        <v>361</v>
      </c>
      <c r="BM771" t="s">
        <v>14743</v>
      </c>
      <c r="BN771" t="s">
        <v>74</v>
      </c>
      <c r="BO771" t="s">
        <v>74</v>
      </c>
      <c r="BP771" t="s">
        <v>74</v>
      </c>
      <c r="BQ771" t="s">
        <v>74</v>
      </c>
      <c r="BR771" t="s">
        <v>106</v>
      </c>
      <c r="BS771" t="s">
        <v>14744</v>
      </c>
      <c r="BT771" t="str">
        <f>HYPERLINK("https%3A%2F%2Fwww.webofscience.com%2Fwos%2Fwoscc%2Ffull-record%2FWOS:000370614700008","View Full Record in Web of Science")</f>
        <v>View Full Record in Web of Science</v>
      </c>
    </row>
    <row r="772" spans="1:72" x14ac:dyDescent="0.15">
      <c r="A772" t="s">
        <v>72</v>
      </c>
      <c r="B772" t="s">
        <v>14745</v>
      </c>
      <c r="C772" t="s">
        <v>74</v>
      </c>
      <c r="D772" t="s">
        <v>74</v>
      </c>
      <c r="E772" t="s">
        <v>74</v>
      </c>
      <c r="F772" t="s">
        <v>14746</v>
      </c>
      <c r="G772" t="s">
        <v>74</v>
      </c>
      <c r="H772" t="s">
        <v>74</v>
      </c>
      <c r="I772" t="s">
        <v>14747</v>
      </c>
      <c r="J772" t="s">
        <v>6741</v>
      </c>
      <c r="K772" t="s">
        <v>74</v>
      </c>
      <c r="L772" t="s">
        <v>74</v>
      </c>
      <c r="M772" t="s">
        <v>78</v>
      </c>
      <c r="N772" t="s">
        <v>79</v>
      </c>
      <c r="O772" t="s">
        <v>74</v>
      </c>
      <c r="P772" t="s">
        <v>74</v>
      </c>
      <c r="Q772" t="s">
        <v>74</v>
      </c>
      <c r="R772" t="s">
        <v>74</v>
      </c>
      <c r="S772" t="s">
        <v>74</v>
      </c>
      <c r="T772" t="s">
        <v>14748</v>
      </c>
      <c r="U772" t="s">
        <v>14749</v>
      </c>
      <c r="V772" t="s">
        <v>14750</v>
      </c>
      <c r="W772" t="s">
        <v>14751</v>
      </c>
      <c r="X772" t="s">
        <v>14752</v>
      </c>
      <c r="Y772" t="s">
        <v>14753</v>
      </c>
      <c r="Z772" t="s">
        <v>14754</v>
      </c>
      <c r="AA772" t="s">
        <v>14755</v>
      </c>
      <c r="AB772" t="s">
        <v>14756</v>
      </c>
      <c r="AC772" t="s">
        <v>14757</v>
      </c>
      <c r="AD772" t="s">
        <v>14757</v>
      </c>
      <c r="AE772" t="s">
        <v>14758</v>
      </c>
      <c r="AF772" t="s">
        <v>74</v>
      </c>
      <c r="AG772">
        <v>70</v>
      </c>
      <c r="AH772">
        <v>13</v>
      </c>
      <c r="AI772">
        <v>14</v>
      </c>
      <c r="AJ772">
        <v>0</v>
      </c>
      <c r="AK772">
        <v>36</v>
      </c>
      <c r="AL772" t="s">
        <v>626</v>
      </c>
      <c r="AM772" t="s">
        <v>583</v>
      </c>
      <c r="AN772" t="s">
        <v>627</v>
      </c>
      <c r="AO772" t="s">
        <v>6752</v>
      </c>
      <c r="AP772" t="s">
        <v>6753</v>
      </c>
      <c r="AQ772" t="s">
        <v>74</v>
      </c>
      <c r="AR772" t="s">
        <v>6754</v>
      </c>
      <c r="AS772" t="s">
        <v>6755</v>
      </c>
      <c r="AT772" t="s">
        <v>14027</v>
      </c>
      <c r="AU772">
        <v>2016</v>
      </c>
      <c r="AV772">
        <v>137</v>
      </c>
      <c r="AW772" t="s">
        <v>74</v>
      </c>
      <c r="AX772" t="s">
        <v>74</v>
      </c>
      <c r="AY772" t="s">
        <v>74</v>
      </c>
      <c r="AZ772" t="s">
        <v>74</v>
      </c>
      <c r="BA772" t="s">
        <v>74</v>
      </c>
      <c r="BB772">
        <v>69</v>
      </c>
      <c r="BC772">
        <v>78</v>
      </c>
      <c r="BD772" t="s">
        <v>74</v>
      </c>
      <c r="BE772" t="s">
        <v>14759</v>
      </c>
      <c r="BF772" t="str">
        <f>HYPERLINK("http://dx.doi.org/10.1016/j.gloplacha.2015.12.016","http://dx.doi.org/10.1016/j.gloplacha.2015.12.016")</f>
        <v>http://dx.doi.org/10.1016/j.gloplacha.2015.12.016</v>
      </c>
      <c r="BG772" t="s">
        <v>74</v>
      </c>
      <c r="BH772" t="s">
        <v>74</v>
      </c>
      <c r="BI772">
        <v>10</v>
      </c>
      <c r="BJ772" t="s">
        <v>1904</v>
      </c>
      <c r="BK772" t="s">
        <v>102</v>
      </c>
      <c r="BL772" t="s">
        <v>1905</v>
      </c>
      <c r="BM772" t="s">
        <v>14760</v>
      </c>
      <c r="BN772" t="s">
        <v>74</v>
      </c>
      <c r="BO772" t="s">
        <v>1143</v>
      </c>
      <c r="BP772" t="s">
        <v>74</v>
      </c>
      <c r="BQ772" t="s">
        <v>74</v>
      </c>
      <c r="BR772" t="s">
        <v>106</v>
      </c>
      <c r="BS772" t="s">
        <v>14761</v>
      </c>
      <c r="BT772" t="str">
        <f>HYPERLINK("https%3A%2F%2Fwww.webofscience.com%2Fwos%2Fwoscc%2Ffull-record%2FWOS:000370454700006","View Full Record in Web of Science")</f>
        <v>View Full Record in Web of Science</v>
      </c>
    </row>
    <row r="773" spans="1:72" x14ac:dyDescent="0.15">
      <c r="A773" t="s">
        <v>72</v>
      </c>
      <c r="B773" t="s">
        <v>14762</v>
      </c>
      <c r="C773" t="s">
        <v>74</v>
      </c>
      <c r="D773" t="s">
        <v>74</v>
      </c>
      <c r="E773" t="s">
        <v>74</v>
      </c>
      <c r="F773" t="s">
        <v>14763</v>
      </c>
      <c r="G773" t="s">
        <v>74</v>
      </c>
      <c r="H773" t="s">
        <v>74</v>
      </c>
      <c r="I773" t="s">
        <v>14764</v>
      </c>
      <c r="J773" t="s">
        <v>14765</v>
      </c>
      <c r="K773" t="s">
        <v>74</v>
      </c>
      <c r="L773" t="s">
        <v>74</v>
      </c>
      <c r="M773" t="s">
        <v>78</v>
      </c>
      <c r="N773" t="s">
        <v>79</v>
      </c>
      <c r="O773" t="s">
        <v>74</v>
      </c>
      <c r="P773" t="s">
        <v>74</v>
      </c>
      <c r="Q773" t="s">
        <v>74</v>
      </c>
      <c r="R773" t="s">
        <v>74</v>
      </c>
      <c r="S773" t="s">
        <v>74</v>
      </c>
      <c r="T773" t="s">
        <v>74</v>
      </c>
      <c r="U773" t="s">
        <v>14766</v>
      </c>
      <c r="V773" t="s">
        <v>74</v>
      </c>
      <c r="W773" t="s">
        <v>14767</v>
      </c>
      <c r="X773" t="s">
        <v>14768</v>
      </c>
      <c r="Y773" t="s">
        <v>14769</v>
      </c>
      <c r="Z773" t="s">
        <v>14770</v>
      </c>
      <c r="AA773" t="s">
        <v>14771</v>
      </c>
      <c r="AB773" t="s">
        <v>14772</v>
      </c>
      <c r="AC773" t="s">
        <v>14773</v>
      </c>
      <c r="AD773" t="s">
        <v>14774</v>
      </c>
      <c r="AE773" t="s">
        <v>14775</v>
      </c>
      <c r="AF773" t="s">
        <v>74</v>
      </c>
      <c r="AG773">
        <v>25</v>
      </c>
      <c r="AH773">
        <v>6</v>
      </c>
      <c r="AI773">
        <v>9</v>
      </c>
      <c r="AJ773">
        <v>1</v>
      </c>
      <c r="AK773">
        <v>17</v>
      </c>
      <c r="AL773" t="s">
        <v>1657</v>
      </c>
      <c r="AM773" t="s">
        <v>679</v>
      </c>
      <c r="AN773" t="s">
        <v>1658</v>
      </c>
      <c r="AO773" t="s">
        <v>14776</v>
      </c>
      <c r="AP773" t="s">
        <v>14777</v>
      </c>
      <c r="AQ773" t="s">
        <v>74</v>
      </c>
      <c r="AR773" t="s">
        <v>14778</v>
      </c>
      <c r="AS773" t="s">
        <v>14779</v>
      </c>
      <c r="AT773" t="s">
        <v>14027</v>
      </c>
      <c r="AU773">
        <v>2016</v>
      </c>
      <c r="AV773">
        <v>82</v>
      </c>
      <c r="AW773" t="s">
        <v>74</v>
      </c>
      <c r="AX773">
        <v>1</v>
      </c>
      <c r="AY773" t="s">
        <v>74</v>
      </c>
      <c r="AZ773" t="s">
        <v>74</v>
      </c>
      <c r="BA773" t="s">
        <v>74</v>
      </c>
      <c r="BB773">
        <v>216</v>
      </c>
      <c r="BC773">
        <v>219</v>
      </c>
      <c r="BD773" t="s">
        <v>74</v>
      </c>
      <c r="BE773" t="s">
        <v>14780</v>
      </c>
      <c r="BF773" t="str">
        <f>HYPERLINK("http://dx.doi.org/10.1093/mollus/eyv054","http://dx.doi.org/10.1093/mollus/eyv054")</f>
        <v>http://dx.doi.org/10.1093/mollus/eyv054</v>
      </c>
      <c r="BG773" t="s">
        <v>74</v>
      </c>
      <c r="BH773" t="s">
        <v>74</v>
      </c>
      <c r="BI773">
        <v>4</v>
      </c>
      <c r="BJ773" t="s">
        <v>2995</v>
      </c>
      <c r="BK773" t="s">
        <v>102</v>
      </c>
      <c r="BL773" t="s">
        <v>2995</v>
      </c>
      <c r="BM773" t="s">
        <v>14781</v>
      </c>
      <c r="BN773" t="s">
        <v>74</v>
      </c>
      <c r="BO773" t="s">
        <v>420</v>
      </c>
      <c r="BP773" t="s">
        <v>74</v>
      </c>
      <c r="BQ773" t="s">
        <v>74</v>
      </c>
      <c r="BR773" t="s">
        <v>106</v>
      </c>
      <c r="BS773" t="s">
        <v>14782</v>
      </c>
      <c r="BT773" t="str">
        <f>HYPERLINK("https%3A%2F%2Fwww.webofscience.com%2Fwos%2Fwoscc%2Ffull-record%2FWOS:000370301100027","View Full Record in Web of Science")</f>
        <v>View Full Record in Web of Science</v>
      </c>
    </row>
    <row r="774" spans="1:72" x14ac:dyDescent="0.15">
      <c r="A774" t="s">
        <v>72</v>
      </c>
      <c r="B774" t="s">
        <v>14783</v>
      </c>
      <c r="C774" t="s">
        <v>74</v>
      </c>
      <c r="D774" t="s">
        <v>74</v>
      </c>
      <c r="E774" t="s">
        <v>74</v>
      </c>
      <c r="F774" t="s">
        <v>14784</v>
      </c>
      <c r="G774" t="s">
        <v>74</v>
      </c>
      <c r="H774" t="s">
        <v>74</v>
      </c>
      <c r="I774" t="s">
        <v>14785</v>
      </c>
      <c r="J774" t="s">
        <v>572</v>
      </c>
      <c r="K774" t="s">
        <v>74</v>
      </c>
      <c r="L774" t="s">
        <v>74</v>
      </c>
      <c r="M774" t="s">
        <v>78</v>
      </c>
      <c r="N774" t="s">
        <v>949</v>
      </c>
      <c r="O774" t="s">
        <v>74</v>
      </c>
      <c r="P774" t="s">
        <v>74</v>
      </c>
      <c r="Q774" t="s">
        <v>74</v>
      </c>
      <c r="R774" t="s">
        <v>74</v>
      </c>
      <c r="S774" t="s">
        <v>74</v>
      </c>
      <c r="T774" t="s">
        <v>14786</v>
      </c>
      <c r="U774" t="s">
        <v>14787</v>
      </c>
      <c r="V774" t="s">
        <v>14788</v>
      </c>
      <c r="W774" t="s">
        <v>14789</v>
      </c>
      <c r="X774" t="s">
        <v>14790</v>
      </c>
      <c r="Y774" t="s">
        <v>14791</v>
      </c>
      <c r="Z774" t="s">
        <v>14792</v>
      </c>
      <c r="AA774" t="s">
        <v>14793</v>
      </c>
      <c r="AB774" t="s">
        <v>14794</v>
      </c>
      <c r="AC774" t="s">
        <v>14795</v>
      </c>
      <c r="AD774" t="s">
        <v>14796</v>
      </c>
      <c r="AE774" t="s">
        <v>14797</v>
      </c>
      <c r="AF774" t="s">
        <v>74</v>
      </c>
      <c r="AG774">
        <v>114</v>
      </c>
      <c r="AH774">
        <v>11</v>
      </c>
      <c r="AI774">
        <v>12</v>
      </c>
      <c r="AJ774">
        <v>0</v>
      </c>
      <c r="AK774">
        <v>28</v>
      </c>
      <c r="AL774" t="s">
        <v>626</v>
      </c>
      <c r="AM774" t="s">
        <v>583</v>
      </c>
      <c r="AN774" t="s">
        <v>627</v>
      </c>
      <c r="AO774" t="s">
        <v>585</v>
      </c>
      <c r="AP774" t="s">
        <v>586</v>
      </c>
      <c r="AQ774" t="s">
        <v>74</v>
      </c>
      <c r="AR774" t="s">
        <v>587</v>
      </c>
      <c r="AS774" t="s">
        <v>588</v>
      </c>
      <c r="AT774" t="s">
        <v>14027</v>
      </c>
      <c r="AU774">
        <v>2016</v>
      </c>
      <c r="AV774">
        <v>25</v>
      </c>
      <c r="AW774" t="s">
        <v>74</v>
      </c>
      <c r="AX774" t="s">
        <v>74</v>
      </c>
      <c r="AY774" t="s">
        <v>74</v>
      </c>
      <c r="AZ774" t="s">
        <v>74</v>
      </c>
      <c r="BA774" t="s">
        <v>74</v>
      </c>
      <c r="BB774">
        <v>1</v>
      </c>
      <c r="BC774">
        <v>9</v>
      </c>
      <c r="BD774" t="s">
        <v>74</v>
      </c>
      <c r="BE774" t="s">
        <v>14798</v>
      </c>
      <c r="BF774" t="str">
        <f>HYPERLINK("http://dx.doi.org/10.1016/j.margen.2015.11.007","http://dx.doi.org/10.1016/j.margen.2015.11.007")</f>
        <v>http://dx.doi.org/10.1016/j.margen.2015.11.007</v>
      </c>
      <c r="BG774" t="s">
        <v>74</v>
      </c>
      <c r="BH774" t="s">
        <v>74</v>
      </c>
      <c r="BI774">
        <v>9</v>
      </c>
      <c r="BJ774" t="s">
        <v>591</v>
      </c>
      <c r="BK774" t="s">
        <v>102</v>
      </c>
      <c r="BL774" t="s">
        <v>591</v>
      </c>
      <c r="BM774" t="s">
        <v>14799</v>
      </c>
      <c r="BN774">
        <v>26610933</v>
      </c>
      <c r="BO774" t="s">
        <v>74</v>
      </c>
      <c r="BP774" t="s">
        <v>74</v>
      </c>
      <c r="BQ774" t="s">
        <v>74</v>
      </c>
      <c r="BR774" t="s">
        <v>106</v>
      </c>
      <c r="BS774" t="s">
        <v>14800</v>
      </c>
      <c r="BT774" t="str">
        <f>HYPERLINK("https%3A%2F%2Fwww.webofscience.com%2Fwos%2Fwoscc%2Ffull-record%2FWOS:000370459300001","View Full Record in Web of Science")</f>
        <v>View Full Record in Web of Science</v>
      </c>
    </row>
    <row r="775" spans="1:72" x14ac:dyDescent="0.15">
      <c r="A775" t="s">
        <v>72</v>
      </c>
      <c r="B775" t="s">
        <v>14801</v>
      </c>
      <c r="C775" t="s">
        <v>74</v>
      </c>
      <c r="D775" t="s">
        <v>74</v>
      </c>
      <c r="E775" t="s">
        <v>74</v>
      </c>
      <c r="F775" t="s">
        <v>14802</v>
      </c>
      <c r="G775" t="s">
        <v>74</v>
      </c>
      <c r="H775" t="s">
        <v>74</v>
      </c>
      <c r="I775" t="s">
        <v>14803</v>
      </c>
      <c r="J775" t="s">
        <v>572</v>
      </c>
      <c r="K775" t="s">
        <v>74</v>
      </c>
      <c r="L775" t="s">
        <v>74</v>
      </c>
      <c r="M775" t="s">
        <v>78</v>
      </c>
      <c r="N775" t="s">
        <v>79</v>
      </c>
      <c r="O775" t="s">
        <v>74</v>
      </c>
      <c r="P775" t="s">
        <v>74</v>
      </c>
      <c r="Q775" t="s">
        <v>74</v>
      </c>
      <c r="R775" t="s">
        <v>74</v>
      </c>
      <c r="S775" t="s">
        <v>74</v>
      </c>
      <c r="T775" t="s">
        <v>14804</v>
      </c>
      <c r="U775" t="s">
        <v>14805</v>
      </c>
      <c r="V775" t="s">
        <v>14806</v>
      </c>
      <c r="W775" t="s">
        <v>14807</v>
      </c>
      <c r="X775" t="s">
        <v>428</v>
      </c>
      <c r="Y775" t="s">
        <v>14808</v>
      </c>
      <c r="Z775" t="s">
        <v>14809</v>
      </c>
      <c r="AA775" t="s">
        <v>14810</v>
      </c>
      <c r="AB775" t="s">
        <v>74</v>
      </c>
      <c r="AC775" t="s">
        <v>14811</v>
      </c>
      <c r="AD775" t="s">
        <v>14812</v>
      </c>
      <c r="AE775" t="s">
        <v>14813</v>
      </c>
      <c r="AF775" t="s">
        <v>74</v>
      </c>
      <c r="AG775">
        <v>20</v>
      </c>
      <c r="AH775">
        <v>4</v>
      </c>
      <c r="AI775">
        <v>5</v>
      </c>
      <c r="AJ775">
        <v>3</v>
      </c>
      <c r="AK775">
        <v>13</v>
      </c>
      <c r="AL775" t="s">
        <v>626</v>
      </c>
      <c r="AM775" t="s">
        <v>583</v>
      </c>
      <c r="AN775" t="s">
        <v>627</v>
      </c>
      <c r="AO775" t="s">
        <v>585</v>
      </c>
      <c r="AP775" t="s">
        <v>586</v>
      </c>
      <c r="AQ775" t="s">
        <v>74</v>
      </c>
      <c r="AR775" t="s">
        <v>587</v>
      </c>
      <c r="AS775" t="s">
        <v>588</v>
      </c>
      <c r="AT775" t="s">
        <v>14027</v>
      </c>
      <c r="AU775">
        <v>2016</v>
      </c>
      <c r="AV775">
        <v>25</v>
      </c>
      <c r="AW775" t="s">
        <v>74</v>
      </c>
      <c r="AX775" t="s">
        <v>74</v>
      </c>
      <c r="AY775" t="s">
        <v>74</v>
      </c>
      <c r="AZ775" t="s">
        <v>74</v>
      </c>
      <c r="BA775" t="s">
        <v>74</v>
      </c>
      <c r="BB775">
        <v>29</v>
      </c>
      <c r="BC775">
        <v>31</v>
      </c>
      <c r="BD775" t="s">
        <v>74</v>
      </c>
      <c r="BE775" t="s">
        <v>14814</v>
      </c>
      <c r="BF775" t="str">
        <f>HYPERLINK("http://dx.doi.org/10.1016/j.margen.2015.11.006","http://dx.doi.org/10.1016/j.margen.2015.11.006")</f>
        <v>http://dx.doi.org/10.1016/j.margen.2015.11.006</v>
      </c>
      <c r="BG775" t="s">
        <v>74</v>
      </c>
      <c r="BH775" t="s">
        <v>74</v>
      </c>
      <c r="BI775">
        <v>3</v>
      </c>
      <c r="BJ775" t="s">
        <v>591</v>
      </c>
      <c r="BK775" t="s">
        <v>102</v>
      </c>
      <c r="BL775" t="s">
        <v>591</v>
      </c>
      <c r="BM775" t="s">
        <v>14799</v>
      </c>
      <c r="BN775">
        <v>26585344</v>
      </c>
      <c r="BO775" t="s">
        <v>222</v>
      </c>
      <c r="BP775" t="s">
        <v>74</v>
      </c>
      <c r="BQ775" t="s">
        <v>74</v>
      </c>
      <c r="BR775" t="s">
        <v>106</v>
      </c>
      <c r="BS775" t="s">
        <v>14815</v>
      </c>
      <c r="BT775" t="str">
        <f>HYPERLINK("https%3A%2F%2Fwww.webofscience.com%2Fwos%2Fwoscc%2Ffull-record%2FWOS:000370459300007","View Full Record in Web of Science")</f>
        <v>View Full Record in Web of Science</v>
      </c>
    </row>
    <row r="776" spans="1:72" x14ac:dyDescent="0.15">
      <c r="A776" t="s">
        <v>72</v>
      </c>
      <c r="B776" t="s">
        <v>14816</v>
      </c>
      <c r="C776" t="s">
        <v>74</v>
      </c>
      <c r="D776" t="s">
        <v>74</v>
      </c>
      <c r="E776" t="s">
        <v>74</v>
      </c>
      <c r="F776" t="s">
        <v>14817</v>
      </c>
      <c r="G776" t="s">
        <v>74</v>
      </c>
      <c r="H776" t="s">
        <v>74</v>
      </c>
      <c r="I776" t="s">
        <v>14818</v>
      </c>
      <c r="J776" t="s">
        <v>7841</v>
      </c>
      <c r="K776" t="s">
        <v>74</v>
      </c>
      <c r="L776" t="s">
        <v>74</v>
      </c>
      <c r="M776" t="s">
        <v>78</v>
      </c>
      <c r="N776" t="s">
        <v>79</v>
      </c>
      <c r="O776" t="s">
        <v>74</v>
      </c>
      <c r="P776" t="s">
        <v>74</v>
      </c>
      <c r="Q776" t="s">
        <v>74</v>
      </c>
      <c r="R776" t="s">
        <v>74</v>
      </c>
      <c r="S776" t="s">
        <v>74</v>
      </c>
      <c r="T776" t="s">
        <v>14819</v>
      </c>
      <c r="U776" t="s">
        <v>14820</v>
      </c>
      <c r="V776" t="s">
        <v>14821</v>
      </c>
      <c r="W776" t="s">
        <v>14822</v>
      </c>
      <c r="X776" t="s">
        <v>14823</v>
      </c>
      <c r="Y776" t="s">
        <v>14824</v>
      </c>
      <c r="Z776" t="s">
        <v>14825</v>
      </c>
      <c r="AA776" t="s">
        <v>14826</v>
      </c>
      <c r="AB776" t="s">
        <v>14827</v>
      </c>
      <c r="AC776" t="s">
        <v>14828</v>
      </c>
      <c r="AD776" t="s">
        <v>14829</v>
      </c>
      <c r="AE776" t="s">
        <v>14830</v>
      </c>
      <c r="AF776" t="s">
        <v>74</v>
      </c>
      <c r="AG776">
        <v>58</v>
      </c>
      <c r="AH776">
        <v>8</v>
      </c>
      <c r="AI776">
        <v>9</v>
      </c>
      <c r="AJ776">
        <v>0</v>
      </c>
      <c r="AK776">
        <v>32</v>
      </c>
      <c r="AL776" t="s">
        <v>194</v>
      </c>
      <c r="AM776" t="s">
        <v>262</v>
      </c>
      <c r="AN776" t="s">
        <v>263</v>
      </c>
      <c r="AO776" t="s">
        <v>7852</v>
      </c>
      <c r="AP776" t="s">
        <v>7853</v>
      </c>
      <c r="AQ776" t="s">
        <v>74</v>
      </c>
      <c r="AR776" t="s">
        <v>7854</v>
      </c>
      <c r="AS776" t="s">
        <v>7855</v>
      </c>
      <c r="AT776" t="s">
        <v>14027</v>
      </c>
      <c r="AU776">
        <v>2016</v>
      </c>
      <c r="AV776">
        <v>46</v>
      </c>
      <c r="AW776" t="s">
        <v>10279</v>
      </c>
      <c r="AX776" t="s">
        <v>74</v>
      </c>
      <c r="AY776" t="s">
        <v>74</v>
      </c>
      <c r="AZ776" t="s">
        <v>74</v>
      </c>
      <c r="BA776" t="s">
        <v>74</v>
      </c>
      <c r="BB776">
        <v>1287</v>
      </c>
      <c r="BC776">
        <v>1299</v>
      </c>
      <c r="BD776" t="s">
        <v>74</v>
      </c>
      <c r="BE776" t="s">
        <v>14831</v>
      </c>
      <c r="BF776" t="str">
        <f>HYPERLINK("http://dx.doi.org/10.1007/s00382-015-2646-6","http://dx.doi.org/10.1007/s00382-015-2646-6")</f>
        <v>http://dx.doi.org/10.1007/s00382-015-2646-6</v>
      </c>
      <c r="BG776" t="s">
        <v>74</v>
      </c>
      <c r="BH776" t="s">
        <v>74</v>
      </c>
      <c r="BI776">
        <v>13</v>
      </c>
      <c r="BJ776" t="s">
        <v>1726</v>
      </c>
      <c r="BK776" t="s">
        <v>102</v>
      </c>
      <c r="BL776" t="s">
        <v>1726</v>
      </c>
      <c r="BM776" t="s">
        <v>14832</v>
      </c>
      <c r="BN776" t="s">
        <v>74</v>
      </c>
      <c r="BO776" t="s">
        <v>74</v>
      </c>
      <c r="BP776" t="s">
        <v>74</v>
      </c>
      <c r="BQ776" t="s">
        <v>74</v>
      </c>
      <c r="BR776" t="s">
        <v>106</v>
      </c>
      <c r="BS776" t="s">
        <v>14833</v>
      </c>
      <c r="BT776" t="str">
        <f>HYPERLINK("https%3A%2F%2Fwww.webofscience.com%2Fwos%2Fwoscc%2Ffull-record%2FWOS:000370030900036","View Full Record in Web of Science")</f>
        <v>View Full Record in Web of Science</v>
      </c>
    </row>
    <row r="777" spans="1:72" x14ac:dyDescent="0.15">
      <c r="A777" t="s">
        <v>72</v>
      </c>
      <c r="B777" t="s">
        <v>14834</v>
      </c>
      <c r="C777" t="s">
        <v>74</v>
      </c>
      <c r="D777" t="s">
        <v>74</v>
      </c>
      <c r="E777" t="s">
        <v>74</v>
      </c>
      <c r="F777" t="s">
        <v>14835</v>
      </c>
      <c r="G777" t="s">
        <v>74</v>
      </c>
      <c r="H777" t="s">
        <v>74</v>
      </c>
      <c r="I777" t="s">
        <v>14836</v>
      </c>
      <c r="J777" t="s">
        <v>14837</v>
      </c>
      <c r="K777" t="s">
        <v>74</v>
      </c>
      <c r="L777" t="s">
        <v>74</v>
      </c>
      <c r="M777" t="s">
        <v>78</v>
      </c>
      <c r="N777" t="s">
        <v>79</v>
      </c>
      <c r="O777" t="s">
        <v>74</v>
      </c>
      <c r="P777" t="s">
        <v>74</v>
      </c>
      <c r="Q777" t="s">
        <v>74</v>
      </c>
      <c r="R777" t="s">
        <v>74</v>
      </c>
      <c r="S777" t="s">
        <v>74</v>
      </c>
      <c r="T777" t="s">
        <v>14838</v>
      </c>
      <c r="U777" t="s">
        <v>14839</v>
      </c>
      <c r="V777" t="s">
        <v>14840</v>
      </c>
      <c r="W777" t="s">
        <v>14841</v>
      </c>
      <c r="X777" t="s">
        <v>14842</v>
      </c>
      <c r="Y777" t="s">
        <v>14843</v>
      </c>
      <c r="Z777" t="s">
        <v>14844</v>
      </c>
      <c r="AA777" t="s">
        <v>14845</v>
      </c>
      <c r="AB777" t="s">
        <v>14846</v>
      </c>
      <c r="AC777" t="s">
        <v>14847</v>
      </c>
      <c r="AD777" t="s">
        <v>14848</v>
      </c>
      <c r="AE777" t="s">
        <v>14849</v>
      </c>
      <c r="AF777" t="s">
        <v>74</v>
      </c>
      <c r="AG777">
        <v>66</v>
      </c>
      <c r="AH777">
        <v>9</v>
      </c>
      <c r="AI777">
        <v>9</v>
      </c>
      <c r="AJ777">
        <v>0</v>
      </c>
      <c r="AK777">
        <v>19</v>
      </c>
      <c r="AL777" t="s">
        <v>2034</v>
      </c>
      <c r="AM777" t="s">
        <v>262</v>
      </c>
      <c r="AN777" t="s">
        <v>2035</v>
      </c>
      <c r="AO777" t="s">
        <v>14850</v>
      </c>
      <c r="AP777" t="s">
        <v>14851</v>
      </c>
      <c r="AQ777" t="s">
        <v>74</v>
      </c>
      <c r="AR777" t="s">
        <v>14852</v>
      </c>
      <c r="AS777" t="s">
        <v>14853</v>
      </c>
      <c r="AT777" t="s">
        <v>14027</v>
      </c>
      <c r="AU777">
        <v>2016</v>
      </c>
      <c r="AV777">
        <v>192</v>
      </c>
      <c r="AW777" t="s">
        <v>74</v>
      </c>
      <c r="AX777" t="s">
        <v>74</v>
      </c>
      <c r="AY777" t="s">
        <v>74</v>
      </c>
      <c r="AZ777" t="s">
        <v>74</v>
      </c>
      <c r="BA777" t="s">
        <v>74</v>
      </c>
      <c r="BB777">
        <v>38</v>
      </c>
      <c r="BC777">
        <v>48</v>
      </c>
      <c r="BD777" t="s">
        <v>74</v>
      </c>
      <c r="BE777" t="s">
        <v>14854</v>
      </c>
      <c r="BF777" t="str">
        <f>HYPERLINK("http://dx.doi.org/10.1016/j.cbpb.2015.11.008","http://dx.doi.org/10.1016/j.cbpb.2015.11.008")</f>
        <v>http://dx.doi.org/10.1016/j.cbpb.2015.11.008</v>
      </c>
      <c r="BG777" t="s">
        <v>74</v>
      </c>
      <c r="BH777" t="s">
        <v>74</v>
      </c>
      <c r="BI777">
        <v>11</v>
      </c>
      <c r="BJ777" t="s">
        <v>14855</v>
      </c>
      <c r="BK777" t="s">
        <v>102</v>
      </c>
      <c r="BL777" t="s">
        <v>14855</v>
      </c>
      <c r="BM777" t="s">
        <v>14856</v>
      </c>
      <c r="BN777">
        <v>26627129</v>
      </c>
      <c r="BO777" t="s">
        <v>74</v>
      </c>
      <c r="BP777" t="s">
        <v>74</v>
      </c>
      <c r="BQ777" t="s">
        <v>74</v>
      </c>
      <c r="BR777" t="s">
        <v>106</v>
      </c>
      <c r="BS777" t="s">
        <v>14857</v>
      </c>
      <c r="BT777" t="str">
        <f>HYPERLINK("https%3A%2F%2Fwww.webofscience.com%2Fwos%2Fwoscc%2Ffull-record%2FWOS:000369878600005","View Full Record in Web of Science")</f>
        <v>View Full Record in Web of Science</v>
      </c>
    </row>
    <row r="778" spans="1:72" x14ac:dyDescent="0.15">
      <c r="A778" t="s">
        <v>72</v>
      </c>
      <c r="B778" t="s">
        <v>14858</v>
      </c>
      <c r="C778" t="s">
        <v>74</v>
      </c>
      <c r="D778" t="s">
        <v>74</v>
      </c>
      <c r="E778" t="s">
        <v>74</v>
      </c>
      <c r="F778" t="s">
        <v>14859</v>
      </c>
      <c r="G778" t="s">
        <v>74</v>
      </c>
      <c r="H778" t="s">
        <v>74</v>
      </c>
      <c r="I778" t="s">
        <v>14860</v>
      </c>
      <c r="J778" t="s">
        <v>14861</v>
      </c>
      <c r="K778" t="s">
        <v>74</v>
      </c>
      <c r="L778" t="s">
        <v>74</v>
      </c>
      <c r="M778" t="s">
        <v>78</v>
      </c>
      <c r="N778" t="s">
        <v>79</v>
      </c>
      <c r="O778" t="s">
        <v>74</v>
      </c>
      <c r="P778" t="s">
        <v>74</v>
      </c>
      <c r="Q778" t="s">
        <v>74</v>
      </c>
      <c r="R778" t="s">
        <v>74</v>
      </c>
      <c r="S778" t="s">
        <v>74</v>
      </c>
      <c r="T778" t="s">
        <v>14862</v>
      </c>
      <c r="U778" t="s">
        <v>14863</v>
      </c>
      <c r="V778" t="s">
        <v>14864</v>
      </c>
      <c r="W778" t="s">
        <v>14865</v>
      </c>
      <c r="X778" t="s">
        <v>14866</v>
      </c>
      <c r="Y778" t="s">
        <v>14867</v>
      </c>
      <c r="Z778" t="s">
        <v>14868</v>
      </c>
      <c r="AA778" t="s">
        <v>14869</v>
      </c>
      <c r="AB778" t="s">
        <v>14870</v>
      </c>
      <c r="AC778" t="s">
        <v>14871</v>
      </c>
      <c r="AD778" t="s">
        <v>5874</v>
      </c>
      <c r="AE778" t="s">
        <v>14872</v>
      </c>
      <c r="AF778" t="s">
        <v>74</v>
      </c>
      <c r="AG778">
        <v>13</v>
      </c>
      <c r="AH778">
        <v>6</v>
      </c>
      <c r="AI778">
        <v>6</v>
      </c>
      <c r="AJ778">
        <v>0</v>
      </c>
      <c r="AK778">
        <v>18</v>
      </c>
      <c r="AL778" t="s">
        <v>721</v>
      </c>
      <c r="AM778" t="s">
        <v>125</v>
      </c>
      <c r="AN778" t="s">
        <v>126</v>
      </c>
      <c r="AO778" t="s">
        <v>14873</v>
      </c>
      <c r="AP778" t="s">
        <v>14874</v>
      </c>
      <c r="AQ778" t="s">
        <v>74</v>
      </c>
      <c r="AR778" t="s">
        <v>14875</v>
      </c>
      <c r="AS778" t="s">
        <v>14876</v>
      </c>
      <c r="AT778" t="s">
        <v>14027</v>
      </c>
      <c r="AU778">
        <v>2016</v>
      </c>
      <c r="AV778">
        <v>36</v>
      </c>
      <c r="AW778">
        <v>2</v>
      </c>
      <c r="AX778" t="s">
        <v>74</v>
      </c>
      <c r="AY778" t="s">
        <v>74</v>
      </c>
      <c r="AZ778" t="s">
        <v>74</v>
      </c>
      <c r="BA778" t="s">
        <v>74</v>
      </c>
      <c r="BB778">
        <v>1011</v>
      </c>
      <c r="BC778">
        <v>1018</v>
      </c>
      <c r="BD778" t="s">
        <v>74</v>
      </c>
      <c r="BE778" t="s">
        <v>14877</v>
      </c>
      <c r="BF778" t="str">
        <f>HYPERLINK("http://dx.doi.org/10.1002/joc.4387","http://dx.doi.org/10.1002/joc.4387")</f>
        <v>http://dx.doi.org/10.1002/joc.4387</v>
      </c>
      <c r="BG778" t="s">
        <v>74</v>
      </c>
      <c r="BH778" t="s">
        <v>74</v>
      </c>
      <c r="BI778">
        <v>8</v>
      </c>
      <c r="BJ778" t="s">
        <v>1726</v>
      </c>
      <c r="BK778" t="s">
        <v>102</v>
      </c>
      <c r="BL778" t="s">
        <v>1726</v>
      </c>
      <c r="BM778" t="s">
        <v>14878</v>
      </c>
      <c r="BN778" t="s">
        <v>74</v>
      </c>
      <c r="BO778" t="s">
        <v>74</v>
      </c>
      <c r="BP778" t="s">
        <v>74</v>
      </c>
      <c r="BQ778" t="s">
        <v>74</v>
      </c>
      <c r="BR778" t="s">
        <v>106</v>
      </c>
      <c r="BS778" t="s">
        <v>14879</v>
      </c>
      <c r="BT778" t="str">
        <f>HYPERLINK("https%3A%2F%2Fwww.webofscience.com%2Fwos%2Fwoscc%2Ffull-record%2FWOS:000369991700035","View Full Record in Web of Science")</f>
        <v>View Full Record in Web of Science</v>
      </c>
    </row>
    <row r="779" spans="1:72" x14ac:dyDescent="0.15">
      <c r="A779" t="s">
        <v>72</v>
      </c>
      <c r="B779" t="s">
        <v>14880</v>
      </c>
      <c r="C779" t="s">
        <v>74</v>
      </c>
      <c r="D779" t="s">
        <v>74</v>
      </c>
      <c r="E779" t="s">
        <v>74</v>
      </c>
      <c r="F779" t="s">
        <v>14881</v>
      </c>
      <c r="G779" t="s">
        <v>74</v>
      </c>
      <c r="H779" t="s">
        <v>74</v>
      </c>
      <c r="I779" t="s">
        <v>14882</v>
      </c>
      <c r="J779" t="s">
        <v>14883</v>
      </c>
      <c r="K779" t="s">
        <v>74</v>
      </c>
      <c r="L779" t="s">
        <v>74</v>
      </c>
      <c r="M779" t="s">
        <v>78</v>
      </c>
      <c r="N779" t="s">
        <v>79</v>
      </c>
      <c r="O779" t="s">
        <v>74</v>
      </c>
      <c r="P779" t="s">
        <v>74</v>
      </c>
      <c r="Q779" t="s">
        <v>74</v>
      </c>
      <c r="R779" t="s">
        <v>74</v>
      </c>
      <c r="S779" t="s">
        <v>74</v>
      </c>
      <c r="T779" t="s">
        <v>14884</v>
      </c>
      <c r="U779" t="s">
        <v>14885</v>
      </c>
      <c r="V779" t="s">
        <v>14886</v>
      </c>
      <c r="W779" t="s">
        <v>14887</v>
      </c>
      <c r="X779" t="s">
        <v>14888</v>
      </c>
      <c r="Y779" t="s">
        <v>3170</v>
      </c>
      <c r="Z779" t="s">
        <v>3171</v>
      </c>
      <c r="AA779" t="s">
        <v>14889</v>
      </c>
      <c r="AB779" t="s">
        <v>3173</v>
      </c>
      <c r="AC779" t="s">
        <v>14890</v>
      </c>
      <c r="AD779" t="s">
        <v>14891</v>
      </c>
      <c r="AE779" t="s">
        <v>14892</v>
      </c>
      <c r="AF779" t="s">
        <v>74</v>
      </c>
      <c r="AG779">
        <v>62</v>
      </c>
      <c r="AH779">
        <v>15</v>
      </c>
      <c r="AI779">
        <v>17</v>
      </c>
      <c r="AJ779">
        <v>2</v>
      </c>
      <c r="AK779">
        <v>58</v>
      </c>
      <c r="AL779" t="s">
        <v>1829</v>
      </c>
      <c r="AM779" t="s">
        <v>679</v>
      </c>
      <c r="AN779" t="s">
        <v>1830</v>
      </c>
      <c r="AO779" t="s">
        <v>14893</v>
      </c>
      <c r="AP779" t="s">
        <v>14894</v>
      </c>
      <c r="AQ779" t="s">
        <v>74</v>
      </c>
      <c r="AR779" t="s">
        <v>14895</v>
      </c>
      <c r="AS779" t="s">
        <v>14896</v>
      </c>
      <c r="AT779" t="s">
        <v>14027</v>
      </c>
      <c r="AU779">
        <v>2016</v>
      </c>
      <c r="AV779">
        <v>85</v>
      </c>
      <c r="AW779" t="s">
        <v>74</v>
      </c>
      <c r="AX779" t="s">
        <v>74</v>
      </c>
      <c r="AY779" t="s">
        <v>74</v>
      </c>
      <c r="AZ779" t="s">
        <v>74</v>
      </c>
      <c r="BA779" t="s">
        <v>74</v>
      </c>
      <c r="BB779">
        <v>10</v>
      </c>
      <c r="BC779">
        <v>16</v>
      </c>
      <c r="BD779" t="s">
        <v>74</v>
      </c>
      <c r="BE779" t="s">
        <v>14897</v>
      </c>
      <c r="BF779" t="str">
        <f>HYPERLINK("http://dx.doi.org/10.1016/j.jinsphys.2015.11.010","http://dx.doi.org/10.1016/j.jinsphys.2015.11.010")</f>
        <v>http://dx.doi.org/10.1016/j.jinsphys.2015.11.010</v>
      </c>
      <c r="BG779" t="s">
        <v>74</v>
      </c>
      <c r="BH779" t="s">
        <v>74</v>
      </c>
      <c r="BI779">
        <v>7</v>
      </c>
      <c r="BJ779" t="s">
        <v>14898</v>
      </c>
      <c r="BK779" t="s">
        <v>102</v>
      </c>
      <c r="BL779" t="s">
        <v>14898</v>
      </c>
      <c r="BM779" t="s">
        <v>14899</v>
      </c>
      <c r="BN779">
        <v>26592773</v>
      </c>
      <c r="BO779" t="s">
        <v>1412</v>
      </c>
      <c r="BP779" t="s">
        <v>74</v>
      </c>
      <c r="BQ779" t="s">
        <v>74</v>
      </c>
      <c r="BR779" t="s">
        <v>106</v>
      </c>
      <c r="BS779" t="s">
        <v>14900</v>
      </c>
      <c r="BT779" t="str">
        <f>HYPERLINK("https%3A%2F%2Fwww.webofscience.com%2Fwos%2Fwoscc%2Ffull-record%2FWOS:000370109300002","View Full Record in Web of Science")</f>
        <v>View Full Record in Web of Science</v>
      </c>
    </row>
    <row r="780" spans="1:72" x14ac:dyDescent="0.15">
      <c r="A780" t="s">
        <v>72</v>
      </c>
      <c r="B780" t="s">
        <v>14901</v>
      </c>
      <c r="C780" t="s">
        <v>74</v>
      </c>
      <c r="D780" t="s">
        <v>74</v>
      </c>
      <c r="E780" t="s">
        <v>74</v>
      </c>
      <c r="F780" t="s">
        <v>14902</v>
      </c>
      <c r="G780" t="s">
        <v>74</v>
      </c>
      <c r="H780" t="s">
        <v>74</v>
      </c>
      <c r="I780" t="s">
        <v>14903</v>
      </c>
      <c r="J780" t="s">
        <v>547</v>
      </c>
      <c r="K780" t="s">
        <v>74</v>
      </c>
      <c r="L780" t="s">
        <v>74</v>
      </c>
      <c r="M780" t="s">
        <v>78</v>
      </c>
      <c r="N780" t="s">
        <v>79</v>
      </c>
      <c r="O780" t="s">
        <v>74</v>
      </c>
      <c r="P780" t="s">
        <v>74</v>
      </c>
      <c r="Q780" t="s">
        <v>74</v>
      </c>
      <c r="R780" t="s">
        <v>74</v>
      </c>
      <c r="S780" t="s">
        <v>74</v>
      </c>
      <c r="T780" t="s">
        <v>74</v>
      </c>
      <c r="U780" t="s">
        <v>14904</v>
      </c>
      <c r="V780" t="s">
        <v>14905</v>
      </c>
      <c r="W780" t="s">
        <v>14906</v>
      </c>
      <c r="X780" t="s">
        <v>14907</v>
      </c>
      <c r="Y780" t="s">
        <v>14908</v>
      </c>
      <c r="Z780" t="s">
        <v>14909</v>
      </c>
      <c r="AA780" t="s">
        <v>14910</v>
      </c>
      <c r="AB780" t="s">
        <v>14911</v>
      </c>
      <c r="AC780" t="s">
        <v>14912</v>
      </c>
      <c r="AD780" t="s">
        <v>14913</v>
      </c>
      <c r="AE780" t="s">
        <v>14914</v>
      </c>
      <c r="AF780" t="s">
        <v>74</v>
      </c>
      <c r="AG780">
        <v>84</v>
      </c>
      <c r="AH780">
        <v>26</v>
      </c>
      <c r="AI780">
        <v>26</v>
      </c>
      <c r="AJ780">
        <v>1</v>
      </c>
      <c r="AK780">
        <v>40</v>
      </c>
      <c r="AL780" t="s">
        <v>559</v>
      </c>
      <c r="AM780" t="s">
        <v>560</v>
      </c>
      <c r="AN780" t="s">
        <v>561</v>
      </c>
      <c r="AO780" t="s">
        <v>562</v>
      </c>
      <c r="AP780" t="s">
        <v>563</v>
      </c>
      <c r="AQ780" t="s">
        <v>74</v>
      </c>
      <c r="AR780" t="s">
        <v>564</v>
      </c>
      <c r="AS780" t="s">
        <v>565</v>
      </c>
      <c r="AT780" t="s">
        <v>14027</v>
      </c>
      <c r="AU780">
        <v>2016</v>
      </c>
      <c r="AV780">
        <v>163</v>
      </c>
      <c r="AW780">
        <v>2</v>
      </c>
      <c r="AX780" t="s">
        <v>74</v>
      </c>
      <c r="AY780" t="s">
        <v>74</v>
      </c>
      <c r="AZ780" t="s">
        <v>74</v>
      </c>
      <c r="BA780" t="s">
        <v>74</v>
      </c>
      <c r="BB780" t="s">
        <v>74</v>
      </c>
      <c r="BC780" t="s">
        <v>74</v>
      </c>
      <c r="BD780">
        <v>39</v>
      </c>
      <c r="BE780" t="s">
        <v>14915</v>
      </c>
      <c r="BF780" t="str">
        <f>HYPERLINK("http://dx.doi.org/10.1007/s00227-016-2816-z","http://dx.doi.org/10.1007/s00227-016-2816-z")</f>
        <v>http://dx.doi.org/10.1007/s00227-016-2816-z</v>
      </c>
      <c r="BG780" t="s">
        <v>74</v>
      </c>
      <c r="BH780" t="s">
        <v>74</v>
      </c>
      <c r="BI780">
        <v>15</v>
      </c>
      <c r="BJ780" t="s">
        <v>201</v>
      </c>
      <c r="BK780" t="s">
        <v>102</v>
      </c>
      <c r="BL780" t="s">
        <v>201</v>
      </c>
      <c r="BM780" t="s">
        <v>14916</v>
      </c>
      <c r="BN780" t="s">
        <v>74</v>
      </c>
      <c r="BO780" t="s">
        <v>74</v>
      </c>
      <c r="BP780" t="s">
        <v>74</v>
      </c>
      <c r="BQ780" t="s">
        <v>74</v>
      </c>
      <c r="BR780" t="s">
        <v>106</v>
      </c>
      <c r="BS780" t="s">
        <v>14917</v>
      </c>
      <c r="BT780" t="str">
        <f>HYPERLINK("https%3A%2F%2Fwww.webofscience.com%2Fwos%2Fwoscc%2Ffull-record%2FWOS:000370052700018","View Full Record in Web of Science")</f>
        <v>View Full Record in Web of Science</v>
      </c>
    </row>
    <row r="781" spans="1:72" x14ac:dyDescent="0.15">
      <c r="A781" t="s">
        <v>72</v>
      </c>
      <c r="B781" t="s">
        <v>1865</v>
      </c>
      <c r="C781" t="s">
        <v>74</v>
      </c>
      <c r="D781" t="s">
        <v>74</v>
      </c>
      <c r="E781" t="s">
        <v>74</v>
      </c>
      <c r="F781" t="s">
        <v>1866</v>
      </c>
      <c r="G781" t="s">
        <v>74</v>
      </c>
      <c r="H781" t="s">
        <v>74</v>
      </c>
      <c r="I781" t="s">
        <v>14918</v>
      </c>
      <c r="J781" t="s">
        <v>1868</v>
      </c>
      <c r="K781" t="s">
        <v>74</v>
      </c>
      <c r="L781" t="s">
        <v>74</v>
      </c>
      <c r="M781" t="s">
        <v>78</v>
      </c>
      <c r="N781" t="s">
        <v>79</v>
      </c>
      <c r="O781" t="s">
        <v>74</v>
      </c>
      <c r="P781" t="s">
        <v>74</v>
      </c>
      <c r="Q781" t="s">
        <v>74</v>
      </c>
      <c r="R781" t="s">
        <v>74</v>
      </c>
      <c r="S781" t="s">
        <v>74</v>
      </c>
      <c r="T781" t="s">
        <v>14919</v>
      </c>
      <c r="U781" t="s">
        <v>14920</v>
      </c>
      <c r="V781" t="s">
        <v>14921</v>
      </c>
      <c r="W781" t="s">
        <v>14922</v>
      </c>
      <c r="X781" t="s">
        <v>1871</v>
      </c>
      <c r="Y781" t="s">
        <v>14923</v>
      </c>
      <c r="Z781" t="s">
        <v>14924</v>
      </c>
      <c r="AA781" t="s">
        <v>1874</v>
      </c>
      <c r="AB781" t="s">
        <v>1875</v>
      </c>
      <c r="AC781" t="s">
        <v>14925</v>
      </c>
      <c r="AD781" t="s">
        <v>14926</v>
      </c>
      <c r="AE781" t="s">
        <v>14927</v>
      </c>
      <c r="AF781" t="s">
        <v>74</v>
      </c>
      <c r="AG781">
        <v>64</v>
      </c>
      <c r="AH781">
        <v>16</v>
      </c>
      <c r="AI781">
        <v>18</v>
      </c>
      <c r="AJ781">
        <v>0</v>
      </c>
      <c r="AK781">
        <v>18</v>
      </c>
      <c r="AL781" t="s">
        <v>582</v>
      </c>
      <c r="AM781" t="s">
        <v>583</v>
      </c>
      <c r="AN781" t="s">
        <v>584</v>
      </c>
      <c r="AO781" t="s">
        <v>1876</v>
      </c>
      <c r="AP781" t="s">
        <v>1877</v>
      </c>
      <c r="AQ781" t="s">
        <v>74</v>
      </c>
      <c r="AR781" t="s">
        <v>1878</v>
      </c>
      <c r="AS781" t="s">
        <v>1879</v>
      </c>
      <c r="AT781" t="s">
        <v>14499</v>
      </c>
      <c r="AU781">
        <v>2016</v>
      </c>
      <c r="AV781">
        <v>443</v>
      </c>
      <c r="AW781" t="s">
        <v>74</v>
      </c>
      <c r="AX781" t="s">
        <v>74</v>
      </c>
      <c r="AY781" t="s">
        <v>74</v>
      </c>
      <c r="AZ781" t="s">
        <v>74</v>
      </c>
      <c r="BA781" t="s">
        <v>74</v>
      </c>
      <c r="BB781">
        <v>183</v>
      </c>
      <c r="BC781">
        <v>202</v>
      </c>
      <c r="BD781" t="s">
        <v>74</v>
      </c>
      <c r="BE781" t="s">
        <v>14928</v>
      </c>
      <c r="BF781" t="str">
        <f>HYPERLINK("http://dx.doi.org/10.1016/j.palaeo.2015.11.017","http://dx.doi.org/10.1016/j.palaeo.2015.11.017")</f>
        <v>http://dx.doi.org/10.1016/j.palaeo.2015.11.017</v>
      </c>
      <c r="BG781" t="s">
        <v>74</v>
      </c>
      <c r="BH781" t="s">
        <v>74</v>
      </c>
      <c r="BI781">
        <v>20</v>
      </c>
      <c r="BJ781" t="s">
        <v>1881</v>
      </c>
      <c r="BK781" t="s">
        <v>102</v>
      </c>
      <c r="BL781" t="s">
        <v>1882</v>
      </c>
      <c r="BM781" t="s">
        <v>14929</v>
      </c>
      <c r="BN781" t="s">
        <v>74</v>
      </c>
      <c r="BO781" t="s">
        <v>3908</v>
      </c>
      <c r="BP781" t="s">
        <v>74</v>
      </c>
      <c r="BQ781" t="s">
        <v>74</v>
      </c>
      <c r="BR781" t="s">
        <v>106</v>
      </c>
      <c r="BS781" t="s">
        <v>14930</v>
      </c>
      <c r="BT781" t="str">
        <f>HYPERLINK("https%3A%2F%2Fwww.webofscience.com%2Fwos%2Fwoscc%2Ffull-record%2FWOS:000370090200016","View Full Record in Web of Science")</f>
        <v>View Full Record in Web of Science</v>
      </c>
    </row>
    <row r="782" spans="1:72" x14ac:dyDescent="0.15">
      <c r="A782" t="s">
        <v>72</v>
      </c>
      <c r="B782" t="s">
        <v>14931</v>
      </c>
      <c r="C782" t="s">
        <v>74</v>
      </c>
      <c r="D782" t="s">
        <v>74</v>
      </c>
      <c r="E782" t="s">
        <v>74</v>
      </c>
      <c r="F782" t="s">
        <v>14932</v>
      </c>
      <c r="G782" t="s">
        <v>74</v>
      </c>
      <c r="H782" t="s">
        <v>74</v>
      </c>
      <c r="I782" t="s">
        <v>14933</v>
      </c>
      <c r="J782" t="s">
        <v>9427</v>
      </c>
      <c r="K782" t="s">
        <v>74</v>
      </c>
      <c r="L782" t="s">
        <v>74</v>
      </c>
      <c r="M782" t="s">
        <v>78</v>
      </c>
      <c r="N782" t="s">
        <v>79</v>
      </c>
      <c r="O782" t="s">
        <v>74</v>
      </c>
      <c r="P782" t="s">
        <v>74</v>
      </c>
      <c r="Q782" t="s">
        <v>74</v>
      </c>
      <c r="R782" t="s">
        <v>74</v>
      </c>
      <c r="S782" t="s">
        <v>74</v>
      </c>
      <c r="T782" t="s">
        <v>14934</v>
      </c>
      <c r="U782" t="s">
        <v>14935</v>
      </c>
      <c r="V782" t="s">
        <v>14936</v>
      </c>
      <c r="W782" t="s">
        <v>14937</v>
      </c>
      <c r="X782" t="s">
        <v>14938</v>
      </c>
      <c r="Y782" t="s">
        <v>14939</v>
      </c>
      <c r="Z782" t="s">
        <v>14940</v>
      </c>
      <c r="AA782" t="s">
        <v>14941</v>
      </c>
      <c r="AB782" t="s">
        <v>74</v>
      </c>
      <c r="AC782" t="s">
        <v>14942</v>
      </c>
      <c r="AD782" t="s">
        <v>14943</v>
      </c>
      <c r="AE782" t="s">
        <v>14944</v>
      </c>
      <c r="AF782" t="s">
        <v>74</v>
      </c>
      <c r="AG782">
        <v>27</v>
      </c>
      <c r="AH782">
        <v>13</v>
      </c>
      <c r="AI782">
        <v>15</v>
      </c>
      <c r="AJ782">
        <v>0</v>
      </c>
      <c r="AK782">
        <v>11</v>
      </c>
      <c r="AL782" t="s">
        <v>678</v>
      </c>
      <c r="AM782" t="s">
        <v>679</v>
      </c>
      <c r="AN782" t="s">
        <v>680</v>
      </c>
      <c r="AO782" t="s">
        <v>9435</v>
      </c>
      <c r="AP782" t="s">
        <v>9436</v>
      </c>
      <c r="AQ782" t="s">
        <v>74</v>
      </c>
      <c r="AR782" t="s">
        <v>9437</v>
      </c>
      <c r="AS782" t="s">
        <v>9438</v>
      </c>
      <c r="AT782" t="s">
        <v>14499</v>
      </c>
      <c r="AU782">
        <v>2016</v>
      </c>
      <c r="AV782">
        <v>57</v>
      </c>
      <c r="AW782">
        <v>3</v>
      </c>
      <c r="AX782" t="s">
        <v>74</v>
      </c>
      <c r="AY782" t="s">
        <v>74</v>
      </c>
      <c r="AZ782" t="s">
        <v>74</v>
      </c>
      <c r="BA782" t="s">
        <v>74</v>
      </c>
      <c r="BB782">
        <v>821</v>
      </c>
      <c r="BC782">
        <v>834</v>
      </c>
      <c r="BD782" t="s">
        <v>74</v>
      </c>
      <c r="BE782" t="s">
        <v>14945</v>
      </c>
      <c r="BF782" t="str">
        <f>HYPERLINK("http://dx.doi.org/10.1016/j.asr.2015.11.029","http://dx.doi.org/10.1016/j.asr.2015.11.029")</f>
        <v>http://dx.doi.org/10.1016/j.asr.2015.11.029</v>
      </c>
      <c r="BG782" t="s">
        <v>74</v>
      </c>
      <c r="BH782" t="s">
        <v>74</v>
      </c>
      <c r="BI782">
        <v>14</v>
      </c>
      <c r="BJ782" t="s">
        <v>9440</v>
      </c>
      <c r="BK782" t="s">
        <v>102</v>
      </c>
      <c r="BL782" t="s">
        <v>9441</v>
      </c>
      <c r="BM782" t="s">
        <v>14946</v>
      </c>
      <c r="BN782" t="s">
        <v>74</v>
      </c>
      <c r="BO782" t="s">
        <v>74</v>
      </c>
      <c r="BP782" t="s">
        <v>74</v>
      </c>
      <c r="BQ782" t="s">
        <v>74</v>
      </c>
      <c r="BR782" t="s">
        <v>106</v>
      </c>
      <c r="BS782" t="s">
        <v>14947</v>
      </c>
      <c r="BT782" t="str">
        <f>HYPERLINK("https%3A%2F%2Fwww.webofscience.com%2Fwos%2Fwoscc%2Ffull-record%2FWOS:000369456400010","View Full Record in Web of Science")</f>
        <v>View Full Record in Web of Science</v>
      </c>
    </row>
    <row r="783" spans="1:72" x14ac:dyDescent="0.15">
      <c r="A783" t="s">
        <v>72</v>
      </c>
      <c r="B783" t="s">
        <v>14948</v>
      </c>
      <c r="C783" t="s">
        <v>74</v>
      </c>
      <c r="D783" t="s">
        <v>74</v>
      </c>
      <c r="E783" t="s">
        <v>74</v>
      </c>
      <c r="F783" t="s">
        <v>14949</v>
      </c>
      <c r="G783" t="s">
        <v>74</v>
      </c>
      <c r="H783" t="s">
        <v>74</v>
      </c>
      <c r="I783" t="s">
        <v>14950</v>
      </c>
      <c r="J783" t="s">
        <v>14951</v>
      </c>
      <c r="K783" t="s">
        <v>74</v>
      </c>
      <c r="L783" t="s">
        <v>74</v>
      </c>
      <c r="M783" t="s">
        <v>78</v>
      </c>
      <c r="N783" t="s">
        <v>79</v>
      </c>
      <c r="O783" t="s">
        <v>74</v>
      </c>
      <c r="P783" t="s">
        <v>74</v>
      </c>
      <c r="Q783" t="s">
        <v>74</v>
      </c>
      <c r="R783" t="s">
        <v>74</v>
      </c>
      <c r="S783" t="s">
        <v>74</v>
      </c>
      <c r="T783" t="s">
        <v>14952</v>
      </c>
      <c r="U783" t="s">
        <v>14953</v>
      </c>
      <c r="V783" t="s">
        <v>14954</v>
      </c>
      <c r="W783" t="s">
        <v>14955</v>
      </c>
      <c r="X783" t="s">
        <v>14956</v>
      </c>
      <c r="Y783" t="s">
        <v>14957</v>
      </c>
      <c r="Z783" t="s">
        <v>14958</v>
      </c>
      <c r="AA783" t="s">
        <v>14959</v>
      </c>
      <c r="AB783" t="s">
        <v>14960</v>
      </c>
      <c r="AC783" t="s">
        <v>14961</v>
      </c>
      <c r="AD783" t="s">
        <v>14962</v>
      </c>
      <c r="AE783" t="s">
        <v>14963</v>
      </c>
      <c r="AF783" t="s">
        <v>74</v>
      </c>
      <c r="AG783">
        <v>66</v>
      </c>
      <c r="AH783">
        <v>16</v>
      </c>
      <c r="AI783">
        <v>18</v>
      </c>
      <c r="AJ783">
        <v>2</v>
      </c>
      <c r="AK783">
        <v>18</v>
      </c>
      <c r="AL783" t="s">
        <v>582</v>
      </c>
      <c r="AM783" t="s">
        <v>583</v>
      </c>
      <c r="AN783" t="s">
        <v>584</v>
      </c>
      <c r="AO783" t="s">
        <v>14964</v>
      </c>
      <c r="AP783" t="s">
        <v>14965</v>
      </c>
      <c r="AQ783" t="s">
        <v>74</v>
      </c>
      <c r="AR783" t="s">
        <v>14966</v>
      </c>
      <c r="AS783" t="s">
        <v>14967</v>
      </c>
      <c r="AT783" t="s">
        <v>14499</v>
      </c>
      <c r="AU783">
        <v>2016</v>
      </c>
      <c r="AV783">
        <v>372</v>
      </c>
      <c r="AW783" t="s">
        <v>74</v>
      </c>
      <c r="AX783" t="s">
        <v>74</v>
      </c>
      <c r="AY783" t="s">
        <v>74</v>
      </c>
      <c r="AZ783" t="s">
        <v>74</v>
      </c>
      <c r="BA783" t="s">
        <v>74</v>
      </c>
      <c r="BB783">
        <v>17</v>
      </c>
      <c r="BC783">
        <v>30</v>
      </c>
      <c r="BD783" t="s">
        <v>74</v>
      </c>
      <c r="BE783" t="s">
        <v>14968</v>
      </c>
      <c r="BF783" t="str">
        <f>HYPERLINK("http://dx.doi.org/10.1016/j.margeo.2015.12.002","http://dx.doi.org/10.1016/j.margeo.2015.12.002")</f>
        <v>http://dx.doi.org/10.1016/j.margeo.2015.12.002</v>
      </c>
      <c r="BG783" t="s">
        <v>74</v>
      </c>
      <c r="BH783" t="s">
        <v>74</v>
      </c>
      <c r="BI783">
        <v>14</v>
      </c>
      <c r="BJ783" t="s">
        <v>14969</v>
      </c>
      <c r="BK783" t="s">
        <v>102</v>
      </c>
      <c r="BL783" t="s">
        <v>14970</v>
      </c>
      <c r="BM783" t="s">
        <v>14971</v>
      </c>
      <c r="BN783" t="s">
        <v>74</v>
      </c>
      <c r="BO783" t="s">
        <v>74</v>
      </c>
      <c r="BP783" t="s">
        <v>74</v>
      </c>
      <c r="BQ783" t="s">
        <v>74</v>
      </c>
      <c r="BR783" t="s">
        <v>106</v>
      </c>
      <c r="BS783" t="s">
        <v>14972</v>
      </c>
      <c r="BT783" t="str">
        <f>HYPERLINK("https%3A%2F%2Fwww.webofscience.com%2Fwos%2Fwoscc%2Ffull-record%2FWOS:000369459300002","View Full Record in Web of Science")</f>
        <v>View Full Record in Web of Science</v>
      </c>
    </row>
    <row r="784" spans="1:72" x14ac:dyDescent="0.15">
      <c r="A784" t="s">
        <v>72</v>
      </c>
      <c r="B784" t="s">
        <v>14973</v>
      </c>
      <c r="C784" t="s">
        <v>74</v>
      </c>
      <c r="D784" t="s">
        <v>74</v>
      </c>
      <c r="E784" t="s">
        <v>74</v>
      </c>
      <c r="F784" t="s">
        <v>14974</v>
      </c>
      <c r="G784" t="s">
        <v>74</v>
      </c>
      <c r="H784" t="s">
        <v>74</v>
      </c>
      <c r="I784" t="s">
        <v>14975</v>
      </c>
      <c r="J784" t="s">
        <v>1845</v>
      </c>
      <c r="K784" t="s">
        <v>74</v>
      </c>
      <c r="L784" t="s">
        <v>74</v>
      </c>
      <c r="M784" t="s">
        <v>78</v>
      </c>
      <c r="N784" t="s">
        <v>79</v>
      </c>
      <c r="O784" t="s">
        <v>74</v>
      </c>
      <c r="P784" t="s">
        <v>74</v>
      </c>
      <c r="Q784" t="s">
        <v>74</v>
      </c>
      <c r="R784" t="s">
        <v>74</v>
      </c>
      <c r="S784" t="s">
        <v>74</v>
      </c>
      <c r="T784" t="s">
        <v>14976</v>
      </c>
      <c r="U784" t="s">
        <v>14977</v>
      </c>
      <c r="V784" t="s">
        <v>14978</v>
      </c>
      <c r="W784" t="s">
        <v>14979</v>
      </c>
      <c r="X784" t="s">
        <v>14980</v>
      </c>
      <c r="Y784" t="s">
        <v>14981</v>
      </c>
      <c r="Z784" t="s">
        <v>14982</v>
      </c>
      <c r="AA784" t="s">
        <v>14983</v>
      </c>
      <c r="AB784" t="s">
        <v>14984</v>
      </c>
      <c r="AC784" t="s">
        <v>14985</v>
      </c>
      <c r="AD784" t="s">
        <v>14986</v>
      </c>
      <c r="AE784" t="s">
        <v>14987</v>
      </c>
      <c r="AF784" t="s">
        <v>74</v>
      </c>
      <c r="AG784">
        <v>41</v>
      </c>
      <c r="AH784">
        <v>9</v>
      </c>
      <c r="AI784">
        <v>12</v>
      </c>
      <c r="AJ784">
        <v>1</v>
      </c>
      <c r="AK784">
        <v>22</v>
      </c>
      <c r="AL784" t="s">
        <v>1829</v>
      </c>
      <c r="AM784" t="s">
        <v>679</v>
      </c>
      <c r="AN784" t="s">
        <v>1830</v>
      </c>
      <c r="AO784" t="s">
        <v>1858</v>
      </c>
      <c r="AP784" t="s">
        <v>1859</v>
      </c>
      <c r="AQ784" t="s">
        <v>74</v>
      </c>
      <c r="AR784" t="s">
        <v>1860</v>
      </c>
      <c r="AS784" t="s">
        <v>1861</v>
      </c>
      <c r="AT784" t="s">
        <v>14499</v>
      </c>
      <c r="AU784">
        <v>2016</v>
      </c>
      <c r="AV784">
        <v>113</v>
      </c>
      <c r="AW784" t="s">
        <v>74</v>
      </c>
      <c r="AX784" t="s">
        <v>74</v>
      </c>
      <c r="AY784" t="s">
        <v>74</v>
      </c>
      <c r="AZ784" t="s">
        <v>74</v>
      </c>
      <c r="BA784" t="s">
        <v>74</v>
      </c>
      <c r="BB784">
        <v>30</v>
      </c>
      <c r="BC784">
        <v>37</v>
      </c>
      <c r="BD784" t="s">
        <v>74</v>
      </c>
      <c r="BE784" t="s">
        <v>14988</v>
      </c>
      <c r="BF784" t="str">
        <f>HYPERLINK("http://dx.doi.org/10.1016/j.csr.2015.12.001","http://dx.doi.org/10.1016/j.csr.2015.12.001")</f>
        <v>http://dx.doi.org/10.1016/j.csr.2015.12.001</v>
      </c>
      <c r="BG784" t="s">
        <v>74</v>
      </c>
      <c r="BH784" t="s">
        <v>74</v>
      </c>
      <c r="BI784">
        <v>8</v>
      </c>
      <c r="BJ784" t="s">
        <v>361</v>
      </c>
      <c r="BK784" t="s">
        <v>102</v>
      </c>
      <c r="BL784" t="s">
        <v>361</v>
      </c>
      <c r="BM784" t="s">
        <v>14989</v>
      </c>
      <c r="BN784" t="s">
        <v>74</v>
      </c>
      <c r="BO784" t="s">
        <v>74</v>
      </c>
      <c r="BP784" t="s">
        <v>74</v>
      </c>
      <c r="BQ784" t="s">
        <v>74</v>
      </c>
      <c r="BR784" t="s">
        <v>106</v>
      </c>
      <c r="BS784" t="s">
        <v>14990</v>
      </c>
      <c r="BT784" t="str">
        <f>HYPERLINK("https%3A%2F%2Fwww.webofscience.com%2Fwos%2Fwoscc%2Ffull-record%2FWOS:000368956700004","View Full Record in Web of Science")</f>
        <v>View Full Record in Web of Science</v>
      </c>
    </row>
    <row r="785" spans="1:72" x14ac:dyDescent="0.15">
      <c r="A785" t="s">
        <v>72</v>
      </c>
      <c r="B785" t="s">
        <v>14991</v>
      </c>
      <c r="C785" t="s">
        <v>74</v>
      </c>
      <c r="D785" t="s">
        <v>74</v>
      </c>
      <c r="E785" t="s">
        <v>74</v>
      </c>
      <c r="F785" t="s">
        <v>14992</v>
      </c>
      <c r="G785" t="s">
        <v>74</v>
      </c>
      <c r="H785" t="s">
        <v>74</v>
      </c>
      <c r="I785" t="s">
        <v>14993</v>
      </c>
      <c r="J785" t="s">
        <v>14994</v>
      </c>
      <c r="K785" t="s">
        <v>74</v>
      </c>
      <c r="L785" t="s">
        <v>74</v>
      </c>
      <c r="M785" t="s">
        <v>78</v>
      </c>
      <c r="N785" t="s">
        <v>79</v>
      </c>
      <c r="O785" t="s">
        <v>74</v>
      </c>
      <c r="P785" t="s">
        <v>74</v>
      </c>
      <c r="Q785" t="s">
        <v>74</v>
      </c>
      <c r="R785" t="s">
        <v>74</v>
      </c>
      <c r="S785" t="s">
        <v>74</v>
      </c>
      <c r="T785" t="s">
        <v>14995</v>
      </c>
      <c r="U785" t="s">
        <v>14996</v>
      </c>
      <c r="V785" t="s">
        <v>14997</v>
      </c>
      <c r="W785" t="s">
        <v>14998</v>
      </c>
      <c r="X785" t="s">
        <v>14999</v>
      </c>
      <c r="Y785" t="s">
        <v>15000</v>
      </c>
      <c r="Z785" t="s">
        <v>15001</v>
      </c>
      <c r="AA785" t="s">
        <v>15002</v>
      </c>
      <c r="AB785" t="s">
        <v>15003</v>
      </c>
      <c r="AC785" t="s">
        <v>15004</v>
      </c>
      <c r="AD785" t="s">
        <v>15005</v>
      </c>
      <c r="AE785" t="s">
        <v>15006</v>
      </c>
      <c r="AF785" t="s">
        <v>74</v>
      </c>
      <c r="AG785">
        <v>30</v>
      </c>
      <c r="AH785">
        <v>6</v>
      </c>
      <c r="AI785">
        <v>6</v>
      </c>
      <c r="AJ785">
        <v>4</v>
      </c>
      <c r="AK785">
        <v>14</v>
      </c>
      <c r="AL785" t="s">
        <v>15007</v>
      </c>
      <c r="AM785" t="s">
        <v>10080</v>
      </c>
      <c r="AN785" t="s">
        <v>15008</v>
      </c>
      <c r="AO785" t="s">
        <v>15009</v>
      </c>
      <c r="AP785" t="s">
        <v>15010</v>
      </c>
      <c r="AQ785" t="s">
        <v>74</v>
      </c>
      <c r="AR785" t="s">
        <v>15011</v>
      </c>
      <c r="AS785" t="s">
        <v>15012</v>
      </c>
      <c r="AT785" t="s">
        <v>14027</v>
      </c>
      <c r="AU785">
        <v>2016</v>
      </c>
      <c r="AV785">
        <v>54</v>
      </c>
      <c r="AW785">
        <v>2</v>
      </c>
      <c r="AX785" t="s">
        <v>74</v>
      </c>
      <c r="AY785" t="s">
        <v>74</v>
      </c>
      <c r="AZ785" t="s">
        <v>74</v>
      </c>
      <c r="BA785" t="s">
        <v>74</v>
      </c>
      <c r="BB785">
        <v>114</v>
      </c>
      <c r="BC785">
        <v>121</v>
      </c>
      <c r="BD785" t="s">
        <v>74</v>
      </c>
      <c r="BE785" t="s">
        <v>15013</v>
      </c>
      <c r="BF785" t="str">
        <f>HYPERLINK("http://dx.doi.org/10.1007/s12275-016-5549-2","http://dx.doi.org/10.1007/s12275-016-5549-2")</f>
        <v>http://dx.doi.org/10.1007/s12275-016-5549-2</v>
      </c>
      <c r="BG785" t="s">
        <v>74</v>
      </c>
      <c r="BH785" t="s">
        <v>74</v>
      </c>
      <c r="BI785">
        <v>8</v>
      </c>
      <c r="BJ785" t="s">
        <v>2538</v>
      </c>
      <c r="BK785" t="s">
        <v>102</v>
      </c>
      <c r="BL785" t="s">
        <v>2538</v>
      </c>
      <c r="BM785" t="s">
        <v>15014</v>
      </c>
      <c r="BN785">
        <v>26832667</v>
      </c>
      <c r="BO785" t="s">
        <v>74</v>
      </c>
      <c r="BP785" t="s">
        <v>74</v>
      </c>
      <c r="BQ785" t="s">
        <v>74</v>
      </c>
      <c r="BR785" t="s">
        <v>106</v>
      </c>
      <c r="BS785" t="s">
        <v>15015</v>
      </c>
      <c r="BT785" t="str">
        <f>HYPERLINK("https%3A%2F%2Fwww.webofscience.com%2Fwos%2Fwoscc%2Ffull-record%2FWOS:000369046300005","View Full Record in Web of Science")</f>
        <v>View Full Record in Web of Science</v>
      </c>
    </row>
    <row r="786" spans="1:72" x14ac:dyDescent="0.15">
      <c r="A786" t="s">
        <v>72</v>
      </c>
      <c r="B786" t="s">
        <v>15016</v>
      </c>
      <c r="C786" t="s">
        <v>74</v>
      </c>
      <c r="D786" t="s">
        <v>74</v>
      </c>
      <c r="E786" t="s">
        <v>74</v>
      </c>
      <c r="F786" t="s">
        <v>15017</v>
      </c>
      <c r="G786" t="s">
        <v>74</v>
      </c>
      <c r="H786" t="s">
        <v>74</v>
      </c>
      <c r="I786" t="s">
        <v>15018</v>
      </c>
      <c r="J786" t="s">
        <v>15019</v>
      </c>
      <c r="K786" t="s">
        <v>74</v>
      </c>
      <c r="L786" t="s">
        <v>74</v>
      </c>
      <c r="M786" t="s">
        <v>78</v>
      </c>
      <c r="N786" t="s">
        <v>79</v>
      </c>
      <c r="O786" t="s">
        <v>74</v>
      </c>
      <c r="P786" t="s">
        <v>74</v>
      </c>
      <c r="Q786" t="s">
        <v>74</v>
      </c>
      <c r="R786" t="s">
        <v>74</v>
      </c>
      <c r="S786" t="s">
        <v>74</v>
      </c>
      <c r="T786" t="s">
        <v>15020</v>
      </c>
      <c r="U786" t="s">
        <v>15021</v>
      </c>
      <c r="V786" t="s">
        <v>15022</v>
      </c>
      <c r="W786" t="s">
        <v>15023</v>
      </c>
      <c r="X786" t="s">
        <v>15024</v>
      </c>
      <c r="Y786" t="s">
        <v>15025</v>
      </c>
      <c r="Z786" t="s">
        <v>15026</v>
      </c>
      <c r="AA786" t="s">
        <v>15027</v>
      </c>
      <c r="AB786" t="s">
        <v>15028</v>
      </c>
      <c r="AC786" t="s">
        <v>15029</v>
      </c>
      <c r="AD786" t="s">
        <v>15029</v>
      </c>
      <c r="AE786" t="s">
        <v>15030</v>
      </c>
      <c r="AF786" t="s">
        <v>74</v>
      </c>
      <c r="AG786">
        <v>52</v>
      </c>
      <c r="AH786">
        <v>34</v>
      </c>
      <c r="AI786">
        <v>35</v>
      </c>
      <c r="AJ786">
        <v>0</v>
      </c>
      <c r="AK786">
        <v>40</v>
      </c>
      <c r="AL786" t="s">
        <v>678</v>
      </c>
      <c r="AM786" t="s">
        <v>679</v>
      </c>
      <c r="AN786" t="s">
        <v>680</v>
      </c>
      <c r="AO786" t="s">
        <v>15031</v>
      </c>
      <c r="AP786" t="s">
        <v>15032</v>
      </c>
      <c r="AQ786" t="s">
        <v>74</v>
      </c>
      <c r="AR786" t="s">
        <v>15033</v>
      </c>
      <c r="AS786" t="s">
        <v>15034</v>
      </c>
      <c r="AT786" t="s">
        <v>14027</v>
      </c>
      <c r="AU786">
        <v>2016</v>
      </c>
      <c r="AV786">
        <v>113</v>
      </c>
      <c r="AW786" t="s">
        <v>74</v>
      </c>
      <c r="AX786" t="s">
        <v>74</v>
      </c>
      <c r="AY786" t="s">
        <v>74</v>
      </c>
      <c r="AZ786" t="s">
        <v>74</v>
      </c>
      <c r="BA786" t="s">
        <v>74</v>
      </c>
      <c r="BB786">
        <v>1</v>
      </c>
      <c r="BC786">
        <v>6</v>
      </c>
      <c r="BD786" t="s">
        <v>74</v>
      </c>
      <c r="BE786" t="s">
        <v>15035</v>
      </c>
      <c r="BF786" t="str">
        <f>HYPERLINK("http://dx.doi.org/10.1016/j.marenvres.2015.10.011","http://dx.doi.org/10.1016/j.marenvres.2015.10.011")</f>
        <v>http://dx.doi.org/10.1016/j.marenvres.2015.10.011</v>
      </c>
      <c r="BG786" t="s">
        <v>74</v>
      </c>
      <c r="BH786" t="s">
        <v>74</v>
      </c>
      <c r="BI786">
        <v>6</v>
      </c>
      <c r="BJ786" t="s">
        <v>15036</v>
      </c>
      <c r="BK786" t="s">
        <v>102</v>
      </c>
      <c r="BL786" t="s">
        <v>15037</v>
      </c>
      <c r="BM786" t="s">
        <v>15038</v>
      </c>
      <c r="BN786">
        <v>26559149</v>
      </c>
      <c r="BO786" t="s">
        <v>74</v>
      </c>
      <c r="BP786" t="s">
        <v>74</v>
      </c>
      <c r="BQ786" t="s">
        <v>74</v>
      </c>
      <c r="BR786" t="s">
        <v>106</v>
      </c>
      <c r="BS786" t="s">
        <v>15039</v>
      </c>
      <c r="BT786" t="str">
        <f>HYPERLINK("https%3A%2F%2Fwww.webofscience.com%2Fwos%2Fwoscc%2Ffull-record%2FWOS:000368951800001","View Full Record in Web of Science")</f>
        <v>View Full Record in Web of Science</v>
      </c>
    </row>
    <row r="787" spans="1:72" x14ac:dyDescent="0.15">
      <c r="A787" t="s">
        <v>72</v>
      </c>
      <c r="B787" t="s">
        <v>15040</v>
      </c>
      <c r="C787" t="s">
        <v>74</v>
      </c>
      <c r="D787" t="s">
        <v>74</v>
      </c>
      <c r="E787" t="s">
        <v>74</v>
      </c>
      <c r="F787" t="s">
        <v>15041</v>
      </c>
      <c r="G787" t="s">
        <v>74</v>
      </c>
      <c r="H787" t="s">
        <v>74</v>
      </c>
      <c r="I787" t="s">
        <v>15042</v>
      </c>
      <c r="J787" t="s">
        <v>4938</v>
      </c>
      <c r="K787" t="s">
        <v>74</v>
      </c>
      <c r="L787" t="s">
        <v>74</v>
      </c>
      <c r="M787" t="s">
        <v>78</v>
      </c>
      <c r="N787" t="s">
        <v>79</v>
      </c>
      <c r="O787" t="s">
        <v>74</v>
      </c>
      <c r="P787" t="s">
        <v>74</v>
      </c>
      <c r="Q787" t="s">
        <v>74</v>
      </c>
      <c r="R787" t="s">
        <v>74</v>
      </c>
      <c r="S787" t="s">
        <v>74</v>
      </c>
      <c r="T787" t="s">
        <v>15043</v>
      </c>
      <c r="U787" t="s">
        <v>15044</v>
      </c>
      <c r="V787" t="s">
        <v>15045</v>
      </c>
      <c r="W787" t="s">
        <v>15046</v>
      </c>
      <c r="X787" t="s">
        <v>15047</v>
      </c>
      <c r="Y787" t="s">
        <v>15048</v>
      </c>
      <c r="Z787" t="s">
        <v>15049</v>
      </c>
      <c r="AA787" t="s">
        <v>15050</v>
      </c>
      <c r="AB787" t="s">
        <v>15051</v>
      </c>
      <c r="AC787" t="s">
        <v>15052</v>
      </c>
      <c r="AD787" t="s">
        <v>15053</v>
      </c>
      <c r="AE787" t="s">
        <v>15054</v>
      </c>
      <c r="AF787" t="s">
        <v>74</v>
      </c>
      <c r="AG787">
        <v>50</v>
      </c>
      <c r="AH787">
        <v>18</v>
      </c>
      <c r="AI787">
        <v>19</v>
      </c>
      <c r="AJ787">
        <v>1</v>
      </c>
      <c r="AK787">
        <v>51</v>
      </c>
      <c r="AL787" t="s">
        <v>194</v>
      </c>
      <c r="AM787" t="s">
        <v>262</v>
      </c>
      <c r="AN787" t="s">
        <v>263</v>
      </c>
      <c r="AO787" t="s">
        <v>4951</v>
      </c>
      <c r="AP787" t="s">
        <v>4952</v>
      </c>
      <c r="AQ787" t="s">
        <v>74</v>
      </c>
      <c r="AR787" t="s">
        <v>4953</v>
      </c>
      <c r="AS787" t="s">
        <v>4954</v>
      </c>
      <c r="AT787" t="s">
        <v>14027</v>
      </c>
      <c r="AU787">
        <v>2016</v>
      </c>
      <c r="AV787">
        <v>71</v>
      </c>
      <c r="AW787">
        <v>2</v>
      </c>
      <c r="AX787" t="s">
        <v>74</v>
      </c>
      <c r="AY787" t="s">
        <v>74</v>
      </c>
      <c r="AZ787" t="s">
        <v>74</v>
      </c>
      <c r="BA787" t="s">
        <v>74</v>
      </c>
      <c r="BB787">
        <v>387</v>
      </c>
      <c r="BC787">
        <v>400</v>
      </c>
      <c r="BD787" t="s">
        <v>74</v>
      </c>
      <c r="BE787" t="s">
        <v>15055</v>
      </c>
      <c r="BF787" t="str">
        <f>HYPERLINK("http://dx.doi.org/10.1007/s00248-015-0666-8","http://dx.doi.org/10.1007/s00248-015-0666-8")</f>
        <v>http://dx.doi.org/10.1007/s00248-015-0666-8</v>
      </c>
      <c r="BG787" t="s">
        <v>74</v>
      </c>
      <c r="BH787" t="s">
        <v>74</v>
      </c>
      <c r="BI787">
        <v>14</v>
      </c>
      <c r="BJ787" t="s">
        <v>4956</v>
      </c>
      <c r="BK787" t="s">
        <v>102</v>
      </c>
      <c r="BL787" t="s">
        <v>4957</v>
      </c>
      <c r="BM787" t="s">
        <v>15056</v>
      </c>
      <c r="BN787">
        <v>26337826</v>
      </c>
      <c r="BO787" t="s">
        <v>74</v>
      </c>
      <c r="BP787" t="s">
        <v>74</v>
      </c>
      <c r="BQ787" t="s">
        <v>74</v>
      </c>
      <c r="BR787" t="s">
        <v>106</v>
      </c>
      <c r="BS787" t="s">
        <v>15057</v>
      </c>
      <c r="BT787" t="str">
        <f>HYPERLINK("https%3A%2F%2Fwww.webofscience.com%2Fwos%2Fwoscc%2Ffull-record%2FWOS:000369061400012","View Full Record in Web of Science")</f>
        <v>View Full Record in Web of Science</v>
      </c>
    </row>
    <row r="788" spans="1:72" x14ac:dyDescent="0.15">
      <c r="A788" t="s">
        <v>72</v>
      </c>
      <c r="B788" t="s">
        <v>15058</v>
      </c>
      <c r="C788" t="s">
        <v>74</v>
      </c>
      <c r="D788" t="s">
        <v>74</v>
      </c>
      <c r="E788" t="s">
        <v>74</v>
      </c>
      <c r="F788" t="s">
        <v>15059</v>
      </c>
      <c r="G788" t="s">
        <v>74</v>
      </c>
      <c r="H788" t="s">
        <v>74</v>
      </c>
      <c r="I788" t="s">
        <v>15060</v>
      </c>
      <c r="J788" t="s">
        <v>3453</v>
      </c>
      <c r="K788" t="s">
        <v>74</v>
      </c>
      <c r="L788" t="s">
        <v>74</v>
      </c>
      <c r="M788" t="s">
        <v>78</v>
      </c>
      <c r="N788" t="s">
        <v>79</v>
      </c>
      <c r="O788" t="s">
        <v>74</v>
      </c>
      <c r="P788" t="s">
        <v>74</v>
      </c>
      <c r="Q788" t="s">
        <v>74</v>
      </c>
      <c r="R788" t="s">
        <v>74</v>
      </c>
      <c r="S788" t="s">
        <v>74</v>
      </c>
      <c r="T788" t="s">
        <v>15061</v>
      </c>
      <c r="U788" t="s">
        <v>15062</v>
      </c>
      <c r="V788" t="s">
        <v>15063</v>
      </c>
      <c r="W788" t="s">
        <v>15064</v>
      </c>
      <c r="X788" t="s">
        <v>15065</v>
      </c>
      <c r="Y788" t="s">
        <v>15066</v>
      </c>
      <c r="Z788" t="s">
        <v>15067</v>
      </c>
      <c r="AA788" t="s">
        <v>15068</v>
      </c>
      <c r="AB788" t="s">
        <v>15069</v>
      </c>
      <c r="AC788" t="s">
        <v>15070</v>
      </c>
      <c r="AD788" t="s">
        <v>15071</v>
      </c>
      <c r="AE788" t="s">
        <v>15072</v>
      </c>
      <c r="AF788" t="s">
        <v>74</v>
      </c>
      <c r="AG788">
        <v>75</v>
      </c>
      <c r="AH788">
        <v>15</v>
      </c>
      <c r="AI788">
        <v>19</v>
      </c>
      <c r="AJ788">
        <v>4</v>
      </c>
      <c r="AK788">
        <v>56</v>
      </c>
      <c r="AL788" t="s">
        <v>194</v>
      </c>
      <c r="AM788" t="s">
        <v>262</v>
      </c>
      <c r="AN788" t="s">
        <v>2836</v>
      </c>
      <c r="AO788" t="s">
        <v>3466</v>
      </c>
      <c r="AP788" t="s">
        <v>3467</v>
      </c>
      <c r="AQ788" t="s">
        <v>74</v>
      </c>
      <c r="AR788" t="s">
        <v>3468</v>
      </c>
      <c r="AS788" t="s">
        <v>3469</v>
      </c>
      <c r="AT788" t="s">
        <v>14027</v>
      </c>
      <c r="AU788">
        <v>2016</v>
      </c>
      <c r="AV788">
        <v>39</v>
      </c>
      <c r="AW788">
        <v>2</v>
      </c>
      <c r="AX788" t="s">
        <v>74</v>
      </c>
      <c r="AY788" t="s">
        <v>74</v>
      </c>
      <c r="AZ788" t="s">
        <v>74</v>
      </c>
      <c r="BA788" t="s">
        <v>74</v>
      </c>
      <c r="BB788">
        <v>221</v>
      </c>
      <c r="BC788">
        <v>236</v>
      </c>
      <c r="BD788" t="s">
        <v>74</v>
      </c>
      <c r="BE788" t="s">
        <v>15073</v>
      </c>
      <c r="BF788" t="str">
        <f>HYPERLINK("http://dx.doi.org/10.1007/s00300-015-1775-z","http://dx.doi.org/10.1007/s00300-015-1775-z")</f>
        <v>http://dx.doi.org/10.1007/s00300-015-1775-z</v>
      </c>
      <c r="BG788" t="s">
        <v>74</v>
      </c>
      <c r="BH788" t="s">
        <v>74</v>
      </c>
      <c r="BI788">
        <v>16</v>
      </c>
      <c r="BJ788" t="s">
        <v>291</v>
      </c>
      <c r="BK788" t="s">
        <v>102</v>
      </c>
      <c r="BL788" t="s">
        <v>133</v>
      </c>
      <c r="BM788" t="s">
        <v>15074</v>
      </c>
      <c r="BN788" t="s">
        <v>74</v>
      </c>
      <c r="BO788" t="s">
        <v>1412</v>
      </c>
      <c r="BP788" t="s">
        <v>74</v>
      </c>
      <c r="BQ788" t="s">
        <v>74</v>
      </c>
      <c r="BR788" t="s">
        <v>106</v>
      </c>
      <c r="BS788" t="s">
        <v>15075</v>
      </c>
      <c r="BT788" t="str">
        <f>HYPERLINK("https%3A%2F%2Fwww.webofscience.com%2Fwos%2Fwoscc%2Ffull-record%2FWOS:000369067900003","View Full Record in Web of Science")</f>
        <v>View Full Record in Web of Science</v>
      </c>
    </row>
    <row r="789" spans="1:72" x14ac:dyDescent="0.15">
      <c r="A789" t="s">
        <v>72</v>
      </c>
      <c r="B789" t="s">
        <v>15076</v>
      </c>
      <c r="C789" t="s">
        <v>74</v>
      </c>
      <c r="D789" t="s">
        <v>74</v>
      </c>
      <c r="E789" t="s">
        <v>74</v>
      </c>
      <c r="F789" t="s">
        <v>15077</v>
      </c>
      <c r="G789" t="s">
        <v>74</v>
      </c>
      <c r="H789" t="s">
        <v>74</v>
      </c>
      <c r="I789" t="s">
        <v>15078</v>
      </c>
      <c r="J789" t="s">
        <v>3453</v>
      </c>
      <c r="K789" t="s">
        <v>74</v>
      </c>
      <c r="L789" t="s">
        <v>74</v>
      </c>
      <c r="M789" t="s">
        <v>78</v>
      </c>
      <c r="N789" t="s">
        <v>79</v>
      </c>
      <c r="O789" t="s">
        <v>74</v>
      </c>
      <c r="P789" t="s">
        <v>74</v>
      </c>
      <c r="Q789" t="s">
        <v>74</v>
      </c>
      <c r="R789" t="s">
        <v>74</v>
      </c>
      <c r="S789" t="s">
        <v>74</v>
      </c>
      <c r="T789" t="s">
        <v>15079</v>
      </c>
      <c r="U789" t="s">
        <v>15080</v>
      </c>
      <c r="V789" t="s">
        <v>15081</v>
      </c>
      <c r="W789" t="s">
        <v>15082</v>
      </c>
      <c r="X789" t="s">
        <v>15083</v>
      </c>
      <c r="Y789" t="s">
        <v>15084</v>
      </c>
      <c r="Z789" t="s">
        <v>15085</v>
      </c>
      <c r="AA789" t="s">
        <v>15086</v>
      </c>
      <c r="AB789" t="s">
        <v>15087</v>
      </c>
      <c r="AC789" t="s">
        <v>15088</v>
      </c>
      <c r="AD789" t="s">
        <v>15089</v>
      </c>
      <c r="AE789" t="s">
        <v>15090</v>
      </c>
      <c r="AF789" t="s">
        <v>74</v>
      </c>
      <c r="AG789">
        <v>72</v>
      </c>
      <c r="AH789">
        <v>10</v>
      </c>
      <c r="AI789">
        <v>10</v>
      </c>
      <c r="AJ789">
        <v>2</v>
      </c>
      <c r="AK789">
        <v>36</v>
      </c>
      <c r="AL789" t="s">
        <v>194</v>
      </c>
      <c r="AM789" t="s">
        <v>262</v>
      </c>
      <c r="AN789" t="s">
        <v>263</v>
      </c>
      <c r="AO789" t="s">
        <v>3466</v>
      </c>
      <c r="AP789" t="s">
        <v>3467</v>
      </c>
      <c r="AQ789" t="s">
        <v>74</v>
      </c>
      <c r="AR789" t="s">
        <v>3468</v>
      </c>
      <c r="AS789" t="s">
        <v>3469</v>
      </c>
      <c r="AT789" t="s">
        <v>14027</v>
      </c>
      <c r="AU789">
        <v>2016</v>
      </c>
      <c r="AV789">
        <v>39</v>
      </c>
      <c r="AW789">
        <v>2</v>
      </c>
      <c r="AX789" t="s">
        <v>74</v>
      </c>
      <c r="AY789" t="s">
        <v>74</v>
      </c>
      <c r="AZ789" t="s">
        <v>74</v>
      </c>
      <c r="BA789" t="s">
        <v>74</v>
      </c>
      <c r="BB789">
        <v>365</v>
      </c>
      <c r="BC789">
        <v>378</v>
      </c>
      <c r="BD789" t="s">
        <v>74</v>
      </c>
      <c r="BE789" t="s">
        <v>15091</v>
      </c>
      <c r="BF789" t="str">
        <f>HYPERLINK("http://dx.doi.org/10.1007/s00300-015-1787-8","http://dx.doi.org/10.1007/s00300-015-1787-8")</f>
        <v>http://dx.doi.org/10.1007/s00300-015-1787-8</v>
      </c>
      <c r="BG789" t="s">
        <v>74</v>
      </c>
      <c r="BH789" t="s">
        <v>74</v>
      </c>
      <c r="BI789">
        <v>14</v>
      </c>
      <c r="BJ789" t="s">
        <v>291</v>
      </c>
      <c r="BK789" t="s">
        <v>102</v>
      </c>
      <c r="BL789" t="s">
        <v>133</v>
      </c>
      <c r="BM789" t="s">
        <v>15074</v>
      </c>
      <c r="BN789" t="s">
        <v>74</v>
      </c>
      <c r="BO789" t="s">
        <v>74</v>
      </c>
      <c r="BP789" t="s">
        <v>74</v>
      </c>
      <c r="BQ789" t="s">
        <v>74</v>
      </c>
      <c r="BR789" t="s">
        <v>106</v>
      </c>
      <c r="BS789" t="s">
        <v>15092</v>
      </c>
      <c r="BT789" t="str">
        <f>HYPERLINK("https%3A%2F%2Fwww.webofscience.com%2Fwos%2Fwoscc%2Ffull-record%2FWOS:000369067900013","View Full Record in Web of Science")</f>
        <v>View Full Record in Web of Science</v>
      </c>
    </row>
    <row r="790" spans="1:72" x14ac:dyDescent="0.15">
      <c r="A790" t="s">
        <v>72</v>
      </c>
      <c r="B790" t="s">
        <v>15093</v>
      </c>
      <c r="C790" t="s">
        <v>74</v>
      </c>
      <c r="D790" t="s">
        <v>74</v>
      </c>
      <c r="E790" t="s">
        <v>74</v>
      </c>
      <c r="F790" t="s">
        <v>15094</v>
      </c>
      <c r="G790" t="s">
        <v>74</v>
      </c>
      <c r="H790" t="s">
        <v>74</v>
      </c>
      <c r="I790" t="s">
        <v>15095</v>
      </c>
      <c r="J790" t="s">
        <v>15096</v>
      </c>
      <c r="K790" t="s">
        <v>74</v>
      </c>
      <c r="L790" t="s">
        <v>74</v>
      </c>
      <c r="M790" t="s">
        <v>78</v>
      </c>
      <c r="N790" t="s">
        <v>79</v>
      </c>
      <c r="O790" t="s">
        <v>74</v>
      </c>
      <c r="P790" t="s">
        <v>74</v>
      </c>
      <c r="Q790" t="s">
        <v>74</v>
      </c>
      <c r="R790" t="s">
        <v>74</v>
      </c>
      <c r="S790" t="s">
        <v>74</v>
      </c>
      <c r="T790" t="s">
        <v>74</v>
      </c>
      <c r="U790" t="s">
        <v>15097</v>
      </c>
      <c r="V790" t="s">
        <v>15098</v>
      </c>
      <c r="W790" t="s">
        <v>15099</v>
      </c>
      <c r="X790" t="s">
        <v>15100</v>
      </c>
      <c r="Y790" t="s">
        <v>15101</v>
      </c>
      <c r="Z790" t="s">
        <v>15102</v>
      </c>
      <c r="AA790" t="s">
        <v>15103</v>
      </c>
      <c r="AB790" t="s">
        <v>15104</v>
      </c>
      <c r="AC790" t="s">
        <v>15105</v>
      </c>
      <c r="AD790" t="s">
        <v>15105</v>
      </c>
      <c r="AE790" t="s">
        <v>15106</v>
      </c>
      <c r="AF790" t="s">
        <v>74</v>
      </c>
      <c r="AG790">
        <v>60</v>
      </c>
      <c r="AH790">
        <v>25</v>
      </c>
      <c r="AI790">
        <v>25</v>
      </c>
      <c r="AJ790">
        <v>0</v>
      </c>
      <c r="AK790">
        <v>34</v>
      </c>
      <c r="AL790" t="s">
        <v>772</v>
      </c>
      <c r="AM790" t="s">
        <v>773</v>
      </c>
      <c r="AN790" t="s">
        <v>774</v>
      </c>
      <c r="AO790" t="s">
        <v>15107</v>
      </c>
      <c r="AP790" t="s">
        <v>15108</v>
      </c>
      <c r="AQ790" t="s">
        <v>74</v>
      </c>
      <c r="AR790" t="s">
        <v>15109</v>
      </c>
      <c r="AS790" t="s">
        <v>15110</v>
      </c>
      <c r="AT790" t="s">
        <v>14027</v>
      </c>
      <c r="AU790">
        <v>2016</v>
      </c>
      <c r="AV790">
        <v>10</v>
      </c>
      <c r="AW790">
        <v>2</v>
      </c>
      <c r="AX790" t="s">
        <v>74</v>
      </c>
      <c r="AY790" t="s">
        <v>74</v>
      </c>
      <c r="AZ790" t="s">
        <v>74</v>
      </c>
      <c r="BA790" t="s">
        <v>74</v>
      </c>
      <c r="BB790">
        <v>416</v>
      </c>
      <c r="BC790">
        <v>426</v>
      </c>
      <c r="BD790" t="s">
        <v>74</v>
      </c>
      <c r="BE790" t="s">
        <v>15111</v>
      </c>
      <c r="BF790" t="str">
        <f>HYPERLINK("http://dx.doi.org/10.1038/ismej.2015.123","http://dx.doi.org/10.1038/ismej.2015.123")</f>
        <v>http://dx.doi.org/10.1038/ismej.2015.123</v>
      </c>
      <c r="BG790" t="s">
        <v>74</v>
      </c>
      <c r="BH790" t="s">
        <v>74</v>
      </c>
      <c r="BI790">
        <v>11</v>
      </c>
      <c r="BJ790" t="s">
        <v>15112</v>
      </c>
      <c r="BK790" t="s">
        <v>102</v>
      </c>
      <c r="BL790" t="s">
        <v>14481</v>
      </c>
      <c r="BM790" t="s">
        <v>15113</v>
      </c>
      <c r="BN790">
        <v>26230047</v>
      </c>
      <c r="BO790" t="s">
        <v>842</v>
      </c>
      <c r="BP790" t="s">
        <v>74</v>
      </c>
      <c r="BQ790" t="s">
        <v>74</v>
      </c>
      <c r="BR790" t="s">
        <v>106</v>
      </c>
      <c r="BS790" t="s">
        <v>15114</v>
      </c>
      <c r="BT790" t="str">
        <f>HYPERLINK("https%3A%2F%2Fwww.webofscience.com%2Fwos%2Fwoscc%2Ffull-record%2FWOS:000368561100012","View Full Record in Web of Science")</f>
        <v>View Full Record in Web of Science</v>
      </c>
    </row>
    <row r="791" spans="1:72" x14ac:dyDescent="0.15">
      <c r="A791" t="s">
        <v>72</v>
      </c>
      <c r="B791" t="s">
        <v>15115</v>
      </c>
      <c r="C791" t="s">
        <v>74</v>
      </c>
      <c r="D791" t="s">
        <v>74</v>
      </c>
      <c r="E791" t="s">
        <v>74</v>
      </c>
      <c r="F791" t="s">
        <v>15116</v>
      </c>
      <c r="G791" t="s">
        <v>74</v>
      </c>
      <c r="H791" t="s">
        <v>74</v>
      </c>
      <c r="I791" t="s">
        <v>15117</v>
      </c>
      <c r="J791" t="s">
        <v>11304</v>
      </c>
      <c r="K791" t="s">
        <v>74</v>
      </c>
      <c r="L791" t="s">
        <v>74</v>
      </c>
      <c r="M791" t="s">
        <v>78</v>
      </c>
      <c r="N791" t="s">
        <v>79</v>
      </c>
      <c r="O791" t="s">
        <v>74</v>
      </c>
      <c r="P791" t="s">
        <v>74</v>
      </c>
      <c r="Q791" t="s">
        <v>74</v>
      </c>
      <c r="R791" t="s">
        <v>74</v>
      </c>
      <c r="S791" t="s">
        <v>74</v>
      </c>
      <c r="T791" t="s">
        <v>15118</v>
      </c>
      <c r="U791" t="s">
        <v>15119</v>
      </c>
      <c r="V791" t="s">
        <v>15120</v>
      </c>
      <c r="W791" t="s">
        <v>15121</v>
      </c>
      <c r="X791" t="s">
        <v>15122</v>
      </c>
      <c r="Y791" t="s">
        <v>15123</v>
      </c>
      <c r="Z791" t="s">
        <v>15124</v>
      </c>
      <c r="AA791" t="s">
        <v>15125</v>
      </c>
      <c r="AB791" t="s">
        <v>15126</v>
      </c>
      <c r="AC791" t="s">
        <v>15127</v>
      </c>
      <c r="AD791" t="s">
        <v>15128</v>
      </c>
      <c r="AE791" t="s">
        <v>15129</v>
      </c>
      <c r="AF791" t="s">
        <v>74</v>
      </c>
      <c r="AG791">
        <v>45</v>
      </c>
      <c r="AH791">
        <v>19</v>
      </c>
      <c r="AI791">
        <v>24</v>
      </c>
      <c r="AJ791">
        <v>2</v>
      </c>
      <c r="AK791">
        <v>28</v>
      </c>
      <c r="AL791" t="s">
        <v>11316</v>
      </c>
      <c r="AM791" t="s">
        <v>773</v>
      </c>
      <c r="AN791" t="s">
        <v>11317</v>
      </c>
      <c r="AO791" t="s">
        <v>11318</v>
      </c>
      <c r="AP791" t="s">
        <v>11319</v>
      </c>
      <c r="AQ791" t="s">
        <v>74</v>
      </c>
      <c r="AR791" t="s">
        <v>11304</v>
      </c>
      <c r="AS791" t="s">
        <v>11320</v>
      </c>
      <c r="AT791" t="s">
        <v>14027</v>
      </c>
      <c r="AU791">
        <v>2016</v>
      </c>
      <c r="AV791">
        <v>26</v>
      </c>
      <c r="AW791">
        <v>2</v>
      </c>
      <c r="AX791" t="s">
        <v>74</v>
      </c>
      <c r="AY791" t="s">
        <v>74</v>
      </c>
      <c r="AZ791" t="s">
        <v>74</v>
      </c>
      <c r="BA791" t="s">
        <v>74</v>
      </c>
      <c r="BB791">
        <v>265</v>
      </c>
      <c r="BC791">
        <v>273</v>
      </c>
      <c r="BD791" t="s">
        <v>74</v>
      </c>
      <c r="BE791" t="s">
        <v>15130</v>
      </c>
      <c r="BF791" t="str">
        <f>HYPERLINK("http://dx.doi.org/10.1177/0959683615608688","http://dx.doi.org/10.1177/0959683615608688")</f>
        <v>http://dx.doi.org/10.1177/0959683615608688</v>
      </c>
      <c r="BG791" t="s">
        <v>74</v>
      </c>
      <c r="BH791" t="s">
        <v>74</v>
      </c>
      <c r="BI791">
        <v>9</v>
      </c>
      <c r="BJ791" t="s">
        <v>1904</v>
      </c>
      <c r="BK791" t="s">
        <v>102</v>
      </c>
      <c r="BL791" t="s">
        <v>1905</v>
      </c>
      <c r="BM791" t="s">
        <v>15131</v>
      </c>
      <c r="BN791" t="s">
        <v>74</v>
      </c>
      <c r="BO791" t="s">
        <v>74</v>
      </c>
      <c r="BP791" t="s">
        <v>74</v>
      </c>
      <c r="BQ791" t="s">
        <v>74</v>
      </c>
      <c r="BR791" t="s">
        <v>106</v>
      </c>
      <c r="BS791" t="s">
        <v>15132</v>
      </c>
      <c r="BT791" t="str">
        <f>HYPERLINK("https%3A%2F%2Fwww.webofscience.com%2Fwos%2Fwoscc%2Ffull-record%2FWOS:000368332200008","View Full Record in Web of Science")</f>
        <v>View Full Record in Web of Science</v>
      </c>
    </row>
    <row r="792" spans="1:72" x14ac:dyDescent="0.15">
      <c r="A792" t="s">
        <v>72</v>
      </c>
      <c r="B792" t="s">
        <v>15133</v>
      </c>
      <c r="C792" t="s">
        <v>74</v>
      </c>
      <c r="D792" t="s">
        <v>74</v>
      </c>
      <c r="E792" t="s">
        <v>74</v>
      </c>
      <c r="F792" t="s">
        <v>15134</v>
      </c>
      <c r="G792" t="s">
        <v>74</v>
      </c>
      <c r="H792" t="s">
        <v>74</v>
      </c>
      <c r="I792" t="s">
        <v>15135</v>
      </c>
      <c r="J792" t="s">
        <v>7451</v>
      </c>
      <c r="K792" t="s">
        <v>74</v>
      </c>
      <c r="L792" t="s">
        <v>74</v>
      </c>
      <c r="M792" t="s">
        <v>78</v>
      </c>
      <c r="N792" t="s">
        <v>79</v>
      </c>
      <c r="O792" t="s">
        <v>74</v>
      </c>
      <c r="P792" t="s">
        <v>74</v>
      </c>
      <c r="Q792" t="s">
        <v>74</v>
      </c>
      <c r="R792" t="s">
        <v>74</v>
      </c>
      <c r="S792" t="s">
        <v>74</v>
      </c>
      <c r="T792" t="s">
        <v>15136</v>
      </c>
      <c r="U792" t="s">
        <v>15137</v>
      </c>
      <c r="V792" t="s">
        <v>15138</v>
      </c>
      <c r="W792" t="s">
        <v>15139</v>
      </c>
      <c r="X792" t="s">
        <v>1057</v>
      </c>
      <c r="Y792" t="s">
        <v>13133</v>
      </c>
      <c r="Z792" t="s">
        <v>15140</v>
      </c>
      <c r="AA792" t="s">
        <v>15141</v>
      </c>
      <c r="AB792" t="s">
        <v>15142</v>
      </c>
      <c r="AC792" t="s">
        <v>74</v>
      </c>
      <c r="AD792" t="s">
        <v>74</v>
      </c>
      <c r="AE792" t="s">
        <v>74</v>
      </c>
      <c r="AF792" t="s">
        <v>74</v>
      </c>
      <c r="AG792">
        <v>90</v>
      </c>
      <c r="AH792">
        <v>16</v>
      </c>
      <c r="AI792">
        <v>18</v>
      </c>
      <c r="AJ792">
        <v>0</v>
      </c>
      <c r="AK792">
        <v>31</v>
      </c>
      <c r="AL792" t="s">
        <v>678</v>
      </c>
      <c r="AM792" t="s">
        <v>679</v>
      </c>
      <c r="AN792" t="s">
        <v>680</v>
      </c>
      <c r="AO792" t="s">
        <v>7463</v>
      </c>
      <c r="AP792" t="s">
        <v>7464</v>
      </c>
      <c r="AQ792" t="s">
        <v>74</v>
      </c>
      <c r="AR792" t="s">
        <v>7465</v>
      </c>
      <c r="AS792" t="s">
        <v>7466</v>
      </c>
      <c r="AT792" t="s">
        <v>14027</v>
      </c>
      <c r="AU792">
        <v>2016</v>
      </c>
      <c r="AV792">
        <v>120</v>
      </c>
      <c r="AW792" t="s">
        <v>74</v>
      </c>
      <c r="AX792" t="s">
        <v>74</v>
      </c>
      <c r="AY792" t="s">
        <v>74</v>
      </c>
      <c r="AZ792" t="s">
        <v>74</v>
      </c>
      <c r="BA792" t="s">
        <v>74</v>
      </c>
      <c r="BB792">
        <v>180</v>
      </c>
      <c r="BC792">
        <v>188</v>
      </c>
      <c r="BD792" t="s">
        <v>74</v>
      </c>
      <c r="BE792" t="s">
        <v>15143</v>
      </c>
      <c r="BF792" t="str">
        <f>HYPERLINK("http://dx.doi.org/10.1016/j.ocecoaman.2015.12.004","http://dx.doi.org/10.1016/j.ocecoaman.2015.12.004")</f>
        <v>http://dx.doi.org/10.1016/j.ocecoaman.2015.12.004</v>
      </c>
      <c r="BG792" t="s">
        <v>74</v>
      </c>
      <c r="BH792" t="s">
        <v>74</v>
      </c>
      <c r="BI792">
        <v>9</v>
      </c>
      <c r="BJ792" t="s">
        <v>7468</v>
      </c>
      <c r="BK792" t="s">
        <v>102</v>
      </c>
      <c r="BL792" t="s">
        <v>7468</v>
      </c>
      <c r="BM792" t="s">
        <v>15144</v>
      </c>
      <c r="BN792" t="s">
        <v>74</v>
      </c>
      <c r="BO792" t="s">
        <v>74</v>
      </c>
      <c r="BP792" t="s">
        <v>74</v>
      </c>
      <c r="BQ792" t="s">
        <v>74</v>
      </c>
      <c r="BR792" t="s">
        <v>106</v>
      </c>
      <c r="BS792" t="s">
        <v>15145</v>
      </c>
      <c r="BT792" t="str">
        <f>HYPERLINK("https%3A%2F%2Fwww.webofscience.com%2Fwos%2Fwoscc%2Ffull-record%2FWOS:000368220500017","View Full Record in Web of Science")</f>
        <v>View Full Record in Web of Science</v>
      </c>
    </row>
    <row r="793" spans="1:72" x14ac:dyDescent="0.15">
      <c r="A793" t="s">
        <v>72</v>
      </c>
      <c r="B793" t="s">
        <v>15146</v>
      </c>
      <c r="C793" t="s">
        <v>74</v>
      </c>
      <c r="D793" t="s">
        <v>74</v>
      </c>
      <c r="E793" t="s">
        <v>74</v>
      </c>
      <c r="F793" t="s">
        <v>15147</v>
      </c>
      <c r="G793" t="s">
        <v>74</v>
      </c>
      <c r="H793" t="s">
        <v>74</v>
      </c>
      <c r="I793" t="s">
        <v>15148</v>
      </c>
      <c r="J793" t="s">
        <v>11238</v>
      </c>
      <c r="K793" t="s">
        <v>74</v>
      </c>
      <c r="L793" t="s">
        <v>74</v>
      </c>
      <c r="M793" t="s">
        <v>78</v>
      </c>
      <c r="N793" t="s">
        <v>79</v>
      </c>
      <c r="O793" t="s">
        <v>74</v>
      </c>
      <c r="P793" t="s">
        <v>74</v>
      </c>
      <c r="Q793" t="s">
        <v>74</v>
      </c>
      <c r="R793" t="s">
        <v>74</v>
      </c>
      <c r="S793" t="s">
        <v>74</v>
      </c>
      <c r="T793" t="s">
        <v>15149</v>
      </c>
      <c r="U793" t="s">
        <v>15150</v>
      </c>
      <c r="V793" t="s">
        <v>15151</v>
      </c>
      <c r="W793" t="s">
        <v>15152</v>
      </c>
      <c r="X793" t="s">
        <v>15153</v>
      </c>
      <c r="Y793" t="s">
        <v>15154</v>
      </c>
      <c r="Z793" t="s">
        <v>15155</v>
      </c>
      <c r="AA793" t="s">
        <v>15156</v>
      </c>
      <c r="AB793" t="s">
        <v>15157</v>
      </c>
      <c r="AC793" t="s">
        <v>74</v>
      </c>
      <c r="AD793" t="s">
        <v>74</v>
      </c>
      <c r="AE793" t="s">
        <v>74</v>
      </c>
      <c r="AF793" t="s">
        <v>74</v>
      </c>
      <c r="AG793">
        <v>59</v>
      </c>
      <c r="AH793">
        <v>25</v>
      </c>
      <c r="AI793">
        <v>27</v>
      </c>
      <c r="AJ793">
        <v>1</v>
      </c>
      <c r="AK793">
        <v>103</v>
      </c>
      <c r="AL793" t="s">
        <v>5677</v>
      </c>
      <c r="AM793" t="s">
        <v>773</v>
      </c>
      <c r="AN793" t="s">
        <v>5678</v>
      </c>
      <c r="AO793" t="s">
        <v>11251</v>
      </c>
      <c r="AP793" t="s">
        <v>11252</v>
      </c>
      <c r="AQ793" t="s">
        <v>74</v>
      </c>
      <c r="AR793" t="s">
        <v>11253</v>
      </c>
      <c r="AS793" t="s">
        <v>11254</v>
      </c>
      <c r="AT793" t="s">
        <v>14027</v>
      </c>
      <c r="AU793">
        <v>2016</v>
      </c>
      <c r="AV793">
        <v>112</v>
      </c>
      <c r="AW793" t="s">
        <v>74</v>
      </c>
      <c r="AX793" t="s">
        <v>74</v>
      </c>
      <c r="AY793" t="s">
        <v>74</v>
      </c>
      <c r="AZ793" t="s">
        <v>74</v>
      </c>
      <c r="BA793" t="s">
        <v>74</v>
      </c>
      <c r="BB793">
        <v>127</v>
      </c>
      <c r="BC793">
        <v>138</v>
      </c>
      <c r="BD793" t="s">
        <v>74</v>
      </c>
      <c r="BE793" t="s">
        <v>15158</v>
      </c>
      <c r="BF793" t="str">
        <f>HYPERLINK("http://dx.doi.org/10.1016/j.anbehav.2015.11.028","http://dx.doi.org/10.1016/j.anbehav.2015.11.028")</f>
        <v>http://dx.doi.org/10.1016/j.anbehav.2015.11.028</v>
      </c>
      <c r="BG793" t="s">
        <v>74</v>
      </c>
      <c r="BH793" t="s">
        <v>74</v>
      </c>
      <c r="BI793">
        <v>12</v>
      </c>
      <c r="BJ793" t="s">
        <v>11256</v>
      </c>
      <c r="BK793" t="s">
        <v>102</v>
      </c>
      <c r="BL793" t="s">
        <v>11256</v>
      </c>
      <c r="BM793" t="s">
        <v>15159</v>
      </c>
      <c r="BN793" t="s">
        <v>74</v>
      </c>
      <c r="BO793" t="s">
        <v>74</v>
      </c>
      <c r="BP793" t="s">
        <v>74</v>
      </c>
      <c r="BQ793" t="s">
        <v>74</v>
      </c>
      <c r="BR793" t="s">
        <v>106</v>
      </c>
      <c r="BS793" t="s">
        <v>15160</v>
      </c>
      <c r="BT793" t="str">
        <f>HYPERLINK("https%3A%2F%2Fwww.webofscience.com%2Fwos%2Fwoscc%2Ffull-record%2FWOS:000369617800015","View Full Record in Web of Science")</f>
        <v>View Full Record in Web of Science</v>
      </c>
    </row>
    <row r="794" spans="1:72" x14ac:dyDescent="0.15">
      <c r="A794" t="s">
        <v>72</v>
      </c>
      <c r="B794" t="s">
        <v>15161</v>
      </c>
      <c r="C794" t="s">
        <v>74</v>
      </c>
      <c r="D794" t="s">
        <v>74</v>
      </c>
      <c r="E794" t="s">
        <v>74</v>
      </c>
      <c r="F794" t="s">
        <v>15162</v>
      </c>
      <c r="G794" t="s">
        <v>74</v>
      </c>
      <c r="H794" t="s">
        <v>74</v>
      </c>
      <c r="I794" t="s">
        <v>15163</v>
      </c>
      <c r="J794" t="s">
        <v>7348</v>
      </c>
      <c r="K794" t="s">
        <v>74</v>
      </c>
      <c r="L794" t="s">
        <v>74</v>
      </c>
      <c r="M794" t="s">
        <v>78</v>
      </c>
      <c r="N794" t="s">
        <v>573</v>
      </c>
      <c r="O794" t="s">
        <v>74</v>
      </c>
      <c r="P794" t="s">
        <v>74</v>
      </c>
      <c r="Q794" t="s">
        <v>74</v>
      </c>
      <c r="R794" t="s">
        <v>74</v>
      </c>
      <c r="S794" t="s">
        <v>74</v>
      </c>
      <c r="T794" t="s">
        <v>74</v>
      </c>
      <c r="U794" t="s">
        <v>74</v>
      </c>
      <c r="V794" t="s">
        <v>74</v>
      </c>
      <c r="W794" t="s">
        <v>74</v>
      </c>
      <c r="X794" t="s">
        <v>74</v>
      </c>
      <c r="Y794" t="s">
        <v>74</v>
      </c>
      <c r="Z794" t="s">
        <v>74</v>
      </c>
      <c r="AA794" t="s">
        <v>15164</v>
      </c>
      <c r="AB794" t="s">
        <v>15165</v>
      </c>
      <c r="AC794" t="s">
        <v>74</v>
      </c>
      <c r="AD794" t="s">
        <v>74</v>
      </c>
      <c r="AE794" t="s">
        <v>74</v>
      </c>
      <c r="AF794" t="s">
        <v>74</v>
      </c>
      <c r="AG794">
        <v>0</v>
      </c>
      <c r="AH794">
        <v>2</v>
      </c>
      <c r="AI794">
        <v>2</v>
      </c>
      <c r="AJ794">
        <v>0</v>
      </c>
      <c r="AK794">
        <v>0</v>
      </c>
      <c r="AL794" t="s">
        <v>3662</v>
      </c>
      <c r="AM794" t="s">
        <v>262</v>
      </c>
      <c r="AN794" t="s">
        <v>3663</v>
      </c>
      <c r="AO794" t="s">
        <v>7359</v>
      </c>
      <c r="AP794" t="s">
        <v>7360</v>
      </c>
      <c r="AQ794" t="s">
        <v>74</v>
      </c>
      <c r="AR794" t="s">
        <v>7361</v>
      </c>
      <c r="AS794" t="s">
        <v>7362</v>
      </c>
      <c r="AT794" t="s">
        <v>14027</v>
      </c>
      <c r="AU794">
        <v>2016</v>
      </c>
      <c r="AV794">
        <v>28</v>
      </c>
      <c r="AW794">
        <v>1</v>
      </c>
      <c r="AX794" t="s">
        <v>74</v>
      </c>
      <c r="AY794" t="s">
        <v>74</v>
      </c>
      <c r="AZ794" t="s">
        <v>74</v>
      </c>
      <c r="BA794" t="s">
        <v>74</v>
      </c>
      <c r="BB794">
        <v>1</v>
      </c>
      <c r="BC794">
        <v>1</v>
      </c>
      <c r="BD794" t="s">
        <v>74</v>
      </c>
      <c r="BE794" t="s">
        <v>15166</v>
      </c>
      <c r="BF794" t="str">
        <f>HYPERLINK("http://dx.doi.org/10.1017/S0954102015000619","http://dx.doi.org/10.1017/S0954102015000619")</f>
        <v>http://dx.doi.org/10.1017/S0954102015000619</v>
      </c>
      <c r="BG794" t="s">
        <v>74</v>
      </c>
      <c r="BH794" t="s">
        <v>74</v>
      </c>
      <c r="BI794">
        <v>1</v>
      </c>
      <c r="BJ794" t="s">
        <v>7364</v>
      </c>
      <c r="BK794" t="s">
        <v>102</v>
      </c>
      <c r="BL794" t="s">
        <v>7365</v>
      </c>
      <c r="BM794" t="s">
        <v>14321</v>
      </c>
      <c r="BN794" t="s">
        <v>74</v>
      </c>
      <c r="BO794" t="s">
        <v>420</v>
      </c>
      <c r="BP794" t="s">
        <v>74</v>
      </c>
      <c r="BQ794" t="s">
        <v>74</v>
      </c>
      <c r="BR794" t="s">
        <v>106</v>
      </c>
      <c r="BS794" t="s">
        <v>15167</v>
      </c>
      <c r="BT794" t="str">
        <f>HYPERLINK("https%3A%2F%2Fwww.webofscience.com%2Fwos%2Fwoscc%2Ffull-record%2FWOS:000372521000001","View Full Record in Web of Science")</f>
        <v>View Full Record in Web of Science</v>
      </c>
    </row>
    <row r="795" spans="1:72" x14ac:dyDescent="0.15">
      <c r="A795" t="s">
        <v>72</v>
      </c>
      <c r="B795" t="s">
        <v>15168</v>
      </c>
      <c r="C795" t="s">
        <v>74</v>
      </c>
      <c r="D795" t="s">
        <v>74</v>
      </c>
      <c r="E795" t="s">
        <v>74</v>
      </c>
      <c r="F795" t="s">
        <v>15169</v>
      </c>
      <c r="G795" t="s">
        <v>74</v>
      </c>
      <c r="H795" t="s">
        <v>74</v>
      </c>
      <c r="I795" t="s">
        <v>15170</v>
      </c>
      <c r="J795" t="s">
        <v>7348</v>
      </c>
      <c r="K795" t="s">
        <v>74</v>
      </c>
      <c r="L795" t="s">
        <v>74</v>
      </c>
      <c r="M795" t="s">
        <v>78</v>
      </c>
      <c r="N795" t="s">
        <v>79</v>
      </c>
      <c r="O795" t="s">
        <v>74</v>
      </c>
      <c r="P795" t="s">
        <v>74</v>
      </c>
      <c r="Q795" t="s">
        <v>74</v>
      </c>
      <c r="R795" t="s">
        <v>74</v>
      </c>
      <c r="S795" t="s">
        <v>74</v>
      </c>
      <c r="T795" t="s">
        <v>15171</v>
      </c>
      <c r="U795" t="s">
        <v>15172</v>
      </c>
      <c r="V795" t="s">
        <v>15173</v>
      </c>
      <c r="W795" t="s">
        <v>15174</v>
      </c>
      <c r="X795" t="s">
        <v>15175</v>
      </c>
      <c r="Y795" t="s">
        <v>3170</v>
      </c>
      <c r="Z795" t="s">
        <v>3171</v>
      </c>
      <c r="AA795" t="s">
        <v>15176</v>
      </c>
      <c r="AB795" t="s">
        <v>15177</v>
      </c>
      <c r="AC795" t="s">
        <v>15178</v>
      </c>
      <c r="AD795" t="s">
        <v>15179</v>
      </c>
      <c r="AE795" t="s">
        <v>15180</v>
      </c>
      <c r="AF795" t="s">
        <v>74</v>
      </c>
      <c r="AG795">
        <v>38</v>
      </c>
      <c r="AH795">
        <v>5</v>
      </c>
      <c r="AI795">
        <v>5</v>
      </c>
      <c r="AJ795">
        <v>1</v>
      </c>
      <c r="AK795">
        <v>10</v>
      </c>
      <c r="AL795" t="s">
        <v>3662</v>
      </c>
      <c r="AM795" t="s">
        <v>262</v>
      </c>
      <c r="AN795" t="s">
        <v>3663</v>
      </c>
      <c r="AO795" t="s">
        <v>7359</v>
      </c>
      <c r="AP795" t="s">
        <v>7360</v>
      </c>
      <c r="AQ795" t="s">
        <v>74</v>
      </c>
      <c r="AR795" t="s">
        <v>7361</v>
      </c>
      <c r="AS795" t="s">
        <v>7362</v>
      </c>
      <c r="AT795" t="s">
        <v>14027</v>
      </c>
      <c r="AU795">
        <v>2016</v>
      </c>
      <c r="AV795">
        <v>28</v>
      </c>
      <c r="AW795">
        <v>1</v>
      </c>
      <c r="AX795" t="s">
        <v>74</v>
      </c>
      <c r="AY795" t="s">
        <v>74</v>
      </c>
      <c r="AZ795" t="s">
        <v>74</v>
      </c>
      <c r="BA795" t="s">
        <v>74</v>
      </c>
      <c r="BB795">
        <v>35</v>
      </c>
      <c r="BC795">
        <v>43</v>
      </c>
      <c r="BD795" t="s">
        <v>74</v>
      </c>
      <c r="BE795" t="s">
        <v>15181</v>
      </c>
      <c r="BF795" t="str">
        <f>HYPERLINK("http://dx.doi.org/10.1017/S0954102015000383","http://dx.doi.org/10.1017/S0954102015000383")</f>
        <v>http://dx.doi.org/10.1017/S0954102015000383</v>
      </c>
      <c r="BG795" t="s">
        <v>74</v>
      </c>
      <c r="BH795" t="s">
        <v>74</v>
      </c>
      <c r="BI795">
        <v>9</v>
      </c>
      <c r="BJ795" t="s">
        <v>7364</v>
      </c>
      <c r="BK795" t="s">
        <v>102</v>
      </c>
      <c r="BL795" t="s">
        <v>7365</v>
      </c>
      <c r="BM795" t="s">
        <v>14321</v>
      </c>
      <c r="BN795" t="s">
        <v>74</v>
      </c>
      <c r="BO795" t="s">
        <v>74</v>
      </c>
      <c r="BP795" t="s">
        <v>74</v>
      </c>
      <c r="BQ795" t="s">
        <v>74</v>
      </c>
      <c r="BR795" t="s">
        <v>106</v>
      </c>
      <c r="BS795" t="s">
        <v>15182</v>
      </c>
      <c r="BT795" t="str">
        <f>HYPERLINK("https%3A%2F%2Fwww.webofscience.com%2Fwos%2Fwoscc%2Ffull-record%2FWOS:000372521000005","View Full Record in Web of Science")</f>
        <v>View Full Record in Web of Science</v>
      </c>
    </row>
    <row r="796" spans="1:72" x14ac:dyDescent="0.15">
      <c r="A796" t="s">
        <v>72</v>
      </c>
      <c r="B796" t="s">
        <v>15183</v>
      </c>
      <c r="C796" t="s">
        <v>74</v>
      </c>
      <c r="D796" t="s">
        <v>74</v>
      </c>
      <c r="E796" t="s">
        <v>74</v>
      </c>
      <c r="F796" t="s">
        <v>15184</v>
      </c>
      <c r="G796" t="s">
        <v>74</v>
      </c>
      <c r="H796" t="s">
        <v>74</v>
      </c>
      <c r="I796" t="s">
        <v>15185</v>
      </c>
      <c r="J796" t="s">
        <v>10646</v>
      </c>
      <c r="K796" t="s">
        <v>74</v>
      </c>
      <c r="L796" t="s">
        <v>74</v>
      </c>
      <c r="M796" t="s">
        <v>78</v>
      </c>
      <c r="N796" t="s">
        <v>949</v>
      </c>
      <c r="O796" t="s">
        <v>74</v>
      </c>
      <c r="P796" t="s">
        <v>74</v>
      </c>
      <c r="Q796" t="s">
        <v>74</v>
      </c>
      <c r="R796" t="s">
        <v>74</v>
      </c>
      <c r="S796" t="s">
        <v>74</v>
      </c>
      <c r="T796" t="s">
        <v>74</v>
      </c>
      <c r="U796" t="s">
        <v>15186</v>
      </c>
      <c r="V796" t="s">
        <v>15187</v>
      </c>
      <c r="W796" t="s">
        <v>15188</v>
      </c>
      <c r="X796" t="s">
        <v>7124</v>
      </c>
      <c r="Y796" t="s">
        <v>15189</v>
      </c>
      <c r="Z796" t="s">
        <v>7906</v>
      </c>
      <c r="AA796" t="s">
        <v>15190</v>
      </c>
      <c r="AB796" t="s">
        <v>15191</v>
      </c>
      <c r="AC796" t="s">
        <v>15192</v>
      </c>
      <c r="AD796" t="s">
        <v>15193</v>
      </c>
      <c r="AE796" t="s">
        <v>15194</v>
      </c>
      <c r="AF796" t="s">
        <v>74</v>
      </c>
      <c r="AG796">
        <v>86</v>
      </c>
      <c r="AH796">
        <v>63</v>
      </c>
      <c r="AI796">
        <v>71</v>
      </c>
      <c r="AJ796">
        <v>5</v>
      </c>
      <c r="AK796">
        <v>123</v>
      </c>
      <c r="AL796" t="s">
        <v>4122</v>
      </c>
      <c r="AM796" t="s">
        <v>93</v>
      </c>
      <c r="AN796" t="s">
        <v>4123</v>
      </c>
      <c r="AO796" t="s">
        <v>10658</v>
      </c>
      <c r="AP796" t="s">
        <v>10659</v>
      </c>
      <c r="AQ796" t="s">
        <v>74</v>
      </c>
      <c r="AR796" t="s">
        <v>10660</v>
      </c>
      <c r="AS796" t="s">
        <v>10661</v>
      </c>
      <c r="AT796" t="s">
        <v>14027</v>
      </c>
      <c r="AU796">
        <v>2016</v>
      </c>
      <c r="AV796">
        <v>82</v>
      </c>
      <c r="AW796">
        <v>3</v>
      </c>
      <c r="AX796" t="s">
        <v>74</v>
      </c>
      <c r="AY796" t="s">
        <v>74</v>
      </c>
      <c r="AZ796" t="s">
        <v>74</v>
      </c>
      <c r="BA796" t="s">
        <v>74</v>
      </c>
      <c r="BB796">
        <v>770</v>
      </c>
      <c r="BC796">
        <v>777</v>
      </c>
      <c r="BD796" t="s">
        <v>74</v>
      </c>
      <c r="BE796" t="s">
        <v>15195</v>
      </c>
      <c r="BF796" t="str">
        <f>HYPERLINK("http://dx.doi.org/10.1128/AEM.02651-15","http://dx.doi.org/10.1128/AEM.02651-15")</f>
        <v>http://dx.doi.org/10.1128/AEM.02651-15</v>
      </c>
      <c r="BG796" t="s">
        <v>74</v>
      </c>
      <c r="BH796" t="s">
        <v>74</v>
      </c>
      <c r="BI796">
        <v>8</v>
      </c>
      <c r="BJ796" t="s">
        <v>10663</v>
      </c>
      <c r="BK796" t="s">
        <v>102</v>
      </c>
      <c r="BL796" t="s">
        <v>10663</v>
      </c>
      <c r="BM796" t="s">
        <v>15196</v>
      </c>
      <c r="BN796">
        <v>26590289</v>
      </c>
      <c r="BO796" t="s">
        <v>1703</v>
      </c>
      <c r="BP796" t="s">
        <v>74</v>
      </c>
      <c r="BQ796" t="s">
        <v>74</v>
      </c>
      <c r="BR796" t="s">
        <v>106</v>
      </c>
      <c r="BS796" t="s">
        <v>15197</v>
      </c>
      <c r="BT796" t="str">
        <f>HYPERLINK("https%3A%2F%2Fwww.webofscience.com%2Fwos%2Fwoscc%2Ffull-record%2FWOS:000369373800001","View Full Record in Web of Science")</f>
        <v>View Full Record in Web of Science</v>
      </c>
    </row>
    <row r="797" spans="1:72" x14ac:dyDescent="0.15">
      <c r="A797" t="s">
        <v>72</v>
      </c>
      <c r="B797" t="s">
        <v>7728</v>
      </c>
      <c r="C797" t="s">
        <v>74</v>
      </c>
      <c r="D797" t="s">
        <v>74</v>
      </c>
      <c r="E797" t="s">
        <v>74</v>
      </c>
      <c r="F797" t="s">
        <v>7729</v>
      </c>
      <c r="G797" t="s">
        <v>74</v>
      </c>
      <c r="H797" t="s">
        <v>74</v>
      </c>
      <c r="I797" t="s">
        <v>15198</v>
      </c>
      <c r="J797" t="s">
        <v>7731</v>
      </c>
      <c r="K797" t="s">
        <v>74</v>
      </c>
      <c r="L797" t="s">
        <v>74</v>
      </c>
      <c r="M797" t="s">
        <v>78</v>
      </c>
      <c r="N797" t="s">
        <v>79</v>
      </c>
      <c r="O797" t="s">
        <v>74</v>
      </c>
      <c r="P797" t="s">
        <v>74</v>
      </c>
      <c r="Q797" t="s">
        <v>74</v>
      </c>
      <c r="R797" t="s">
        <v>74</v>
      </c>
      <c r="S797" t="s">
        <v>74</v>
      </c>
      <c r="T797" t="s">
        <v>15199</v>
      </c>
      <c r="U797" t="s">
        <v>15200</v>
      </c>
      <c r="V797" t="s">
        <v>15201</v>
      </c>
      <c r="W797" t="s">
        <v>15202</v>
      </c>
      <c r="X797" t="s">
        <v>1057</v>
      </c>
      <c r="Y797" t="s">
        <v>15203</v>
      </c>
      <c r="Z797" t="s">
        <v>7735</v>
      </c>
      <c r="AA797" t="s">
        <v>74</v>
      </c>
      <c r="AB797" t="s">
        <v>7736</v>
      </c>
      <c r="AC797" t="s">
        <v>15204</v>
      </c>
      <c r="AD797" t="s">
        <v>15204</v>
      </c>
      <c r="AE797" t="s">
        <v>15205</v>
      </c>
      <c r="AF797" t="s">
        <v>74</v>
      </c>
      <c r="AG797">
        <v>32</v>
      </c>
      <c r="AH797">
        <v>11</v>
      </c>
      <c r="AI797">
        <v>11</v>
      </c>
      <c r="AJ797">
        <v>0</v>
      </c>
      <c r="AK797">
        <v>35</v>
      </c>
      <c r="AL797" t="s">
        <v>721</v>
      </c>
      <c r="AM797" t="s">
        <v>125</v>
      </c>
      <c r="AN797" t="s">
        <v>126</v>
      </c>
      <c r="AO797" t="s">
        <v>7737</v>
      </c>
      <c r="AP797" t="s">
        <v>7738</v>
      </c>
      <c r="AQ797" t="s">
        <v>74</v>
      </c>
      <c r="AR797" t="s">
        <v>7739</v>
      </c>
      <c r="AS797" t="s">
        <v>7740</v>
      </c>
      <c r="AT797" t="s">
        <v>14027</v>
      </c>
      <c r="AU797">
        <v>2016</v>
      </c>
      <c r="AV797">
        <v>26</v>
      </c>
      <c r="AW797">
        <v>1</v>
      </c>
      <c r="AX797" t="s">
        <v>74</v>
      </c>
      <c r="AY797" t="s">
        <v>74</v>
      </c>
      <c r="AZ797" t="s">
        <v>74</v>
      </c>
      <c r="BA797" t="s">
        <v>74</v>
      </c>
      <c r="BB797">
        <v>121</v>
      </c>
      <c r="BC797">
        <v>133</v>
      </c>
      <c r="BD797" t="s">
        <v>74</v>
      </c>
      <c r="BE797" t="s">
        <v>15206</v>
      </c>
      <c r="BF797" t="str">
        <f>HYPERLINK("http://dx.doi.org/10.1002/aqc.2524","http://dx.doi.org/10.1002/aqc.2524")</f>
        <v>http://dx.doi.org/10.1002/aqc.2524</v>
      </c>
      <c r="BG797" t="s">
        <v>74</v>
      </c>
      <c r="BH797" t="s">
        <v>74</v>
      </c>
      <c r="BI797">
        <v>13</v>
      </c>
      <c r="BJ797" t="s">
        <v>7742</v>
      </c>
      <c r="BK797" t="s">
        <v>102</v>
      </c>
      <c r="BL797" t="s">
        <v>7743</v>
      </c>
      <c r="BM797" t="s">
        <v>15207</v>
      </c>
      <c r="BN797" t="s">
        <v>74</v>
      </c>
      <c r="BO797" t="s">
        <v>74</v>
      </c>
      <c r="BP797" t="s">
        <v>74</v>
      </c>
      <c r="BQ797" t="s">
        <v>74</v>
      </c>
      <c r="BR797" t="s">
        <v>106</v>
      </c>
      <c r="BS797" t="s">
        <v>15208</v>
      </c>
      <c r="BT797" t="str">
        <f>HYPERLINK("https%3A%2F%2Fwww.webofscience.com%2Fwos%2Fwoscc%2Ffull-record%2FWOS:000369005100010","View Full Record in Web of Science")</f>
        <v>View Full Record in Web of Science</v>
      </c>
    </row>
    <row r="798" spans="1:72" x14ac:dyDescent="0.15">
      <c r="A798" t="s">
        <v>72</v>
      </c>
      <c r="B798" t="s">
        <v>15209</v>
      </c>
      <c r="C798" t="s">
        <v>74</v>
      </c>
      <c r="D798" t="s">
        <v>74</v>
      </c>
      <c r="E798" t="s">
        <v>74</v>
      </c>
      <c r="F798" t="s">
        <v>15210</v>
      </c>
      <c r="G798" t="s">
        <v>74</v>
      </c>
      <c r="H798" t="s">
        <v>74</v>
      </c>
      <c r="I798" t="s">
        <v>15211</v>
      </c>
      <c r="J798" t="s">
        <v>2842</v>
      </c>
      <c r="K798" t="s">
        <v>74</v>
      </c>
      <c r="L798" t="s">
        <v>74</v>
      </c>
      <c r="M798" t="s">
        <v>78</v>
      </c>
      <c r="N798" t="s">
        <v>79</v>
      </c>
      <c r="O798" t="s">
        <v>74</v>
      </c>
      <c r="P798" t="s">
        <v>74</v>
      </c>
      <c r="Q798" t="s">
        <v>74</v>
      </c>
      <c r="R798" t="s">
        <v>74</v>
      </c>
      <c r="S798" t="s">
        <v>74</v>
      </c>
      <c r="T798" t="s">
        <v>74</v>
      </c>
      <c r="U798" t="s">
        <v>15212</v>
      </c>
      <c r="V798" t="s">
        <v>15213</v>
      </c>
      <c r="W798" t="s">
        <v>15214</v>
      </c>
      <c r="X798" t="s">
        <v>15215</v>
      </c>
      <c r="Y798" t="s">
        <v>15216</v>
      </c>
      <c r="Z798" t="s">
        <v>15217</v>
      </c>
      <c r="AA798" t="s">
        <v>15218</v>
      </c>
      <c r="AB798" t="s">
        <v>15219</v>
      </c>
      <c r="AC798" t="s">
        <v>15220</v>
      </c>
      <c r="AD798" t="s">
        <v>15221</v>
      </c>
      <c r="AE798" t="s">
        <v>15222</v>
      </c>
      <c r="AF798" t="s">
        <v>74</v>
      </c>
      <c r="AG798">
        <v>41</v>
      </c>
      <c r="AH798">
        <v>10</v>
      </c>
      <c r="AI798">
        <v>11</v>
      </c>
      <c r="AJ798">
        <v>3</v>
      </c>
      <c r="AK798">
        <v>47</v>
      </c>
      <c r="AL798" t="s">
        <v>2874</v>
      </c>
      <c r="AM798" t="s">
        <v>2233</v>
      </c>
      <c r="AN798" t="s">
        <v>2875</v>
      </c>
      <c r="AO798" t="s">
        <v>2852</v>
      </c>
      <c r="AP798" t="s">
        <v>2853</v>
      </c>
      <c r="AQ798" t="s">
        <v>74</v>
      </c>
      <c r="AR798" t="s">
        <v>2854</v>
      </c>
      <c r="AS798" t="s">
        <v>2855</v>
      </c>
      <c r="AT798" t="s">
        <v>14027</v>
      </c>
      <c r="AU798">
        <v>2016</v>
      </c>
      <c r="AV798">
        <v>48</v>
      </c>
      <c r="AW798">
        <v>1</v>
      </c>
      <c r="AX798" t="s">
        <v>74</v>
      </c>
      <c r="AY798" t="s">
        <v>74</v>
      </c>
      <c r="AZ798" t="s">
        <v>74</v>
      </c>
      <c r="BA798" t="s">
        <v>74</v>
      </c>
      <c r="BB798">
        <v>79</v>
      </c>
      <c r="BC798">
        <v>91</v>
      </c>
      <c r="BD798" t="s">
        <v>74</v>
      </c>
      <c r="BE798" t="s">
        <v>15223</v>
      </c>
      <c r="BF798" t="str">
        <f>HYPERLINK("http://dx.doi.org/10.1657/AAAR0014-066","http://dx.doi.org/10.1657/AAAR0014-066")</f>
        <v>http://dx.doi.org/10.1657/AAAR0014-066</v>
      </c>
      <c r="BG798" t="s">
        <v>74</v>
      </c>
      <c r="BH798" t="s">
        <v>74</v>
      </c>
      <c r="BI798">
        <v>13</v>
      </c>
      <c r="BJ798" t="s">
        <v>2857</v>
      </c>
      <c r="BK798" t="s">
        <v>102</v>
      </c>
      <c r="BL798" t="s">
        <v>158</v>
      </c>
      <c r="BM798" t="s">
        <v>14520</v>
      </c>
      <c r="BN798" t="s">
        <v>74</v>
      </c>
      <c r="BO798" t="s">
        <v>293</v>
      </c>
      <c r="BP798" t="s">
        <v>74</v>
      </c>
      <c r="BQ798" t="s">
        <v>74</v>
      </c>
      <c r="BR798" t="s">
        <v>106</v>
      </c>
      <c r="BS798" t="s">
        <v>15224</v>
      </c>
      <c r="BT798" t="str">
        <f>HYPERLINK("https%3A%2F%2Fwww.webofscience.com%2Fwos%2Fwoscc%2Ffull-record%2FWOS:000371322100006","View Full Record in Web of Science")</f>
        <v>View Full Record in Web of Science</v>
      </c>
    </row>
    <row r="799" spans="1:72" x14ac:dyDescent="0.15">
      <c r="A799" t="s">
        <v>72</v>
      </c>
      <c r="B799" t="s">
        <v>15225</v>
      </c>
      <c r="C799" t="s">
        <v>74</v>
      </c>
      <c r="D799" t="s">
        <v>74</v>
      </c>
      <c r="E799" t="s">
        <v>74</v>
      </c>
      <c r="F799" t="s">
        <v>15226</v>
      </c>
      <c r="G799" t="s">
        <v>74</v>
      </c>
      <c r="H799" t="s">
        <v>74</v>
      </c>
      <c r="I799" t="s">
        <v>15227</v>
      </c>
      <c r="J799" t="s">
        <v>2842</v>
      </c>
      <c r="K799" t="s">
        <v>74</v>
      </c>
      <c r="L799" t="s">
        <v>74</v>
      </c>
      <c r="M799" t="s">
        <v>78</v>
      </c>
      <c r="N799" t="s">
        <v>79</v>
      </c>
      <c r="O799" t="s">
        <v>74</v>
      </c>
      <c r="P799" t="s">
        <v>74</v>
      </c>
      <c r="Q799" t="s">
        <v>74</v>
      </c>
      <c r="R799" t="s">
        <v>74</v>
      </c>
      <c r="S799" t="s">
        <v>74</v>
      </c>
      <c r="T799" t="s">
        <v>74</v>
      </c>
      <c r="U799" t="s">
        <v>15228</v>
      </c>
      <c r="V799" t="s">
        <v>15229</v>
      </c>
      <c r="W799" t="s">
        <v>15230</v>
      </c>
      <c r="X799" t="s">
        <v>15231</v>
      </c>
      <c r="Y799" t="s">
        <v>15232</v>
      </c>
      <c r="Z799" t="s">
        <v>15233</v>
      </c>
      <c r="AA799" t="s">
        <v>15234</v>
      </c>
      <c r="AB799" t="s">
        <v>74</v>
      </c>
      <c r="AC799" t="s">
        <v>15235</v>
      </c>
      <c r="AD799" t="s">
        <v>15235</v>
      </c>
      <c r="AE799" t="s">
        <v>15236</v>
      </c>
      <c r="AF799" t="s">
        <v>74</v>
      </c>
      <c r="AG799">
        <v>29</v>
      </c>
      <c r="AH799">
        <v>11</v>
      </c>
      <c r="AI799">
        <v>13</v>
      </c>
      <c r="AJ799">
        <v>5</v>
      </c>
      <c r="AK799">
        <v>46</v>
      </c>
      <c r="AL799" t="s">
        <v>454</v>
      </c>
      <c r="AM799" t="s">
        <v>455</v>
      </c>
      <c r="AN799" t="s">
        <v>456</v>
      </c>
      <c r="AO799" t="s">
        <v>2852</v>
      </c>
      <c r="AP799" t="s">
        <v>2853</v>
      </c>
      <c r="AQ799" t="s">
        <v>74</v>
      </c>
      <c r="AR799" t="s">
        <v>2854</v>
      </c>
      <c r="AS799" t="s">
        <v>2855</v>
      </c>
      <c r="AT799" t="s">
        <v>14027</v>
      </c>
      <c r="AU799">
        <v>2016</v>
      </c>
      <c r="AV799">
        <v>48</v>
      </c>
      <c r="AW799">
        <v>1</v>
      </c>
      <c r="AX799" t="s">
        <v>74</v>
      </c>
      <c r="AY799" t="s">
        <v>74</v>
      </c>
      <c r="AZ799" t="s">
        <v>74</v>
      </c>
      <c r="BA799" t="s">
        <v>74</v>
      </c>
      <c r="BB799">
        <v>127</v>
      </c>
      <c r="BC799">
        <v>138</v>
      </c>
      <c r="BD799" t="s">
        <v>74</v>
      </c>
      <c r="BE799" t="s">
        <v>15237</v>
      </c>
      <c r="BF799" t="str">
        <f>HYPERLINK("http://dx.doi.org/10.1657/AAAR0015-012","http://dx.doi.org/10.1657/AAAR0015-012")</f>
        <v>http://dx.doi.org/10.1657/AAAR0015-012</v>
      </c>
      <c r="BG799" t="s">
        <v>74</v>
      </c>
      <c r="BH799" t="s">
        <v>74</v>
      </c>
      <c r="BI799">
        <v>12</v>
      </c>
      <c r="BJ799" t="s">
        <v>2857</v>
      </c>
      <c r="BK799" t="s">
        <v>102</v>
      </c>
      <c r="BL799" t="s">
        <v>158</v>
      </c>
      <c r="BM799" t="s">
        <v>14520</v>
      </c>
      <c r="BN799" t="s">
        <v>74</v>
      </c>
      <c r="BO799" t="s">
        <v>842</v>
      </c>
      <c r="BP799" t="s">
        <v>74</v>
      </c>
      <c r="BQ799" t="s">
        <v>74</v>
      </c>
      <c r="BR799" t="s">
        <v>106</v>
      </c>
      <c r="BS799" t="s">
        <v>15238</v>
      </c>
      <c r="BT799" t="str">
        <f>HYPERLINK("https%3A%2F%2Fwww.webofscience.com%2Fwos%2Fwoscc%2Ffull-record%2FWOS:000371322100009","View Full Record in Web of Science")</f>
        <v>View Full Record in Web of Science</v>
      </c>
    </row>
    <row r="800" spans="1:72" x14ac:dyDescent="0.15">
      <c r="A800" t="s">
        <v>72</v>
      </c>
      <c r="B800" t="s">
        <v>15239</v>
      </c>
      <c r="C800" t="s">
        <v>74</v>
      </c>
      <c r="D800" t="s">
        <v>74</v>
      </c>
      <c r="E800" t="s">
        <v>74</v>
      </c>
      <c r="F800" t="s">
        <v>15240</v>
      </c>
      <c r="G800" t="s">
        <v>74</v>
      </c>
      <c r="H800" t="s">
        <v>74</v>
      </c>
      <c r="I800" t="s">
        <v>15241</v>
      </c>
      <c r="J800" t="s">
        <v>2842</v>
      </c>
      <c r="K800" t="s">
        <v>74</v>
      </c>
      <c r="L800" t="s">
        <v>74</v>
      </c>
      <c r="M800" t="s">
        <v>78</v>
      </c>
      <c r="N800" t="s">
        <v>79</v>
      </c>
      <c r="O800" t="s">
        <v>74</v>
      </c>
      <c r="P800" t="s">
        <v>74</v>
      </c>
      <c r="Q800" t="s">
        <v>74</v>
      </c>
      <c r="R800" t="s">
        <v>74</v>
      </c>
      <c r="S800" t="s">
        <v>74</v>
      </c>
      <c r="T800" t="s">
        <v>74</v>
      </c>
      <c r="U800" t="s">
        <v>15242</v>
      </c>
      <c r="V800" t="s">
        <v>15243</v>
      </c>
      <c r="W800" t="s">
        <v>15244</v>
      </c>
      <c r="X800" t="s">
        <v>15245</v>
      </c>
      <c r="Y800" t="s">
        <v>15246</v>
      </c>
      <c r="Z800" t="s">
        <v>15247</v>
      </c>
      <c r="AA800" t="s">
        <v>15248</v>
      </c>
      <c r="AB800" t="s">
        <v>74</v>
      </c>
      <c r="AC800" t="s">
        <v>15249</v>
      </c>
      <c r="AD800" t="s">
        <v>15250</v>
      </c>
      <c r="AE800" t="s">
        <v>15251</v>
      </c>
      <c r="AF800" t="s">
        <v>74</v>
      </c>
      <c r="AG800">
        <v>74</v>
      </c>
      <c r="AH800">
        <v>26</v>
      </c>
      <c r="AI800">
        <v>30</v>
      </c>
      <c r="AJ800">
        <v>0</v>
      </c>
      <c r="AK800">
        <v>55</v>
      </c>
      <c r="AL800" t="s">
        <v>454</v>
      </c>
      <c r="AM800" t="s">
        <v>455</v>
      </c>
      <c r="AN800" t="s">
        <v>456</v>
      </c>
      <c r="AO800" t="s">
        <v>2852</v>
      </c>
      <c r="AP800" t="s">
        <v>2853</v>
      </c>
      <c r="AQ800" t="s">
        <v>74</v>
      </c>
      <c r="AR800" t="s">
        <v>2854</v>
      </c>
      <c r="AS800" t="s">
        <v>2855</v>
      </c>
      <c r="AT800" t="s">
        <v>14027</v>
      </c>
      <c r="AU800">
        <v>2016</v>
      </c>
      <c r="AV800">
        <v>48</v>
      </c>
      <c r="AW800">
        <v>1</v>
      </c>
      <c r="AX800" t="s">
        <v>74</v>
      </c>
      <c r="AY800" t="s">
        <v>74</v>
      </c>
      <c r="AZ800" t="s">
        <v>74</v>
      </c>
      <c r="BA800" t="s">
        <v>74</v>
      </c>
      <c r="BB800">
        <v>139</v>
      </c>
      <c r="BC800">
        <v>159</v>
      </c>
      <c r="BD800" t="s">
        <v>74</v>
      </c>
      <c r="BE800" t="s">
        <v>15252</v>
      </c>
      <c r="BF800" t="str">
        <f>HYPERLINK("http://dx.doi.org/10.1657/AAAR0015-003","http://dx.doi.org/10.1657/AAAR0015-003")</f>
        <v>http://dx.doi.org/10.1657/AAAR0015-003</v>
      </c>
      <c r="BG800" t="s">
        <v>74</v>
      </c>
      <c r="BH800" t="s">
        <v>74</v>
      </c>
      <c r="BI800">
        <v>21</v>
      </c>
      <c r="BJ800" t="s">
        <v>2857</v>
      </c>
      <c r="BK800" t="s">
        <v>102</v>
      </c>
      <c r="BL800" t="s">
        <v>158</v>
      </c>
      <c r="BM800" t="s">
        <v>14520</v>
      </c>
      <c r="BN800" t="s">
        <v>74</v>
      </c>
      <c r="BO800" t="s">
        <v>1191</v>
      </c>
      <c r="BP800" t="s">
        <v>74</v>
      </c>
      <c r="BQ800" t="s">
        <v>74</v>
      </c>
      <c r="BR800" t="s">
        <v>106</v>
      </c>
      <c r="BS800" t="s">
        <v>15253</v>
      </c>
      <c r="BT800" t="str">
        <f>HYPERLINK("https%3A%2F%2Fwww.webofscience.com%2Fwos%2Fwoscc%2Ffull-record%2FWOS:000371322100010","View Full Record in Web of Science")</f>
        <v>View Full Record in Web of Science</v>
      </c>
    </row>
    <row r="801" spans="1:72" x14ac:dyDescent="0.15">
      <c r="A801" t="s">
        <v>72</v>
      </c>
      <c r="B801" t="s">
        <v>15254</v>
      </c>
      <c r="C801" t="s">
        <v>74</v>
      </c>
      <c r="D801" t="s">
        <v>74</v>
      </c>
      <c r="E801" t="s">
        <v>74</v>
      </c>
      <c r="F801" t="s">
        <v>15255</v>
      </c>
      <c r="G801" t="s">
        <v>74</v>
      </c>
      <c r="H801" t="s">
        <v>74</v>
      </c>
      <c r="I801" t="s">
        <v>15256</v>
      </c>
      <c r="J801" t="s">
        <v>2842</v>
      </c>
      <c r="K801" t="s">
        <v>74</v>
      </c>
      <c r="L801" t="s">
        <v>74</v>
      </c>
      <c r="M801" t="s">
        <v>78</v>
      </c>
      <c r="N801" t="s">
        <v>79</v>
      </c>
      <c r="O801" t="s">
        <v>74</v>
      </c>
      <c r="P801" t="s">
        <v>74</v>
      </c>
      <c r="Q801" t="s">
        <v>74</v>
      </c>
      <c r="R801" t="s">
        <v>74</v>
      </c>
      <c r="S801" t="s">
        <v>74</v>
      </c>
      <c r="T801" t="s">
        <v>74</v>
      </c>
      <c r="U801" t="s">
        <v>15257</v>
      </c>
      <c r="V801" t="s">
        <v>15258</v>
      </c>
      <c r="W801" t="s">
        <v>15259</v>
      </c>
      <c r="X801" t="s">
        <v>15260</v>
      </c>
      <c r="Y801" t="s">
        <v>15261</v>
      </c>
      <c r="Z801" t="s">
        <v>15262</v>
      </c>
      <c r="AA801" t="s">
        <v>15263</v>
      </c>
      <c r="AB801" t="s">
        <v>15264</v>
      </c>
      <c r="AC801" t="s">
        <v>15265</v>
      </c>
      <c r="AD801" t="s">
        <v>10387</v>
      </c>
      <c r="AE801" t="s">
        <v>15266</v>
      </c>
      <c r="AF801" t="s">
        <v>74</v>
      </c>
      <c r="AG801">
        <v>46</v>
      </c>
      <c r="AH801">
        <v>15</v>
      </c>
      <c r="AI801">
        <v>15</v>
      </c>
      <c r="AJ801">
        <v>1</v>
      </c>
      <c r="AK801">
        <v>27</v>
      </c>
      <c r="AL801" t="s">
        <v>454</v>
      </c>
      <c r="AM801" t="s">
        <v>455</v>
      </c>
      <c r="AN801" t="s">
        <v>456</v>
      </c>
      <c r="AO801" t="s">
        <v>2852</v>
      </c>
      <c r="AP801" t="s">
        <v>2853</v>
      </c>
      <c r="AQ801" t="s">
        <v>74</v>
      </c>
      <c r="AR801" t="s">
        <v>2854</v>
      </c>
      <c r="AS801" t="s">
        <v>2855</v>
      </c>
      <c r="AT801" t="s">
        <v>14027</v>
      </c>
      <c r="AU801">
        <v>2016</v>
      </c>
      <c r="AV801">
        <v>48</v>
      </c>
      <c r="AW801">
        <v>1</v>
      </c>
      <c r="AX801" t="s">
        <v>74</v>
      </c>
      <c r="AY801" t="s">
        <v>74</v>
      </c>
      <c r="AZ801" t="s">
        <v>74</v>
      </c>
      <c r="BA801" t="s">
        <v>74</v>
      </c>
      <c r="BB801">
        <v>199</v>
      </c>
      <c r="BC801">
        <v>211</v>
      </c>
      <c r="BD801" t="s">
        <v>74</v>
      </c>
      <c r="BE801" t="s">
        <v>15267</v>
      </c>
      <c r="BF801" t="str">
        <f>HYPERLINK("http://dx.doi.org/10.1657/AAAR0015-042","http://dx.doi.org/10.1657/AAAR0015-042")</f>
        <v>http://dx.doi.org/10.1657/AAAR0015-042</v>
      </c>
      <c r="BG801" t="s">
        <v>74</v>
      </c>
      <c r="BH801" t="s">
        <v>74</v>
      </c>
      <c r="BI801">
        <v>13</v>
      </c>
      <c r="BJ801" t="s">
        <v>2857</v>
      </c>
      <c r="BK801" t="s">
        <v>102</v>
      </c>
      <c r="BL801" t="s">
        <v>158</v>
      </c>
      <c r="BM801" t="s">
        <v>14520</v>
      </c>
      <c r="BN801" t="s">
        <v>74</v>
      </c>
      <c r="BO801" t="s">
        <v>842</v>
      </c>
      <c r="BP801" t="s">
        <v>74</v>
      </c>
      <c r="BQ801" t="s">
        <v>74</v>
      </c>
      <c r="BR801" t="s">
        <v>106</v>
      </c>
      <c r="BS801" t="s">
        <v>15268</v>
      </c>
      <c r="BT801" t="str">
        <f>HYPERLINK("https%3A%2F%2Fwww.webofscience.com%2Fwos%2Fwoscc%2Ffull-record%2FWOS:000371322100013","View Full Record in Web of Science")</f>
        <v>View Full Record in Web of Science</v>
      </c>
    </row>
    <row r="802" spans="1:72" x14ac:dyDescent="0.15">
      <c r="A802" t="s">
        <v>72</v>
      </c>
      <c r="B802" t="s">
        <v>15269</v>
      </c>
      <c r="C802" t="s">
        <v>74</v>
      </c>
      <c r="D802" t="s">
        <v>74</v>
      </c>
      <c r="E802" t="s">
        <v>74</v>
      </c>
      <c r="F802" t="s">
        <v>15270</v>
      </c>
      <c r="G802" t="s">
        <v>74</v>
      </c>
      <c r="H802" t="s">
        <v>74</v>
      </c>
      <c r="I802" t="s">
        <v>15271</v>
      </c>
      <c r="J802" t="s">
        <v>7790</v>
      </c>
      <c r="K802" t="s">
        <v>74</v>
      </c>
      <c r="L802" t="s">
        <v>74</v>
      </c>
      <c r="M802" t="s">
        <v>78</v>
      </c>
      <c r="N802" t="s">
        <v>79</v>
      </c>
      <c r="O802" t="s">
        <v>74</v>
      </c>
      <c r="P802" t="s">
        <v>74</v>
      </c>
      <c r="Q802" t="s">
        <v>74</v>
      </c>
      <c r="R802" t="s">
        <v>74</v>
      </c>
      <c r="S802" t="s">
        <v>74</v>
      </c>
      <c r="T802" t="s">
        <v>74</v>
      </c>
      <c r="U802" t="s">
        <v>74</v>
      </c>
      <c r="V802" t="s">
        <v>74</v>
      </c>
      <c r="W802" t="s">
        <v>15272</v>
      </c>
      <c r="X802" t="s">
        <v>15273</v>
      </c>
      <c r="Y802" t="s">
        <v>15274</v>
      </c>
      <c r="Z802" t="s">
        <v>15275</v>
      </c>
      <c r="AA802" t="s">
        <v>15276</v>
      </c>
      <c r="AB802" t="s">
        <v>15277</v>
      </c>
      <c r="AC802" t="s">
        <v>15278</v>
      </c>
      <c r="AD802" t="s">
        <v>15279</v>
      </c>
      <c r="AE802" t="s">
        <v>15280</v>
      </c>
      <c r="AF802" t="s">
        <v>74</v>
      </c>
      <c r="AG802">
        <v>2</v>
      </c>
      <c r="AH802">
        <v>6</v>
      </c>
      <c r="AI802">
        <v>6</v>
      </c>
      <c r="AJ802">
        <v>0</v>
      </c>
      <c r="AK802">
        <v>18</v>
      </c>
      <c r="AL802" t="s">
        <v>511</v>
      </c>
      <c r="AM802" t="s">
        <v>512</v>
      </c>
      <c r="AN802" t="s">
        <v>513</v>
      </c>
      <c r="AO802" t="s">
        <v>7797</v>
      </c>
      <c r="AP802" t="s">
        <v>7798</v>
      </c>
      <c r="AQ802" t="s">
        <v>74</v>
      </c>
      <c r="AR802" t="s">
        <v>7799</v>
      </c>
      <c r="AS802" t="s">
        <v>7800</v>
      </c>
      <c r="AT802" t="s">
        <v>14027</v>
      </c>
      <c r="AU802">
        <v>2016</v>
      </c>
      <c r="AV802">
        <v>97</v>
      </c>
      <c r="AW802">
        <v>2</v>
      </c>
      <c r="AX802" t="s">
        <v>74</v>
      </c>
      <c r="AY802" t="s">
        <v>74</v>
      </c>
      <c r="AZ802" t="s">
        <v>74</v>
      </c>
      <c r="BA802" t="s">
        <v>74</v>
      </c>
      <c r="BB802" t="s">
        <v>15281</v>
      </c>
      <c r="BC802" t="s">
        <v>15282</v>
      </c>
      <c r="BD802" t="s">
        <v>74</v>
      </c>
      <c r="BE802" t="s">
        <v>15283</v>
      </c>
      <c r="BF802" t="str">
        <f>HYPERLINK("http://dx.doi.org/10.1175/BAMS-D-15-00108.1","http://dx.doi.org/10.1175/BAMS-D-15-00108.1")</f>
        <v>http://dx.doi.org/10.1175/BAMS-D-15-00108.1</v>
      </c>
      <c r="BG802" t="s">
        <v>74</v>
      </c>
      <c r="BH802" t="s">
        <v>74</v>
      </c>
      <c r="BI802">
        <v>4</v>
      </c>
      <c r="BJ802" t="s">
        <v>1726</v>
      </c>
      <c r="BK802" t="s">
        <v>102</v>
      </c>
      <c r="BL802" t="s">
        <v>1726</v>
      </c>
      <c r="BM802" t="s">
        <v>15284</v>
      </c>
      <c r="BN802" t="s">
        <v>74</v>
      </c>
      <c r="BO802" t="s">
        <v>10943</v>
      </c>
      <c r="BP802" t="s">
        <v>74</v>
      </c>
      <c r="BQ802" t="s">
        <v>74</v>
      </c>
      <c r="BR802" t="s">
        <v>106</v>
      </c>
      <c r="BS802" t="s">
        <v>15285</v>
      </c>
      <c r="BT802" t="str">
        <f>HYPERLINK("https%3A%2F%2Fwww.webofscience.com%2Fwos%2Fwoscc%2Ffull-record%2FWOS:000371855800001","View Full Record in Web of Science")</f>
        <v>View Full Record in Web of Science</v>
      </c>
    </row>
    <row r="803" spans="1:72" x14ac:dyDescent="0.15">
      <c r="A803" t="s">
        <v>72</v>
      </c>
      <c r="B803" t="s">
        <v>15286</v>
      </c>
      <c r="C803" t="s">
        <v>74</v>
      </c>
      <c r="D803" t="s">
        <v>74</v>
      </c>
      <c r="E803" t="s">
        <v>74</v>
      </c>
      <c r="F803" t="s">
        <v>15287</v>
      </c>
      <c r="G803" t="s">
        <v>74</v>
      </c>
      <c r="H803" t="s">
        <v>74</v>
      </c>
      <c r="I803" t="s">
        <v>15288</v>
      </c>
      <c r="J803" t="s">
        <v>15289</v>
      </c>
      <c r="K803" t="s">
        <v>74</v>
      </c>
      <c r="L803" t="s">
        <v>74</v>
      </c>
      <c r="M803" t="s">
        <v>78</v>
      </c>
      <c r="N803" t="s">
        <v>79</v>
      </c>
      <c r="O803" t="s">
        <v>74</v>
      </c>
      <c r="P803" t="s">
        <v>74</v>
      </c>
      <c r="Q803" t="s">
        <v>74</v>
      </c>
      <c r="R803" t="s">
        <v>74</v>
      </c>
      <c r="S803" t="s">
        <v>74</v>
      </c>
      <c r="T803" t="s">
        <v>74</v>
      </c>
      <c r="U803" t="s">
        <v>15290</v>
      </c>
      <c r="V803" t="s">
        <v>15291</v>
      </c>
      <c r="W803" t="s">
        <v>15292</v>
      </c>
      <c r="X803" t="s">
        <v>15293</v>
      </c>
      <c r="Y803" t="s">
        <v>15294</v>
      </c>
      <c r="Z803" t="s">
        <v>15295</v>
      </c>
      <c r="AA803" t="s">
        <v>15296</v>
      </c>
      <c r="AB803" t="s">
        <v>15297</v>
      </c>
      <c r="AC803" t="s">
        <v>15298</v>
      </c>
      <c r="AD803" t="s">
        <v>15299</v>
      </c>
      <c r="AE803" t="s">
        <v>15300</v>
      </c>
      <c r="AF803" t="s">
        <v>74</v>
      </c>
      <c r="AG803">
        <v>49</v>
      </c>
      <c r="AH803">
        <v>71</v>
      </c>
      <c r="AI803">
        <v>73</v>
      </c>
      <c r="AJ803">
        <v>2</v>
      </c>
      <c r="AK803">
        <v>68</v>
      </c>
      <c r="AL803" t="s">
        <v>194</v>
      </c>
      <c r="AM803" t="s">
        <v>195</v>
      </c>
      <c r="AN803" t="s">
        <v>196</v>
      </c>
      <c r="AO803" t="s">
        <v>15301</v>
      </c>
      <c r="AP803" t="s">
        <v>15302</v>
      </c>
      <c r="AQ803" t="s">
        <v>74</v>
      </c>
      <c r="AR803" t="s">
        <v>15289</v>
      </c>
      <c r="AS803" t="s">
        <v>15303</v>
      </c>
      <c r="AT803" t="s">
        <v>14027</v>
      </c>
      <c r="AU803">
        <v>2016</v>
      </c>
      <c r="AV803">
        <v>134</v>
      </c>
      <c r="AW803">
        <v>4</v>
      </c>
      <c r="AX803" t="s">
        <v>74</v>
      </c>
      <c r="AY803" t="s">
        <v>74</v>
      </c>
      <c r="AZ803" t="s">
        <v>74</v>
      </c>
      <c r="BA803" t="s">
        <v>74</v>
      </c>
      <c r="BB803">
        <v>651</v>
      </c>
      <c r="BC803">
        <v>665</v>
      </c>
      <c r="BD803" t="s">
        <v>74</v>
      </c>
      <c r="BE803" t="s">
        <v>15304</v>
      </c>
      <c r="BF803" t="str">
        <f>HYPERLINK("http://dx.doi.org/10.1007/s10584-015-1551-7","http://dx.doi.org/10.1007/s10584-015-1551-7")</f>
        <v>http://dx.doi.org/10.1007/s10584-015-1551-7</v>
      </c>
      <c r="BG803" t="s">
        <v>74</v>
      </c>
      <c r="BH803" t="s">
        <v>74</v>
      </c>
      <c r="BI803">
        <v>15</v>
      </c>
      <c r="BJ803" t="s">
        <v>5371</v>
      </c>
      <c r="BK803" t="s">
        <v>102</v>
      </c>
      <c r="BL803" t="s">
        <v>4674</v>
      </c>
      <c r="BM803" t="s">
        <v>15305</v>
      </c>
      <c r="BN803" t="s">
        <v>74</v>
      </c>
      <c r="BO803" t="s">
        <v>9156</v>
      </c>
      <c r="BP803" t="s">
        <v>74</v>
      </c>
      <c r="BQ803" t="s">
        <v>74</v>
      </c>
      <c r="BR803" t="s">
        <v>106</v>
      </c>
      <c r="BS803" t="s">
        <v>15306</v>
      </c>
      <c r="BT803" t="str">
        <f>HYPERLINK("https%3A%2F%2Fwww.webofscience.com%2Fwos%2Fwoscc%2Ffull-record%2FWOS:000370807500012","View Full Record in Web of Science")</f>
        <v>View Full Record in Web of Science</v>
      </c>
    </row>
    <row r="804" spans="1:72" x14ac:dyDescent="0.15">
      <c r="A804" t="s">
        <v>72</v>
      </c>
      <c r="B804" t="s">
        <v>15307</v>
      </c>
      <c r="C804" t="s">
        <v>74</v>
      </c>
      <c r="D804" t="s">
        <v>74</v>
      </c>
      <c r="E804" t="s">
        <v>74</v>
      </c>
      <c r="F804" t="s">
        <v>15308</v>
      </c>
      <c r="G804" t="s">
        <v>74</v>
      </c>
      <c r="H804" t="s">
        <v>74</v>
      </c>
      <c r="I804" t="s">
        <v>15309</v>
      </c>
      <c r="J804" t="s">
        <v>15310</v>
      </c>
      <c r="K804" t="s">
        <v>74</v>
      </c>
      <c r="L804" t="s">
        <v>74</v>
      </c>
      <c r="M804" t="s">
        <v>78</v>
      </c>
      <c r="N804" t="s">
        <v>79</v>
      </c>
      <c r="O804" t="s">
        <v>74</v>
      </c>
      <c r="P804" t="s">
        <v>74</v>
      </c>
      <c r="Q804" t="s">
        <v>74</v>
      </c>
      <c r="R804" t="s">
        <v>74</v>
      </c>
      <c r="S804" t="s">
        <v>74</v>
      </c>
      <c r="T804" t="s">
        <v>15311</v>
      </c>
      <c r="U804" t="s">
        <v>15312</v>
      </c>
      <c r="V804" t="s">
        <v>15313</v>
      </c>
      <c r="W804" t="s">
        <v>15314</v>
      </c>
      <c r="X804" t="s">
        <v>145</v>
      </c>
      <c r="Y804" t="s">
        <v>15315</v>
      </c>
      <c r="Z804" t="s">
        <v>15316</v>
      </c>
      <c r="AA804" t="s">
        <v>15317</v>
      </c>
      <c r="AB804" t="s">
        <v>15318</v>
      </c>
      <c r="AC804" t="s">
        <v>15319</v>
      </c>
      <c r="AD804" t="s">
        <v>15320</v>
      </c>
      <c r="AE804" t="s">
        <v>15321</v>
      </c>
      <c r="AF804" t="s">
        <v>74</v>
      </c>
      <c r="AG804">
        <v>37</v>
      </c>
      <c r="AH804">
        <v>35</v>
      </c>
      <c r="AI804">
        <v>37</v>
      </c>
      <c r="AJ804">
        <v>3</v>
      </c>
      <c r="AK804">
        <v>68</v>
      </c>
      <c r="AL804" t="s">
        <v>124</v>
      </c>
      <c r="AM804" t="s">
        <v>125</v>
      </c>
      <c r="AN804" t="s">
        <v>126</v>
      </c>
      <c r="AO804" t="s">
        <v>15322</v>
      </c>
      <c r="AP804" t="s">
        <v>15323</v>
      </c>
      <c r="AQ804" t="s">
        <v>74</v>
      </c>
      <c r="AR804" t="s">
        <v>15324</v>
      </c>
      <c r="AS804" t="s">
        <v>15325</v>
      </c>
      <c r="AT804" t="s">
        <v>14027</v>
      </c>
      <c r="AU804">
        <v>2016</v>
      </c>
      <c r="AV804">
        <v>30</v>
      </c>
      <c r="AW804">
        <v>1</v>
      </c>
      <c r="AX804" t="s">
        <v>74</v>
      </c>
      <c r="AY804" t="s">
        <v>74</v>
      </c>
      <c r="AZ804" t="s">
        <v>74</v>
      </c>
      <c r="BA804" t="s">
        <v>74</v>
      </c>
      <c r="BB804">
        <v>113</v>
      </c>
      <c r="BC804">
        <v>120</v>
      </c>
      <c r="BD804" t="s">
        <v>74</v>
      </c>
      <c r="BE804" t="s">
        <v>15326</v>
      </c>
      <c r="BF804" t="str">
        <f>HYPERLINK("http://dx.doi.org/10.1111/cobi.12592","http://dx.doi.org/10.1111/cobi.12592")</f>
        <v>http://dx.doi.org/10.1111/cobi.12592</v>
      </c>
      <c r="BG804" t="s">
        <v>74</v>
      </c>
      <c r="BH804" t="s">
        <v>74</v>
      </c>
      <c r="BI804">
        <v>8</v>
      </c>
      <c r="BJ804" t="s">
        <v>132</v>
      </c>
      <c r="BK804" t="s">
        <v>102</v>
      </c>
      <c r="BL804" t="s">
        <v>133</v>
      </c>
      <c r="BM804" t="s">
        <v>15327</v>
      </c>
      <c r="BN804">
        <v>26205208</v>
      </c>
      <c r="BO804" t="s">
        <v>203</v>
      </c>
      <c r="BP804" t="s">
        <v>74</v>
      </c>
      <c r="BQ804" t="s">
        <v>74</v>
      </c>
      <c r="BR804" t="s">
        <v>106</v>
      </c>
      <c r="BS804" t="s">
        <v>15328</v>
      </c>
      <c r="BT804" t="str">
        <f>HYPERLINK("https%3A%2F%2Fwww.webofscience.com%2Fwos%2Fwoscc%2Ffull-record%2FWOS:000368938000013","View Full Record in Web of Science")</f>
        <v>View Full Record in Web of Science</v>
      </c>
    </row>
    <row r="805" spans="1:72" x14ac:dyDescent="0.15">
      <c r="A805" t="s">
        <v>72</v>
      </c>
      <c r="B805" t="s">
        <v>15329</v>
      </c>
      <c r="C805" t="s">
        <v>74</v>
      </c>
      <c r="D805" t="s">
        <v>74</v>
      </c>
      <c r="E805" t="s">
        <v>74</v>
      </c>
      <c r="F805" t="s">
        <v>15330</v>
      </c>
      <c r="G805" t="s">
        <v>74</v>
      </c>
      <c r="H805" t="s">
        <v>74</v>
      </c>
      <c r="I805" t="s">
        <v>15331</v>
      </c>
      <c r="J805" t="s">
        <v>15332</v>
      </c>
      <c r="K805" t="s">
        <v>74</v>
      </c>
      <c r="L805" t="s">
        <v>74</v>
      </c>
      <c r="M805" t="s">
        <v>78</v>
      </c>
      <c r="N805" t="s">
        <v>79</v>
      </c>
      <c r="O805" t="s">
        <v>74</v>
      </c>
      <c r="P805" t="s">
        <v>74</v>
      </c>
      <c r="Q805" t="s">
        <v>74</v>
      </c>
      <c r="R805" t="s">
        <v>74</v>
      </c>
      <c r="S805" t="s">
        <v>74</v>
      </c>
      <c r="T805" t="s">
        <v>15333</v>
      </c>
      <c r="U805" t="s">
        <v>15334</v>
      </c>
      <c r="V805" t="s">
        <v>15335</v>
      </c>
      <c r="W805" t="s">
        <v>15336</v>
      </c>
      <c r="X805" t="s">
        <v>15337</v>
      </c>
      <c r="Y805" t="s">
        <v>15338</v>
      </c>
      <c r="Z805" t="s">
        <v>214</v>
      </c>
      <c r="AA805" t="s">
        <v>215</v>
      </c>
      <c r="AB805" t="s">
        <v>216</v>
      </c>
      <c r="AC805" t="s">
        <v>15339</v>
      </c>
      <c r="AD805" t="s">
        <v>218</v>
      </c>
      <c r="AE805" t="s">
        <v>15340</v>
      </c>
      <c r="AF805" t="s">
        <v>74</v>
      </c>
      <c r="AG805">
        <v>23</v>
      </c>
      <c r="AH805">
        <v>54</v>
      </c>
      <c r="AI805">
        <v>59</v>
      </c>
      <c r="AJ805">
        <v>1</v>
      </c>
      <c r="AK805">
        <v>81</v>
      </c>
      <c r="AL805" t="s">
        <v>240</v>
      </c>
      <c r="AM805" t="s">
        <v>241</v>
      </c>
      <c r="AN805" t="s">
        <v>242</v>
      </c>
      <c r="AO805" t="s">
        <v>15341</v>
      </c>
      <c r="AP805" t="s">
        <v>15342</v>
      </c>
      <c r="AQ805" t="s">
        <v>74</v>
      </c>
      <c r="AR805" t="s">
        <v>15332</v>
      </c>
      <c r="AS805" t="s">
        <v>15343</v>
      </c>
      <c r="AT805" t="s">
        <v>14027</v>
      </c>
      <c r="AU805">
        <v>2016</v>
      </c>
      <c r="AV805">
        <v>72</v>
      </c>
      <c r="AW805">
        <v>1</v>
      </c>
      <c r="AX805" t="s">
        <v>74</v>
      </c>
      <c r="AY805" t="s">
        <v>74</v>
      </c>
      <c r="AZ805" t="s">
        <v>74</v>
      </c>
      <c r="BA805" t="s">
        <v>74</v>
      </c>
      <c r="BB805">
        <v>78</v>
      </c>
      <c r="BC805">
        <v>81</v>
      </c>
      <c r="BD805" t="s">
        <v>74</v>
      </c>
      <c r="BE805" t="s">
        <v>15344</v>
      </c>
      <c r="BF805" t="str">
        <f>HYPERLINK("http://dx.doi.org/10.1016/j.cryobiol.2015.12.003","http://dx.doi.org/10.1016/j.cryobiol.2015.12.003")</f>
        <v>http://dx.doi.org/10.1016/j.cryobiol.2015.12.003</v>
      </c>
      <c r="BG805" t="s">
        <v>74</v>
      </c>
      <c r="BH805" t="s">
        <v>74</v>
      </c>
      <c r="BI805">
        <v>4</v>
      </c>
      <c r="BJ805" t="s">
        <v>7534</v>
      </c>
      <c r="BK805" t="s">
        <v>102</v>
      </c>
      <c r="BL805" t="s">
        <v>7535</v>
      </c>
      <c r="BM805" t="s">
        <v>15345</v>
      </c>
      <c r="BN805">
        <v>26724522</v>
      </c>
      <c r="BO805" t="s">
        <v>222</v>
      </c>
      <c r="BP805" t="s">
        <v>74</v>
      </c>
      <c r="BQ805" t="s">
        <v>74</v>
      </c>
      <c r="BR805" t="s">
        <v>106</v>
      </c>
      <c r="BS805" t="s">
        <v>15346</v>
      </c>
      <c r="BT805" t="str">
        <f>HYPERLINK("https%3A%2F%2Fwww.webofscience.com%2Fwos%2Fwoscc%2Ffull-record%2FWOS:000370304000012","View Full Record in Web of Science")</f>
        <v>View Full Record in Web of Science</v>
      </c>
    </row>
    <row r="806" spans="1:72" x14ac:dyDescent="0.15">
      <c r="A806" t="s">
        <v>72</v>
      </c>
      <c r="B806" t="s">
        <v>15347</v>
      </c>
      <c r="C806" t="s">
        <v>74</v>
      </c>
      <c r="D806" t="s">
        <v>74</v>
      </c>
      <c r="E806" t="s">
        <v>74</v>
      </c>
      <c r="F806" t="s">
        <v>15348</v>
      </c>
      <c r="G806" t="s">
        <v>74</v>
      </c>
      <c r="H806" t="s">
        <v>74</v>
      </c>
      <c r="I806" t="s">
        <v>15349</v>
      </c>
      <c r="J806" t="s">
        <v>7934</v>
      </c>
      <c r="K806" t="s">
        <v>74</v>
      </c>
      <c r="L806" t="s">
        <v>74</v>
      </c>
      <c r="M806" t="s">
        <v>78</v>
      </c>
      <c r="N806" t="s">
        <v>79</v>
      </c>
      <c r="O806" t="s">
        <v>74</v>
      </c>
      <c r="P806" t="s">
        <v>74</v>
      </c>
      <c r="Q806" t="s">
        <v>74</v>
      </c>
      <c r="R806" t="s">
        <v>74</v>
      </c>
      <c r="S806" t="s">
        <v>74</v>
      </c>
      <c r="T806" t="s">
        <v>15350</v>
      </c>
      <c r="U806" t="s">
        <v>15351</v>
      </c>
      <c r="V806" t="s">
        <v>15352</v>
      </c>
      <c r="W806" t="s">
        <v>15353</v>
      </c>
      <c r="X806" t="s">
        <v>15354</v>
      </c>
      <c r="Y806" t="s">
        <v>15355</v>
      </c>
      <c r="Z806" t="s">
        <v>15356</v>
      </c>
      <c r="AA806" t="s">
        <v>15357</v>
      </c>
      <c r="AB806" t="s">
        <v>15358</v>
      </c>
      <c r="AC806" t="s">
        <v>15359</v>
      </c>
      <c r="AD806" t="s">
        <v>15360</v>
      </c>
      <c r="AE806" t="s">
        <v>15361</v>
      </c>
      <c r="AF806" t="s">
        <v>74</v>
      </c>
      <c r="AG806">
        <v>65</v>
      </c>
      <c r="AH806">
        <v>68</v>
      </c>
      <c r="AI806">
        <v>73</v>
      </c>
      <c r="AJ806">
        <v>4</v>
      </c>
      <c r="AK806">
        <v>80</v>
      </c>
      <c r="AL806" t="s">
        <v>124</v>
      </c>
      <c r="AM806" t="s">
        <v>125</v>
      </c>
      <c r="AN806" t="s">
        <v>126</v>
      </c>
      <c r="AO806" t="s">
        <v>7947</v>
      </c>
      <c r="AP806" t="s">
        <v>7948</v>
      </c>
      <c r="AQ806" t="s">
        <v>74</v>
      </c>
      <c r="AR806" t="s">
        <v>7949</v>
      </c>
      <c r="AS806" t="s">
        <v>7950</v>
      </c>
      <c r="AT806" t="s">
        <v>14027</v>
      </c>
      <c r="AU806">
        <v>2016</v>
      </c>
      <c r="AV806">
        <v>22</v>
      </c>
      <c r="AW806">
        <v>2</v>
      </c>
      <c r="AX806" t="s">
        <v>74</v>
      </c>
      <c r="AY806" t="s">
        <v>74</v>
      </c>
      <c r="AZ806" t="s">
        <v>74</v>
      </c>
      <c r="BA806" t="s">
        <v>74</v>
      </c>
      <c r="BB806">
        <v>212</v>
      </c>
      <c r="BC806">
        <v>224</v>
      </c>
      <c r="BD806" t="s">
        <v>74</v>
      </c>
      <c r="BE806" t="s">
        <v>15362</v>
      </c>
      <c r="BF806" t="str">
        <f>HYPERLINK("http://dx.doi.org/10.1111/ddi.12389","http://dx.doi.org/10.1111/ddi.12389")</f>
        <v>http://dx.doi.org/10.1111/ddi.12389</v>
      </c>
      <c r="BG806" t="s">
        <v>74</v>
      </c>
      <c r="BH806" t="s">
        <v>74</v>
      </c>
      <c r="BI806">
        <v>13</v>
      </c>
      <c r="BJ806" t="s">
        <v>291</v>
      </c>
      <c r="BK806" t="s">
        <v>102</v>
      </c>
      <c r="BL806" t="s">
        <v>133</v>
      </c>
      <c r="BM806" t="s">
        <v>15363</v>
      </c>
      <c r="BN806" t="s">
        <v>74</v>
      </c>
      <c r="BO806" t="s">
        <v>4856</v>
      </c>
      <c r="BP806" t="s">
        <v>74</v>
      </c>
      <c r="BQ806" t="s">
        <v>74</v>
      </c>
      <c r="BR806" t="s">
        <v>106</v>
      </c>
      <c r="BS806" t="s">
        <v>15364</v>
      </c>
      <c r="BT806" t="str">
        <f>HYPERLINK("https%3A%2F%2Fwww.webofscience.com%2Fwos%2Fwoscc%2Ffull-record%2FWOS:000372882300008","View Full Record in Web of Science")</f>
        <v>View Full Record in Web of Science</v>
      </c>
    </row>
    <row r="807" spans="1:72" x14ac:dyDescent="0.15">
      <c r="A807" t="s">
        <v>72</v>
      </c>
      <c r="B807" t="s">
        <v>15365</v>
      </c>
      <c r="C807" t="s">
        <v>74</v>
      </c>
      <c r="D807" t="s">
        <v>74</v>
      </c>
      <c r="E807" t="s">
        <v>74</v>
      </c>
      <c r="F807" t="s">
        <v>15366</v>
      </c>
      <c r="G807" t="s">
        <v>74</v>
      </c>
      <c r="H807" t="s">
        <v>74</v>
      </c>
      <c r="I807" t="s">
        <v>15367</v>
      </c>
      <c r="J807" t="s">
        <v>7977</v>
      </c>
      <c r="K807" t="s">
        <v>74</v>
      </c>
      <c r="L807" t="s">
        <v>74</v>
      </c>
      <c r="M807" t="s">
        <v>78</v>
      </c>
      <c r="N807" t="s">
        <v>79</v>
      </c>
      <c r="O807" t="s">
        <v>74</v>
      </c>
      <c r="P807" t="s">
        <v>74</v>
      </c>
      <c r="Q807" t="s">
        <v>74</v>
      </c>
      <c r="R807" t="s">
        <v>74</v>
      </c>
      <c r="S807" t="s">
        <v>74</v>
      </c>
      <c r="T807" t="s">
        <v>15368</v>
      </c>
      <c r="U807" t="s">
        <v>15369</v>
      </c>
      <c r="V807" t="s">
        <v>15370</v>
      </c>
      <c r="W807" t="s">
        <v>15371</v>
      </c>
      <c r="X807" t="s">
        <v>15372</v>
      </c>
      <c r="Y807" t="s">
        <v>15373</v>
      </c>
      <c r="Z807" t="s">
        <v>15374</v>
      </c>
      <c r="AA807" t="s">
        <v>74</v>
      </c>
      <c r="AB807" t="s">
        <v>15375</v>
      </c>
      <c r="AC807" t="s">
        <v>15376</v>
      </c>
      <c r="AD807" t="s">
        <v>1398</v>
      </c>
      <c r="AE807" t="s">
        <v>15377</v>
      </c>
      <c r="AF807" t="s">
        <v>74</v>
      </c>
      <c r="AG807">
        <v>452</v>
      </c>
      <c r="AH807">
        <v>49</v>
      </c>
      <c r="AI807">
        <v>54</v>
      </c>
      <c r="AJ807">
        <v>3</v>
      </c>
      <c r="AK807">
        <v>47</v>
      </c>
      <c r="AL807" t="s">
        <v>626</v>
      </c>
      <c r="AM807" t="s">
        <v>583</v>
      </c>
      <c r="AN807" t="s">
        <v>627</v>
      </c>
      <c r="AO807" t="s">
        <v>7990</v>
      </c>
      <c r="AP807" t="s">
        <v>7991</v>
      </c>
      <c r="AQ807" t="s">
        <v>74</v>
      </c>
      <c r="AR807" t="s">
        <v>7992</v>
      </c>
      <c r="AS807" t="s">
        <v>7993</v>
      </c>
      <c r="AT807" t="s">
        <v>14027</v>
      </c>
      <c r="AU807">
        <v>2016</v>
      </c>
      <c r="AV807">
        <v>153</v>
      </c>
      <c r="AW807" t="s">
        <v>74</v>
      </c>
      <c r="AX807" t="s">
        <v>74</v>
      </c>
      <c r="AY807" t="s">
        <v>74</v>
      </c>
      <c r="AZ807" t="s">
        <v>74</v>
      </c>
      <c r="BA807" t="s">
        <v>74</v>
      </c>
      <c r="BB807">
        <v>43</v>
      </c>
      <c r="BC807">
        <v>76</v>
      </c>
      <c r="BD807" t="s">
        <v>74</v>
      </c>
      <c r="BE807" t="s">
        <v>15378</v>
      </c>
      <c r="BF807" t="str">
        <f>HYPERLINK("http://dx.doi.org/10.1016/j.earscirev.2015.09.011","http://dx.doi.org/10.1016/j.earscirev.2015.09.011")</f>
        <v>http://dx.doi.org/10.1016/j.earscirev.2015.09.011</v>
      </c>
      <c r="BG807" t="s">
        <v>74</v>
      </c>
      <c r="BH807" t="s">
        <v>74</v>
      </c>
      <c r="BI807">
        <v>34</v>
      </c>
      <c r="BJ807" t="s">
        <v>269</v>
      </c>
      <c r="BK807" t="s">
        <v>102</v>
      </c>
      <c r="BL807" t="s">
        <v>270</v>
      </c>
      <c r="BM807" t="s">
        <v>14096</v>
      </c>
      <c r="BN807" t="s">
        <v>74</v>
      </c>
      <c r="BO807" t="s">
        <v>3908</v>
      </c>
      <c r="BP807" t="s">
        <v>74</v>
      </c>
      <c r="BQ807" t="s">
        <v>74</v>
      </c>
      <c r="BR807" t="s">
        <v>106</v>
      </c>
      <c r="BS807" t="s">
        <v>15379</v>
      </c>
      <c r="BT807" t="str">
        <f>HYPERLINK("https%3A%2F%2Fwww.webofscience.com%2Fwos%2Fwoscc%2Ffull-record%2FWOS:000372943200004","View Full Record in Web of Science")</f>
        <v>View Full Record in Web of Science</v>
      </c>
    </row>
    <row r="808" spans="1:72" x14ac:dyDescent="0.15">
      <c r="A808" t="s">
        <v>72</v>
      </c>
      <c r="B808" t="s">
        <v>15380</v>
      </c>
      <c r="C808" t="s">
        <v>74</v>
      </c>
      <c r="D808" t="s">
        <v>74</v>
      </c>
      <c r="E808" t="s">
        <v>74</v>
      </c>
      <c r="F808" t="s">
        <v>15381</v>
      </c>
      <c r="G808" t="s">
        <v>74</v>
      </c>
      <c r="H808" t="s">
        <v>74</v>
      </c>
      <c r="I808" t="s">
        <v>15382</v>
      </c>
      <c r="J808" t="s">
        <v>15383</v>
      </c>
      <c r="K808" t="s">
        <v>74</v>
      </c>
      <c r="L808" t="s">
        <v>74</v>
      </c>
      <c r="M808" t="s">
        <v>78</v>
      </c>
      <c r="N808" t="s">
        <v>79</v>
      </c>
      <c r="O808" t="s">
        <v>74</v>
      </c>
      <c r="P808" t="s">
        <v>74</v>
      </c>
      <c r="Q808" t="s">
        <v>74</v>
      </c>
      <c r="R808" t="s">
        <v>74</v>
      </c>
      <c r="S808" t="s">
        <v>74</v>
      </c>
      <c r="T808" t="s">
        <v>15384</v>
      </c>
      <c r="U808" t="s">
        <v>15385</v>
      </c>
      <c r="V808" t="s">
        <v>15386</v>
      </c>
      <c r="W808" t="s">
        <v>15387</v>
      </c>
      <c r="X808" t="s">
        <v>15388</v>
      </c>
      <c r="Y808" t="s">
        <v>15389</v>
      </c>
      <c r="Z808" t="s">
        <v>15390</v>
      </c>
      <c r="AA808" t="s">
        <v>15391</v>
      </c>
      <c r="AB808" t="s">
        <v>15392</v>
      </c>
      <c r="AC808" t="s">
        <v>15393</v>
      </c>
      <c r="AD808" t="s">
        <v>15394</v>
      </c>
      <c r="AE808" t="s">
        <v>15395</v>
      </c>
      <c r="AF808" t="s">
        <v>74</v>
      </c>
      <c r="AG808">
        <v>88</v>
      </c>
      <c r="AH808">
        <v>19</v>
      </c>
      <c r="AI808">
        <v>20</v>
      </c>
      <c r="AJ808">
        <v>1</v>
      </c>
      <c r="AK808">
        <v>58</v>
      </c>
      <c r="AL808" t="s">
        <v>124</v>
      </c>
      <c r="AM808" t="s">
        <v>125</v>
      </c>
      <c r="AN808" t="s">
        <v>126</v>
      </c>
      <c r="AO808" t="s">
        <v>15396</v>
      </c>
      <c r="AP808" t="s">
        <v>15397</v>
      </c>
      <c r="AQ808" t="s">
        <v>74</v>
      </c>
      <c r="AR808" t="s">
        <v>15398</v>
      </c>
      <c r="AS808" t="s">
        <v>15399</v>
      </c>
      <c r="AT808" t="s">
        <v>14027</v>
      </c>
      <c r="AU808">
        <v>2016</v>
      </c>
      <c r="AV808">
        <v>86</v>
      </c>
      <c r="AW808">
        <v>1</v>
      </c>
      <c r="AX808" t="s">
        <v>74</v>
      </c>
      <c r="AY808" t="s">
        <v>74</v>
      </c>
      <c r="AZ808" t="s">
        <v>74</v>
      </c>
      <c r="BA808" t="s">
        <v>74</v>
      </c>
      <c r="BB808">
        <v>61</v>
      </c>
      <c r="BC808">
        <v>77</v>
      </c>
      <c r="BD808" t="s">
        <v>74</v>
      </c>
      <c r="BE808" t="s">
        <v>15400</v>
      </c>
      <c r="BF808" t="str">
        <f>HYPERLINK("http://dx.doi.org/10.1890/14-2124.1","http://dx.doi.org/10.1890/14-2124.1")</f>
        <v>http://dx.doi.org/10.1890/14-2124.1</v>
      </c>
      <c r="BG808" t="s">
        <v>74</v>
      </c>
      <c r="BH808" t="s">
        <v>74</v>
      </c>
      <c r="BI808">
        <v>17</v>
      </c>
      <c r="BJ808" t="s">
        <v>4041</v>
      </c>
      <c r="BK808" t="s">
        <v>102</v>
      </c>
      <c r="BL808" t="s">
        <v>465</v>
      </c>
      <c r="BM808" t="s">
        <v>15401</v>
      </c>
      <c r="BN808" t="s">
        <v>74</v>
      </c>
      <c r="BO808" t="s">
        <v>2559</v>
      </c>
      <c r="BP808" t="s">
        <v>74</v>
      </c>
      <c r="BQ808" t="s">
        <v>74</v>
      </c>
      <c r="BR808" t="s">
        <v>106</v>
      </c>
      <c r="BS808" t="s">
        <v>15402</v>
      </c>
      <c r="BT808" t="str">
        <f>HYPERLINK("https%3A%2F%2Fwww.webofscience.com%2Fwos%2Fwoscc%2Ffull-record%2FWOS:000371767700005","View Full Record in Web of Science")</f>
        <v>View Full Record in Web of Science</v>
      </c>
    </row>
    <row r="809" spans="1:72" x14ac:dyDescent="0.15">
      <c r="A809" t="s">
        <v>72</v>
      </c>
      <c r="B809" t="s">
        <v>15403</v>
      </c>
      <c r="C809" t="s">
        <v>74</v>
      </c>
      <c r="D809" t="s">
        <v>74</v>
      </c>
      <c r="E809" t="s">
        <v>74</v>
      </c>
      <c r="F809" t="s">
        <v>15404</v>
      </c>
      <c r="G809" t="s">
        <v>74</v>
      </c>
      <c r="H809" t="s">
        <v>74</v>
      </c>
      <c r="I809" t="s">
        <v>15405</v>
      </c>
      <c r="J809" t="s">
        <v>15406</v>
      </c>
      <c r="K809" t="s">
        <v>74</v>
      </c>
      <c r="L809" t="s">
        <v>74</v>
      </c>
      <c r="M809" t="s">
        <v>78</v>
      </c>
      <c r="N809" t="s">
        <v>79</v>
      </c>
      <c r="O809" t="s">
        <v>74</v>
      </c>
      <c r="P809" t="s">
        <v>74</v>
      </c>
      <c r="Q809" t="s">
        <v>74</v>
      </c>
      <c r="R809" t="s">
        <v>74</v>
      </c>
      <c r="S809" t="s">
        <v>74</v>
      </c>
      <c r="T809" t="s">
        <v>15407</v>
      </c>
      <c r="U809" t="s">
        <v>15408</v>
      </c>
      <c r="V809" t="s">
        <v>15409</v>
      </c>
      <c r="W809" t="s">
        <v>15410</v>
      </c>
      <c r="X809" t="s">
        <v>15411</v>
      </c>
      <c r="Y809" t="s">
        <v>15412</v>
      </c>
      <c r="Z809" t="s">
        <v>15413</v>
      </c>
      <c r="AA809" t="s">
        <v>74</v>
      </c>
      <c r="AB809" t="s">
        <v>74</v>
      </c>
      <c r="AC809" t="s">
        <v>15414</v>
      </c>
      <c r="AD809" t="s">
        <v>15415</v>
      </c>
      <c r="AE809" t="s">
        <v>15416</v>
      </c>
      <c r="AF809" t="s">
        <v>74</v>
      </c>
      <c r="AG809">
        <v>51</v>
      </c>
      <c r="AH809">
        <v>57</v>
      </c>
      <c r="AI809">
        <v>59</v>
      </c>
      <c r="AJ809">
        <v>1</v>
      </c>
      <c r="AK809">
        <v>68</v>
      </c>
      <c r="AL809" t="s">
        <v>240</v>
      </c>
      <c r="AM809" t="s">
        <v>241</v>
      </c>
      <c r="AN809" t="s">
        <v>242</v>
      </c>
      <c r="AO809" t="s">
        <v>15417</v>
      </c>
      <c r="AP809" t="s">
        <v>15418</v>
      </c>
      <c r="AQ809" t="s">
        <v>74</v>
      </c>
      <c r="AR809" t="s">
        <v>15419</v>
      </c>
      <c r="AS809" t="s">
        <v>15420</v>
      </c>
      <c r="AT809" t="s">
        <v>14027</v>
      </c>
      <c r="AU809">
        <v>2016</v>
      </c>
      <c r="AV809">
        <v>124</v>
      </c>
      <c r="AW809" t="s">
        <v>74</v>
      </c>
      <c r="AX809" t="s">
        <v>74</v>
      </c>
      <c r="AY809" t="s">
        <v>74</v>
      </c>
      <c r="AZ809" t="s">
        <v>74</v>
      </c>
      <c r="BA809" t="s">
        <v>74</v>
      </c>
      <c r="BB809">
        <v>202</v>
      </c>
      <c r="BC809">
        <v>212</v>
      </c>
      <c r="BD809" t="s">
        <v>74</v>
      </c>
      <c r="BE809" t="s">
        <v>15421</v>
      </c>
      <c r="BF809" t="str">
        <f>HYPERLINK("http://dx.doi.org/10.1016/j.ecoenv.2015.10.024","http://dx.doi.org/10.1016/j.ecoenv.2015.10.024")</f>
        <v>http://dx.doi.org/10.1016/j.ecoenv.2015.10.024</v>
      </c>
      <c r="BG809" t="s">
        <v>74</v>
      </c>
      <c r="BH809" t="s">
        <v>74</v>
      </c>
      <c r="BI809">
        <v>11</v>
      </c>
      <c r="BJ809" t="s">
        <v>7112</v>
      </c>
      <c r="BK809" t="s">
        <v>102</v>
      </c>
      <c r="BL809" t="s">
        <v>7113</v>
      </c>
      <c r="BM809" t="s">
        <v>15422</v>
      </c>
      <c r="BN809">
        <v>26524653</v>
      </c>
      <c r="BO809" t="s">
        <v>74</v>
      </c>
      <c r="BP809" t="s">
        <v>74</v>
      </c>
      <c r="BQ809" t="s">
        <v>74</v>
      </c>
      <c r="BR809" t="s">
        <v>106</v>
      </c>
      <c r="BS809" t="s">
        <v>15423</v>
      </c>
      <c r="BT809" t="str">
        <f>HYPERLINK("https%3A%2F%2Fwww.webofscience.com%2Fwos%2Fwoscc%2Ffull-record%2FWOS:000369881000026","View Full Record in Web of Science")</f>
        <v>View Full Record in Web of Science</v>
      </c>
    </row>
    <row r="810" spans="1:72" x14ac:dyDescent="0.15">
      <c r="A810" t="s">
        <v>72</v>
      </c>
      <c r="B810" t="s">
        <v>15424</v>
      </c>
      <c r="C810" t="s">
        <v>74</v>
      </c>
      <c r="D810" t="s">
        <v>74</v>
      </c>
      <c r="E810" t="s">
        <v>74</v>
      </c>
      <c r="F810" t="s">
        <v>15425</v>
      </c>
      <c r="G810" t="s">
        <v>74</v>
      </c>
      <c r="H810" t="s">
        <v>74</v>
      </c>
      <c r="I810" t="s">
        <v>15426</v>
      </c>
      <c r="J810" t="s">
        <v>14466</v>
      </c>
      <c r="K810" t="s">
        <v>74</v>
      </c>
      <c r="L810" t="s">
        <v>74</v>
      </c>
      <c r="M810" t="s">
        <v>78</v>
      </c>
      <c r="N810" t="s">
        <v>573</v>
      </c>
      <c r="O810" t="s">
        <v>74</v>
      </c>
      <c r="P810" t="s">
        <v>74</v>
      </c>
      <c r="Q810" t="s">
        <v>74</v>
      </c>
      <c r="R810" t="s">
        <v>74</v>
      </c>
      <c r="S810" t="s">
        <v>74</v>
      </c>
      <c r="T810" t="s">
        <v>74</v>
      </c>
      <c r="U810" t="s">
        <v>15427</v>
      </c>
      <c r="V810" t="s">
        <v>74</v>
      </c>
      <c r="W810" t="s">
        <v>15428</v>
      </c>
      <c r="X810" t="s">
        <v>15429</v>
      </c>
      <c r="Y810" t="s">
        <v>15430</v>
      </c>
      <c r="Z810" t="s">
        <v>15431</v>
      </c>
      <c r="AA810" t="s">
        <v>74</v>
      </c>
      <c r="AB810" t="s">
        <v>74</v>
      </c>
      <c r="AC810" t="s">
        <v>74</v>
      </c>
      <c r="AD810" t="s">
        <v>74</v>
      </c>
      <c r="AE810" t="s">
        <v>74</v>
      </c>
      <c r="AF810" t="s">
        <v>74</v>
      </c>
      <c r="AG810">
        <v>17</v>
      </c>
      <c r="AH810">
        <v>13</v>
      </c>
      <c r="AI810">
        <v>14</v>
      </c>
      <c r="AJ810">
        <v>1</v>
      </c>
      <c r="AK810">
        <v>26</v>
      </c>
      <c r="AL810" t="s">
        <v>721</v>
      </c>
      <c r="AM810" t="s">
        <v>125</v>
      </c>
      <c r="AN810" t="s">
        <v>126</v>
      </c>
      <c r="AO810" t="s">
        <v>14476</v>
      </c>
      <c r="AP810" t="s">
        <v>74</v>
      </c>
      <c r="AQ810" t="s">
        <v>74</v>
      </c>
      <c r="AR810" t="s">
        <v>14477</v>
      </c>
      <c r="AS810" t="s">
        <v>14478</v>
      </c>
      <c r="AT810" t="s">
        <v>14027</v>
      </c>
      <c r="AU810">
        <v>2016</v>
      </c>
      <c r="AV810">
        <v>8</v>
      </c>
      <c r="AW810">
        <v>1</v>
      </c>
      <c r="AX810" t="s">
        <v>74</v>
      </c>
      <c r="AY810" t="s">
        <v>74</v>
      </c>
      <c r="AZ810" t="s">
        <v>74</v>
      </c>
      <c r="BA810" t="s">
        <v>74</v>
      </c>
      <c r="BB810">
        <v>1</v>
      </c>
      <c r="BC810">
        <v>2</v>
      </c>
      <c r="BD810" t="s">
        <v>74</v>
      </c>
      <c r="BE810" t="s">
        <v>15432</v>
      </c>
      <c r="BF810" t="str">
        <f>HYPERLINK("http://dx.doi.org/10.1111/1758-2229.12360","http://dx.doi.org/10.1111/1758-2229.12360")</f>
        <v>http://dx.doi.org/10.1111/1758-2229.12360</v>
      </c>
      <c r="BG810" t="s">
        <v>74</v>
      </c>
      <c r="BH810" t="s">
        <v>74</v>
      </c>
      <c r="BI810">
        <v>2</v>
      </c>
      <c r="BJ810" t="s">
        <v>14480</v>
      </c>
      <c r="BK810" t="s">
        <v>102</v>
      </c>
      <c r="BL810" t="s">
        <v>14481</v>
      </c>
      <c r="BM810" t="s">
        <v>14482</v>
      </c>
      <c r="BN810">
        <v>26790542</v>
      </c>
      <c r="BO810" t="s">
        <v>74</v>
      </c>
      <c r="BP810" t="s">
        <v>74</v>
      </c>
      <c r="BQ810" t="s">
        <v>74</v>
      </c>
      <c r="BR810" t="s">
        <v>106</v>
      </c>
      <c r="BS810" t="s">
        <v>15433</v>
      </c>
      <c r="BT810" t="str">
        <f>HYPERLINK("https%3A%2F%2Fwww.webofscience.com%2Fwos%2Fwoscc%2Ffull-record%2FWOS:000371481100001","View Full Record in Web of Science")</f>
        <v>View Full Record in Web of Science</v>
      </c>
    </row>
    <row r="811" spans="1:72" x14ac:dyDescent="0.15">
      <c r="A811" t="s">
        <v>72</v>
      </c>
      <c r="B811" t="s">
        <v>15434</v>
      </c>
      <c r="C811" t="s">
        <v>74</v>
      </c>
      <c r="D811" t="s">
        <v>74</v>
      </c>
      <c r="E811" t="s">
        <v>74</v>
      </c>
      <c r="F811" t="s">
        <v>15435</v>
      </c>
      <c r="G811" t="s">
        <v>74</v>
      </c>
      <c r="H811" t="s">
        <v>74</v>
      </c>
      <c r="I811" t="s">
        <v>15436</v>
      </c>
      <c r="J811" t="s">
        <v>7419</v>
      </c>
      <c r="K811" t="s">
        <v>74</v>
      </c>
      <c r="L811" t="s">
        <v>74</v>
      </c>
      <c r="M811" t="s">
        <v>78</v>
      </c>
      <c r="N811" t="s">
        <v>79</v>
      </c>
      <c r="O811" t="s">
        <v>74</v>
      </c>
      <c r="P811" t="s">
        <v>74</v>
      </c>
      <c r="Q811" t="s">
        <v>74</v>
      </c>
      <c r="R811" t="s">
        <v>74</v>
      </c>
      <c r="S811" t="s">
        <v>74</v>
      </c>
      <c r="T811" t="s">
        <v>15437</v>
      </c>
      <c r="U811" t="s">
        <v>15438</v>
      </c>
      <c r="V811" t="s">
        <v>15439</v>
      </c>
      <c r="W811" t="s">
        <v>15440</v>
      </c>
      <c r="X811" t="s">
        <v>15441</v>
      </c>
      <c r="Y811" t="s">
        <v>15442</v>
      </c>
      <c r="Z811" t="s">
        <v>15443</v>
      </c>
      <c r="AA811" t="s">
        <v>15444</v>
      </c>
      <c r="AB811" t="s">
        <v>15445</v>
      </c>
      <c r="AC811" t="s">
        <v>15446</v>
      </c>
      <c r="AD811" t="s">
        <v>15447</v>
      </c>
      <c r="AE811" t="s">
        <v>15448</v>
      </c>
      <c r="AF811" t="s">
        <v>74</v>
      </c>
      <c r="AG811">
        <v>79</v>
      </c>
      <c r="AH811">
        <v>27</v>
      </c>
      <c r="AI811">
        <v>31</v>
      </c>
      <c r="AJ811">
        <v>1</v>
      </c>
      <c r="AK811">
        <v>94</v>
      </c>
      <c r="AL811" t="s">
        <v>124</v>
      </c>
      <c r="AM811" t="s">
        <v>125</v>
      </c>
      <c r="AN811" t="s">
        <v>126</v>
      </c>
      <c r="AO811" t="s">
        <v>15449</v>
      </c>
      <c r="AP811" t="s">
        <v>15450</v>
      </c>
      <c r="AQ811" t="s">
        <v>74</v>
      </c>
      <c r="AR811" t="s">
        <v>7419</v>
      </c>
      <c r="AS811" t="s">
        <v>15451</v>
      </c>
      <c r="AT811" t="s">
        <v>14027</v>
      </c>
      <c r="AU811">
        <v>2016</v>
      </c>
      <c r="AV811">
        <v>70</v>
      </c>
      <c r="AW811">
        <v>2</v>
      </c>
      <c r="AX811" t="s">
        <v>74</v>
      </c>
      <c r="AY811" t="s">
        <v>74</v>
      </c>
      <c r="AZ811" t="s">
        <v>74</v>
      </c>
      <c r="BA811" t="s">
        <v>74</v>
      </c>
      <c r="BB811">
        <v>296</v>
      </c>
      <c r="BC811">
        <v>313</v>
      </c>
      <c r="BD811" t="s">
        <v>74</v>
      </c>
      <c r="BE811" t="s">
        <v>15452</v>
      </c>
      <c r="BF811" t="str">
        <f>HYPERLINK("http://dx.doi.org/10.1111/evo.12853","http://dx.doi.org/10.1111/evo.12853")</f>
        <v>http://dx.doi.org/10.1111/evo.12853</v>
      </c>
      <c r="BG811" t="s">
        <v>74</v>
      </c>
      <c r="BH811" t="s">
        <v>74</v>
      </c>
      <c r="BI811">
        <v>18</v>
      </c>
      <c r="BJ811" t="s">
        <v>1042</v>
      </c>
      <c r="BK811" t="s">
        <v>102</v>
      </c>
      <c r="BL811" t="s">
        <v>1043</v>
      </c>
      <c r="BM811" t="s">
        <v>15453</v>
      </c>
      <c r="BN811">
        <v>26763090</v>
      </c>
      <c r="BO811" t="s">
        <v>7972</v>
      </c>
      <c r="BP811" t="s">
        <v>74</v>
      </c>
      <c r="BQ811" t="s">
        <v>74</v>
      </c>
      <c r="BR811" t="s">
        <v>106</v>
      </c>
      <c r="BS811" t="s">
        <v>15454</v>
      </c>
      <c r="BT811" t="str">
        <f>HYPERLINK("https%3A%2F%2Fwww.webofscience.com%2Fwos%2Fwoscc%2Ffull-record%2FWOS:000370662500004","View Full Record in Web of Science")</f>
        <v>View Full Record in Web of Science</v>
      </c>
    </row>
    <row r="812" spans="1:72" x14ac:dyDescent="0.15">
      <c r="A812" t="s">
        <v>72</v>
      </c>
      <c r="B812" t="s">
        <v>15455</v>
      </c>
      <c r="C812" t="s">
        <v>74</v>
      </c>
      <c r="D812" t="s">
        <v>74</v>
      </c>
      <c r="E812" t="s">
        <v>74</v>
      </c>
      <c r="F812" t="s">
        <v>15456</v>
      </c>
      <c r="G812" t="s">
        <v>74</v>
      </c>
      <c r="H812" t="s">
        <v>74</v>
      </c>
      <c r="I812" t="s">
        <v>15457</v>
      </c>
      <c r="J812" t="s">
        <v>6444</v>
      </c>
      <c r="K812" t="s">
        <v>74</v>
      </c>
      <c r="L812" t="s">
        <v>74</v>
      </c>
      <c r="M812" t="s">
        <v>78</v>
      </c>
      <c r="N812" t="s">
        <v>79</v>
      </c>
      <c r="O812" t="s">
        <v>74</v>
      </c>
      <c r="P812" t="s">
        <v>74</v>
      </c>
      <c r="Q812" t="s">
        <v>74</v>
      </c>
      <c r="R812" t="s">
        <v>74</v>
      </c>
      <c r="S812" t="s">
        <v>74</v>
      </c>
      <c r="T812" t="s">
        <v>15458</v>
      </c>
      <c r="U812" t="s">
        <v>15459</v>
      </c>
      <c r="V812" t="s">
        <v>15460</v>
      </c>
      <c r="W812" t="s">
        <v>15461</v>
      </c>
      <c r="X812" t="s">
        <v>15462</v>
      </c>
      <c r="Y812" t="s">
        <v>15463</v>
      </c>
      <c r="Z812" t="s">
        <v>15464</v>
      </c>
      <c r="AA812" t="s">
        <v>15465</v>
      </c>
      <c r="AB812" t="s">
        <v>15466</v>
      </c>
      <c r="AC812" t="s">
        <v>15467</v>
      </c>
      <c r="AD812" t="s">
        <v>15468</v>
      </c>
      <c r="AE812" t="s">
        <v>15469</v>
      </c>
      <c r="AF812" t="s">
        <v>74</v>
      </c>
      <c r="AG812">
        <v>47</v>
      </c>
      <c r="AH812">
        <v>71</v>
      </c>
      <c r="AI812">
        <v>76</v>
      </c>
      <c r="AJ812">
        <v>2</v>
      </c>
      <c r="AK812">
        <v>41</v>
      </c>
      <c r="AL812" t="s">
        <v>1657</v>
      </c>
      <c r="AM812" t="s">
        <v>679</v>
      </c>
      <c r="AN812" t="s">
        <v>1658</v>
      </c>
      <c r="AO812" t="s">
        <v>6457</v>
      </c>
      <c r="AP812" t="s">
        <v>6458</v>
      </c>
      <c r="AQ812" t="s">
        <v>74</v>
      </c>
      <c r="AR812" t="s">
        <v>6459</v>
      </c>
      <c r="AS812" t="s">
        <v>6460</v>
      </c>
      <c r="AT812" t="s">
        <v>14027</v>
      </c>
      <c r="AU812">
        <v>2016</v>
      </c>
      <c r="AV812">
        <v>92</v>
      </c>
      <c r="AW812">
        <v>2</v>
      </c>
      <c r="AX812" t="s">
        <v>74</v>
      </c>
      <c r="AY812" t="s">
        <v>74</v>
      </c>
      <c r="AZ812" t="s">
        <v>74</v>
      </c>
      <c r="BA812" t="s">
        <v>74</v>
      </c>
      <c r="BB812" t="s">
        <v>74</v>
      </c>
      <c r="BC812" t="s">
        <v>74</v>
      </c>
      <c r="BD812" t="s">
        <v>15470</v>
      </c>
      <c r="BE812" t="s">
        <v>15471</v>
      </c>
      <c r="BF812" t="str">
        <f>HYPERLINK("http://dx.doi.org/10.1093/femsec/fiv154","http://dx.doi.org/10.1093/femsec/fiv154")</f>
        <v>http://dx.doi.org/10.1093/femsec/fiv154</v>
      </c>
      <c r="BG812" t="s">
        <v>74</v>
      </c>
      <c r="BH812" t="s">
        <v>74</v>
      </c>
      <c r="BI812">
        <v>11</v>
      </c>
      <c r="BJ812" t="s">
        <v>2538</v>
      </c>
      <c r="BK812" t="s">
        <v>102</v>
      </c>
      <c r="BL812" t="s">
        <v>2538</v>
      </c>
      <c r="BM812" t="s">
        <v>15472</v>
      </c>
      <c r="BN812">
        <v>26637477</v>
      </c>
      <c r="BO812" t="s">
        <v>420</v>
      </c>
      <c r="BP812" t="s">
        <v>74</v>
      </c>
      <c r="BQ812" t="s">
        <v>74</v>
      </c>
      <c r="BR812" t="s">
        <v>106</v>
      </c>
      <c r="BS812" t="s">
        <v>15473</v>
      </c>
      <c r="BT812" t="str">
        <f>HYPERLINK("https%3A%2F%2Fwww.webofscience.com%2Fwos%2Fwoscc%2Ffull-record%2FWOS:000371249600003","View Full Record in Web of Science")</f>
        <v>View Full Record in Web of Science</v>
      </c>
    </row>
    <row r="813" spans="1:72" x14ac:dyDescent="0.15">
      <c r="A813" t="s">
        <v>72</v>
      </c>
      <c r="B813" t="s">
        <v>15474</v>
      </c>
      <c r="C813" t="s">
        <v>74</v>
      </c>
      <c r="D813" t="s">
        <v>74</v>
      </c>
      <c r="E813" t="s">
        <v>74</v>
      </c>
      <c r="F813" t="s">
        <v>15475</v>
      </c>
      <c r="G813" t="s">
        <v>74</v>
      </c>
      <c r="H813" t="s">
        <v>74</v>
      </c>
      <c r="I813" t="s">
        <v>15476</v>
      </c>
      <c r="J813" t="s">
        <v>5097</v>
      </c>
      <c r="K813" t="s">
        <v>74</v>
      </c>
      <c r="L813" t="s">
        <v>74</v>
      </c>
      <c r="M813" t="s">
        <v>78</v>
      </c>
      <c r="N813" t="s">
        <v>79</v>
      </c>
      <c r="O813" t="s">
        <v>74</v>
      </c>
      <c r="P813" t="s">
        <v>74</v>
      </c>
      <c r="Q813" t="s">
        <v>74</v>
      </c>
      <c r="R813" t="s">
        <v>74</v>
      </c>
      <c r="S813" t="s">
        <v>74</v>
      </c>
      <c r="T813" t="s">
        <v>74</v>
      </c>
      <c r="U813" t="s">
        <v>15477</v>
      </c>
      <c r="V813" t="s">
        <v>15478</v>
      </c>
      <c r="W813" t="s">
        <v>15479</v>
      </c>
      <c r="X813" t="s">
        <v>15480</v>
      </c>
      <c r="Y813" t="s">
        <v>15481</v>
      </c>
      <c r="Z813" t="s">
        <v>15482</v>
      </c>
      <c r="AA813" t="s">
        <v>15483</v>
      </c>
      <c r="AB813" t="s">
        <v>15484</v>
      </c>
      <c r="AC813" t="s">
        <v>15485</v>
      </c>
      <c r="AD813" t="s">
        <v>15486</v>
      </c>
      <c r="AE813" t="s">
        <v>15487</v>
      </c>
      <c r="AF813" t="s">
        <v>74</v>
      </c>
      <c r="AG813">
        <v>54</v>
      </c>
      <c r="AH813">
        <v>18</v>
      </c>
      <c r="AI813">
        <v>19</v>
      </c>
      <c r="AJ813">
        <v>1</v>
      </c>
      <c r="AK813">
        <v>37</v>
      </c>
      <c r="AL813" t="s">
        <v>1829</v>
      </c>
      <c r="AM813" t="s">
        <v>679</v>
      </c>
      <c r="AN813" t="s">
        <v>1830</v>
      </c>
      <c r="AO813" t="s">
        <v>5107</v>
      </c>
      <c r="AP813" t="s">
        <v>5108</v>
      </c>
      <c r="AQ813" t="s">
        <v>74</v>
      </c>
      <c r="AR813" t="s">
        <v>5109</v>
      </c>
      <c r="AS813" t="s">
        <v>5110</v>
      </c>
      <c r="AT813" t="s">
        <v>14499</v>
      </c>
      <c r="AU813">
        <v>2016</v>
      </c>
      <c r="AV813">
        <v>174</v>
      </c>
      <c r="AW813" t="s">
        <v>74</v>
      </c>
      <c r="AX813" t="s">
        <v>74</v>
      </c>
      <c r="AY813" t="s">
        <v>74</v>
      </c>
      <c r="AZ813" t="s">
        <v>74</v>
      </c>
      <c r="BA813" t="s">
        <v>74</v>
      </c>
      <c r="BB813">
        <v>54</v>
      </c>
      <c r="BC813">
        <v>69</v>
      </c>
      <c r="BD813" t="s">
        <v>74</v>
      </c>
      <c r="BE813" t="s">
        <v>15488</v>
      </c>
      <c r="BF813" t="str">
        <f>HYPERLINK("http://dx.doi.org/10.1016/j.gca.2015.11.009","http://dx.doi.org/10.1016/j.gca.2015.11.009")</f>
        <v>http://dx.doi.org/10.1016/j.gca.2015.11.009</v>
      </c>
      <c r="BG813" t="s">
        <v>74</v>
      </c>
      <c r="BH813" t="s">
        <v>74</v>
      </c>
      <c r="BI813">
        <v>16</v>
      </c>
      <c r="BJ813" t="s">
        <v>727</v>
      </c>
      <c r="BK813" t="s">
        <v>102</v>
      </c>
      <c r="BL813" t="s">
        <v>727</v>
      </c>
      <c r="BM813" t="s">
        <v>15489</v>
      </c>
      <c r="BN813" t="s">
        <v>74</v>
      </c>
      <c r="BO813" t="s">
        <v>74</v>
      </c>
      <c r="BP813" t="s">
        <v>74</v>
      </c>
      <c r="BQ813" t="s">
        <v>74</v>
      </c>
      <c r="BR813" t="s">
        <v>106</v>
      </c>
      <c r="BS813" t="s">
        <v>15490</v>
      </c>
      <c r="BT813" t="str">
        <f>HYPERLINK("https%3A%2F%2Fwww.webofscience.com%2Fwos%2Fwoscc%2Ffull-record%2FWOS:000368819800005","View Full Record in Web of Science")</f>
        <v>View Full Record in Web of Science</v>
      </c>
    </row>
    <row r="814" spans="1:72" x14ac:dyDescent="0.15">
      <c r="A814" t="s">
        <v>72</v>
      </c>
      <c r="B814" t="s">
        <v>15491</v>
      </c>
      <c r="C814" t="s">
        <v>74</v>
      </c>
      <c r="D814" t="s">
        <v>74</v>
      </c>
      <c r="E814" t="s">
        <v>74</v>
      </c>
      <c r="F814" t="s">
        <v>15492</v>
      </c>
      <c r="G814" t="s">
        <v>74</v>
      </c>
      <c r="H814" t="s">
        <v>74</v>
      </c>
      <c r="I814" t="s">
        <v>15493</v>
      </c>
      <c r="J814" t="s">
        <v>4149</v>
      </c>
      <c r="K814" t="s">
        <v>74</v>
      </c>
      <c r="L814" t="s">
        <v>74</v>
      </c>
      <c r="M814" t="s">
        <v>78</v>
      </c>
      <c r="N814" t="s">
        <v>79</v>
      </c>
      <c r="O814" t="s">
        <v>74</v>
      </c>
      <c r="P814" t="s">
        <v>74</v>
      </c>
      <c r="Q814" t="s">
        <v>74</v>
      </c>
      <c r="R814" t="s">
        <v>74</v>
      </c>
      <c r="S814" t="s">
        <v>74</v>
      </c>
      <c r="T814" t="s">
        <v>74</v>
      </c>
      <c r="U814" t="s">
        <v>15494</v>
      </c>
      <c r="V814" t="s">
        <v>15495</v>
      </c>
      <c r="W814" t="s">
        <v>15496</v>
      </c>
      <c r="X814" t="s">
        <v>15497</v>
      </c>
      <c r="Y814" t="s">
        <v>15498</v>
      </c>
      <c r="Z814" t="s">
        <v>15499</v>
      </c>
      <c r="AA814" t="s">
        <v>15500</v>
      </c>
      <c r="AB814" t="s">
        <v>15501</v>
      </c>
      <c r="AC814" t="s">
        <v>15502</v>
      </c>
      <c r="AD814" t="s">
        <v>15503</v>
      </c>
      <c r="AE814" t="s">
        <v>15504</v>
      </c>
      <c r="AF814" t="s">
        <v>74</v>
      </c>
      <c r="AG814">
        <v>37</v>
      </c>
      <c r="AH814">
        <v>29</v>
      </c>
      <c r="AI814">
        <v>35</v>
      </c>
      <c r="AJ814">
        <v>4</v>
      </c>
      <c r="AK814">
        <v>20</v>
      </c>
      <c r="AL814" t="s">
        <v>2232</v>
      </c>
      <c r="AM814" t="s">
        <v>2233</v>
      </c>
      <c r="AN814" t="s">
        <v>2234</v>
      </c>
      <c r="AO814" t="s">
        <v>4161</v>
      </c>
      <c r="AP814" t="s">
        <v>4162</v>
      </c>
      <c r="AQ814" t="s">
        <v>74</v>
      </c>
      <c r="AR814" t="s">
        <v>4149</v>
      </c>
      <c r="AS814" t="s">
        <v>270</v>
      </c>
      <c r="AT814" t="s">
        <v>14027</v>
      </c>
      <c r="AU814">
        <v>2016</v>
      </c>
      <c r="AV814">
        <v>44</v>
      </c>
      <c r="AW814">
        <v>2</v>
      </c>
      <c r="AX814" t="s">
        <v>74</v>
      </c>
      <c r="AY814" t="s">
        <v>74</v>
      </c>
      <c r="AZ814" t="s">
        <v>74</v>
      </c>
      <c r="BA814" t="s">
        <v>74</v>
      </c>
      <c r="BB814">
        <v>87</v>
      </c>
      <c r="BC814">
        <v>90</v>
      </c>
      <c r="BD814" t="s">
        <v>74</v>
      </c>
      <c r="BE814" t="s">
        <v>15505</v>
      </c>
      <c r="BF814" t="str">
        <f>HYPERLINK("http://dx.doi.org/10.1130/G37220.1","http://dx.doi.org/10.1130/G37220.1")</f>
        <v>http://dx.doi.org/10.1130/G37220.1</v>
      </c>
      <c r="BG814" t="s">
        <v>74</v>
      </c>
      <c r="BH814" t="s">
        <v>74</v>
      </c>
      <c r="BI814">
        <v>4</v>
      </c>
      <c r="BJ814" t="s">
        <v>270</v>
      </c>
      <c r="BK814" t="s">
        <v>102</v>
      </c>
      <c r="BL814" t="s">
        <v>270</v>
      </c>
      <c r="BM814" t="s">
        <v>15506</v>
      </c>
      <c r="BN814" t="s">
        <v>74</v>
      </c>
      <c r="BO814" t="s">
        <v>15507</v>
      </c>
      <c r="BP814" t="s">
        <v>74</v>
      </c>
      <c r="BQ814" t="s">
        <v>74</v>
      </c>
      <c r="BR814" t="s">
        <v>106</v>
      </c>
      <c r="BS814" t="s">
        <v>15508</v>
      </c>
      <c r="BT814" t="str">
        <f>HYPERLINK("https%3A%2F%2Fwww.webofscience.com%2Fwos%2Fwoscc%2Ffull-record%2FWOS:000370075900004","View Full Record in Web of Science")</f>
        <v>View Full Record in Web of Science</v>
      </c>
    </row>
    <row r="815" spans="1:72" x14ac:dyDescent="0.15">
      <c r="A815" t="s">
        <v>72</v>
      </c>
      <c r="B815" t="s">
        <v>15509</v>
      </c>
      <c r="C815" t="s">
        <v>74</v>
      </c>
      <c r="D815" t="s">
        <v>74</v>
      </c>
      <c r="E815" t="s">
        <v>74</v>
      </c>
      <c r="F815" t="s">
        <v>15510</v>
      </c>
      <c r="G815" t="s">
        <v>74</v>
      </c>
      <c r="H815" t="s">
        <v>74</v>
      </c>
      <c r="I815" t="s">
        <v>15511</v>
      </c>
      <c r="J815" t="s">
        <v>77</v>
      </c>
      <c r="K815" t="s">
        <v>74</v>
      </c>
      <c r="L815" t="s">
        <v>74</v>
      </c>
      <c r="M815" t="s">
        <v>78</v>
      </c>
      <c r="N815" t="s">
        <v>79</v>
      </c>
      <c r="O815" t="s">
        <v>74</v>
      </c>
      <c r="P815" t="s">
        <v>74</v>
      </c>
      <c r="Q815" t="s">
        <v>74</v>
      </c>
      <c r="R815" t="s">
        <v>74</v>
      </c>
      <c r="S815" t="s">
        <v>74</v>
      </c>
      <c r="T815" t="s">
        <v>15512</v>
      </c>
      <c r="U815" t="s">
        <v>15513</v>
      </c>
      <c r="V815" t="s">
        <v>15514</v>
      </c>
      <c r="W815" t="s">
        <v>15515</v>
      </c>
      <c r="X815" t="s">
        <v>15516</v>
      </c>
      <c r="Y815" t="s">
        <v>15517</v>
      </c>
      <c r="Z815" t="s">
        <v>15518</v>
      </c>
      <c r="AA815" t="s">
        <v>15519</v>
      </c>
      <c r="AB815" t="s">
        <v>15520</v>
      </c>
      <c r="AC815" t="s">
        <v>15521</v>
      </c>
      <c r="AD815" t="s">
        <v>7254</v>
      </c>
      <c r="AE815" t="s">
        <v>15522</v>
      </c>
      <c r="AF815" t="s">
        <v>74</v>
      </c>
      <c r="AG815">
        <v>54</v>
      </c>
      <c r="AH815">
        <v>24</v>
      </c>
      <c r="AI815">
        <v>24</v>
      </c>
      <c r="AJ815">
        <v>1</v>
      </c>
      <c r="AK815">
        <v>40</v>
      </c>
      <c r="AL815" t="s">
        <v>92</v>
      </c>
      <c r="AM815" t="s">
        <v>93</v>
      </c>
      <c r="AN815" t="s">
        <v>94</v>
      </c>
      <c r="AO815" t="s">
        <v>95</v>
      </c>
      <c r="AP815" t="s">
        <v>96</v>
      </c>
      <c r="AQ815" t="s">
        <v>74</v>
      </c>
      <c r="AR815" t="s">
        <v>97</v>
      </c>
      <c r="AS815" t="s">
        <v>98</v>
      </c>
      <c r="AT815" t="s">
        <v>14027</v>
      </c>
      <c r="AU815">
        <v>2016</v>
      </c>
      <c r="AV815">
        <v>30</v>
      </c>
      <c r="AW815">
        <v>2</v>
      </c>
      <c r="AX815" t="s">
        <v>74</v>
      </c>
      <c r="AY815" t="s">
        <v>74</v>
      </c>
      <c r="AZ815" t="s">
        <v>74</v>
      </c>
      <c r="BA815" t="s">
        <v>74</v>
      </c>
      <c r="BB815">
        <v>350</v>
      </c>
      <c r="BC815">
        <v>360</v>
      </c>
      <c r="BD815" t="s">
        <v>74</v>
      </c>
      <c r="BE815" t="s">
        <v>15523</v>
      </c>
      <c r="BF815" t="str">
        <f>HYPERLINK("http://dx.doi.org/10.1002/2015GB005252","http://dx.doi.org/10.1002/2015GB005252")</f>
        <v>http://dx.doi.org/10.1002/2015GB005252</v>
      </c>
      <c r="BG815" t="s">
        <v>74</v>
      </c>
      <c r="BH815" t="s">
        <v>74</v>
      </c>
      <c r="BI815">
        <v>11</v>
      </c>
      <c r="BJ815" t="s">
        <v>101</v>
      </c>
      <c r="BK815" t="s">
        <v>102</v>
      </c>
      <c r="BL815" t="s">
        <v>103</v>
      </c>
      <c r="BM815" t="s">
        <v>14132</v>
      </c>
      <c r="BN815" t="s">
        <v>74</v>
      </c>
      <c r="BO815" t="s">
        <v>420</v>
      </c>
      <c r="BP815" t="s">
        <v>74</v>
      </c>
      <c r="BQ815" t="s">
        <v>74</v>
      </c>
      <c r="BR815" t="s">
        <v>106</v>
      </c>
      <c r="BS815" t="s">
        <v>15524</v>
      </c>
      <c r="BT815" t="str">
        <f>HYPERLINK("https%3A%2F%2Fwww.webofscience.com%2Fwos%2Fwoscc%2Ffull-record%2FWOS:000372963900016","View Full Record in Web of Science")</f>
        <v>View Full Record in Web of Science</v>
      </c>
    </row>
    <row r="816" spans="1:72" x14ac:dyDescent="0.15">
      <c r="A816" t="s">
        <v>72</v>
      </c>
      <c r="B816" t="s">
        <v>15525</v>
      </c>
      <c r="C816" t="s">
        <v>74</v>
      </c>
      <c r="D816" t="s">
        <v>74</v>
      </c>
      <c r="E816" t="s">
        <v>74</v>
      </c>
      <c r="F816" t="s">
        <v>15526</v>
      </c>
      <c r="G816" t="s">
        <v>74</v>
      </c>
      <c r="H816" t="s">
        <v>74</v>
      </c>
      <c r="I816" t="s">
        <v>15527</v>
      </c>
      <c r="J816" t="s">
        <v>111</v>
      </c>
      <c r="K816" t="s">
        <v>74</v>
      </c>
      <c r="L816" t="s">
        <v>74</v>
      </c>
      <c r="M816" t="s">
        <v>78</v>
      </c>
      <c r="N816" t="s">
        <v>949</v>
      </c>
      <c r="O816" t="s">
        <v>74</v>
      </c>
      <c r="P816" t="s">
        <v>74</v>
      </c>
      <c r="Q816" t="s">
        <v>74</v>
      </c>
      <c r="R816" t="s">
        <v>74</v>
      </c>
      <c r="S816" t="s">
        <v>74</v>
      </c>
      <c r="T816" t="s">
        <v>15528</v>
      </c>
      <c r="U816" t="s">
        <v>15529</v>
      </c>
      <c r="V816" t="s">
        <v>15530</v>
      </c>
      <c r="W816" t="s">
        <v>15531</v>
      </c>
      <c r="X816" t="s">
        <v>15532</v>
      </c>
      <c r="Y816" t="s">
        <v>9617</v>
      </c>
      <c r="Z816" t="s">
        <v>9618</v>
      </c>
      <c r="AA816" t="s">
        <v>15533</v>
      </c>
      <c r="AB816" t="s">
        <v>15534</v>
      </c>
      <c r="AC816" t="s">
        <v>15535</v>
      </c>
      <c r="AD816" t="s">
        <v>15536</v>
      </c>
      <c r="AE816" t="s">
        <v>15537</v>
      </c>
      <c r="AF816" t="s">
        <v>74</v>
      </c>
      <c r="AG816">
        <v>157</v>
      </c>
      <c r="AH816">
        <v>40</v>
      </c>
      <c r="AI816">
        <v>45</v>
      </c>
      <c r="AJ816">
        <v>4</v>
      </c>
      <c r="AK816">
        <v>207</v>
      </c>
      <c r="AL816" t="s">
        <v>124</v>
      </c>
      <c r="AM816" t="s">
        <v>125</v>
      </c>
      <c r="AN816" t="s">
        <v>126</v>
      </c>
      <c r="AO816" t="s">
        <v>127</v>
      </c>
      <c r="AP816" t="s">
        <v>128</v>
      </c>
      <c r="AQ816" t="s">
        <v>74</v>
      </c>
      <c r="AR816" t="s">
        <v>129</v>
      </c>
      <c r="AS816" t="s">
        <v>130</v>
      </c>
      <c r="AT816" t="s">
        <v>14027</v>
      </c>
      <c r="AU816">
        <v>2016</v>
      </c>
      <c r="AV816">
        <v>22</v>
      </c>
      <c r="AW816">
        <v>2</v>
      </c>
      <c r="AX816" t="s">
        <v>74</v>
      </c>
      <c r="AY816" t="s">
        <v>74</v>
      </c>
      <c r="AZ816" t="s">
        <v>74</v>
      </c>
      <c r="BA816" t="s">
        <v>74</v>
      </c>
      <c r="BB816">
        <v>474</v>
      </c>
      <c r="BC816">
        <v>493</v>
      </c>
      <c r="BD816" t="s">
        <v>74</v>
      </c>
      <c r="BE816" t="s">
        <v>15538</v>
      </c>
      <c r="BF816" t="str">
        <f>HYPERLINK("http://dx.doi.org/10.1111/gcb.13104","http://dx.doi.org/10.1111/gcb.13104")</f>
        <v>http://dx.doi.org/10.1111/gcb.13104</v>
      </c>
      <c r="BG816" t="s">
        <v>74</v>
      </c>
      <c r="BH816" t="s">
        <v>74</v>
      </c>
      <c r="BI816">
        <v>20</v>
      </c>
      <c r="BJ816" t="s">
        <v>132</v>
      </c>
      <c r="BK816" t="s">
        <v>102</v>
      </c>
      <c r="BL816" t="s">
        <v>133</v>
      </c>
      <c r="BM816" t="s">
        <v>15539</v>
      </c>
      <c r="BN816">
        <v>26391440</v>
      </c>
      <c r="BO816" t="s">
        <v>380</v>
      </c>
      <c r="BP816" t="s">
        <v>74</v>
      </c>
      <c r="BQ816" t="s">
        <v>74</v>
      </c>
      <c r="BR816" t="s">
        <v>106</v>
      </c>
      <c r="BS816" t="s">
        <v>15540</v>
      </c>
      <c r="BT816" t="str">
        <f>HYPERLINK("https%3A%2F%2Fwww.webofscience.com%2Fwos%2Fwoscc%2Ffull-record%2FWOS:000369135400002","View Full Record in Web of Science")</f>
        <v>View Full Record in Web of Science</v>
      </c>
    </row>
    <row r="817" spans="1:72" x14ac:dyDescent="0.15">
      <c r="A817" t="s">
        <v>72</v>
      </c>
      <c r="B817" t="s">
        <v>15541</v>
      </c>
      <c r="C817" t="s">
        <v>74</v>
      </c>
      <c r="D817" t="s">
        <v>74</v>
      </c>
      <c r="E817" t="s">
        <v>74</v>
      </c>
      <c r="F817" t="s">
        <v>15542</v>
      </c>
      <c r="G817" t="s">
        <v>74</v>
      </c>
      <c r="H817" t="s">
        <v>74</v>
      </c>
      <c r="I817" t="s">
        <v>15543</v>
      </c>
      <c r="J817" t="s">
        <v>111</v>
      </c>
      <c r="K817" t="s">
        <v>74</v>
      </c>
      <c r="L817" t="s">
        <v>74</v>
      </c>
      <c r="M817" t="s">
        <v>78</v>
      </c>
      <c r="N817" t="s">
        <v>79</v>
      </c>
      <c r="O817" t="s">
        <v>74</v>
      </c>
      <c r="P817" t="s">
        <v>74</v>
      </c>
      <c r="Q817" t="s">
        <v>74</v>
      </c>
      <c r="R817" t="s">
        <v>74</v>
      </c>
      <c r="S817" t="s">
        <v>74</v>
      </c>
      <c r="T817" t="s">
        <v>15544</v>
      </c>
      <c r="U817" t="s">
        <v>15545</v>
      </c>
      <c r="V817" t="s">
        <v>15546</v>
      </c>
      <c r="W817" t="s">
        <v>15547</v>
      </c>
      <c r="X817" t="s">
        <v>15548</v>
      </c>
      <c r="Y817" t="s">
        <v>15549</v>
      </c>
      <c r="Z817" t="s">
        <v>15550</v>
      </c>
      <c r="AA817" t="s">
        <v>15551</v>
      </c>
      <c r="AB817" t="s">
        <v>15552</v>
      </c>
      <c r="AC817" t="s">
        <v>15553</v>
      </c>
      <c r="AD817" t="s">
        <v>15554</v>
      </c>
      <c r="AE817" t="s">
        <v>15555</v>
      </c>
      <c r="AF817" t="s">
        <v>74</v>
      </c>
      <c r="AG817">
        <v>67</v>
      </c>
      <c r="AH817">
        <v>194</v>
      </c>
      <c r="AI817">
        <v>211</v>
      </c>
      <c r="AJ817">
        <v>2</v>
      </c>
      <c r="AK817">
        <v>157</v>
      </c>
      <c r="AL817" t="s">
        <v>124</v>
      </c>
      <c r="AM817" t="s">
        <v>125</v>
      </c>
      <c r="AN817" t="s">
        <v>126</v>
      </c>
      <c r="AO817" t="s">
        <v>127</v>
      </c>
      <c r="AP817" t="s">
        <v>128</v>
      </c>
      <c r="AQ817" t="s">
        <v>74</v>
      </c>
      <c r="AR817" t="s">
        <v>129</v>
      </c>
      <c r="AS817" t="s">
        <v>130</v>
      </c>
      <c r="AT817" t="s">
        <v>14027</v>
      </c>
      <c r="AU817">
        <v>2016</v>
      </c>
      <c r="AV817">
        <v>22</v>
      </c>
      <c r="AW817">
        <v>2</v>
      </c>
      <c r="AX817" t="s">
        <v>74</v>
      </c>
      <c r="AY817" t="s">
        <v>74</v>
      </c>
      <c r="AZ817" t="s">
        <v>74</v>
      </c>
      <c r="BA817" t="s">
        <v>74</v>
      </c>
      <c r="BB817">
        <v>682</v>
      </c>
      <c r="BC817">
        <v>703</v>
      </c>
      <c r="BD817" t="s">
        <v>74</v>
      </c>
      <c r="BE817" t="s">
        <v>15556</v>
      </c>
      <c r="BF817" t="str">
        <f>HYPERLINK("http://dx.doi.org/10.1111/gcb.13106","http://dx.doi.org/10.1111/gcb.13106")</f>
        <v>http://dx.doi.org/10.1111/gcb.13106</v>
      </c>
      <c r="BG817" t="s">
        <v>74</v>
      </c>
      <c r="BH817" t="s">
        <v>74</v>
      </c>
      <c r="BI817">
        <v>22</v>
      </c>
      <c r="BJ817" t="s">
        <v>132</v>
      </c>
      <c r="BK817" t="s">
        <v>102</v>
      </c>
      <c r="BL817" t="s">
        <v>133</v>
      </c>
      <c r="BM817" t="s">
        <v>15539</v>
      </c>
      <c r="BN817">
        <v>26598217</v>
      </c>
      <c r="BO817" t="s">
        <v>10943</v>
      </c>
      <c r="BP817" t="s">
        <v>74</v>
      </c>
      <c r="BQ817" t="s">
        <v>74</v>
      </c>
      <c r="BR817" t="s">
        <v>106</v>
      </c>
      <c r="BS817" t="s">
        <v>15557</v>
      </c>
      <c r="BT817" t="str">
        <f>HYPERLINK("https%3A%2F%2Fwww.webofscience.com%2Fwos%2Fwoscc%2Ffull-record%2FWOS:000369135400017","View Full Record in Web of Science")</f>
        <v>View Full Record in Web of Science</v>
      </c>
    </row>
    <row r="818" spans="1:72" x14ac:dyDescent="0.15">
      <c r="A818" t="s">
        <v>72</v>
      </c>
      <c r="B818" t="s">
        <v>15558</v>
      </c>
      <c r="C818" t="s">
        <v>74</v>
      </c>
      <c r="D818" t="s">
        <v>74</v>
      </c>
      <c r="E818" t="s">
        <v>74</v>
      </c>
      <c r="F818" t="s">
        <v>15559</v>
      </c>
      <c r="G818" t="s">
        <v>74</v>
      </c>
      <c r="H818" t="s">
        <v>74</v>
      </c>
      <c r="I818" t="s">
        <v>15560</v>
      </c>
      <c r="J818" t="s">
        <v>4268</v>
      </c>
      <c r="K818" t="s">
        <v>74</v>
      </c>
      <c r="L818" t="s">
        <v>74</v>
      </c>
      <c r="M818" t="s">
        <v>78</v>
      </c>
      <c r="N818" t="s">
        <v>79</v>
      </c>
      <c r="O818" t="s">
        <v>74</v>
      </c>
      <c r="P818" t="s">
        <v>74</v>
      </c>
      <c r="Q818" t="s">
        <v>74</v>
      </c>
      <c r="R818" t="s">
        <v>74</v>
      </c>
      <c r="S818" t="s">
        <v>74</v>
      </c>
      <c r="T818" t="s">
        <v>15561</v>
      </c>
      <c r="U818" t="s">
        <v>15562</v>
      </c>
      <c r="V818" t="s">
        <v>15563</v>
      </c>
      <c r="W818" t="s">
        <v>15564</v>
      </c>
      <c r="X818" t="s">
        <v>15565</v>
      </c>
      <c r="Y818" t="s">
        <v>15566</v>
      </c>
      <c r="Z818" t="s">
        <v>15567</v>
      </c>
      <c r="AA818" t="s">
        <v>15568</v>
      </c>
      <c r="AB818" t="s">
        <v>15569</v>
      </c>
      <c r="AC818" t="s">
        <v>74</v>
      </c>
      <c r="AD818" t="s">
        <v>74</v>
      </c>
      <c r="AE818" t="s">
        <v>74</v>
      </c>
      <c r="AF818" t="s">
        <v>74</v>
      </c>
      <c r="AG818">
        <v>54</v>
      </c>
      <c r="AH818">
        <v>171</v>
      </c>
      <c r="AI818">
        <v>189</v>
      </c>
      <c r="AJ818">
        <v>16</v>
      </c>
      <c r="AK818">
        <v>218</v>
      </c>
      <c r="AL818" t="s">
        <v>1657</v>
      </c>
      <c r="AM818" t="s">
        <v>679</v>
      </c>
      <c r="AN818" t="s">
        <v>1658</v>
      </c>
      <c r="AO818" t="s">
        <v>4281</v>
      </c>
      <c r="AP818" t="s">
        <v>4282</v>
      </c>
      <c r="AQ818" t="s">
        <v>74</v>
      </c>
      <c r="AR818" t="s">
        <v>4283</v>
      </c>
      <c r="AS818" t="s">
        <v>4284</v>
      </c>
      <c r="AT818" t="s">
        <v>14688</v>
      </c>
      <c r="AU818">
        <v>2016</v>
      </c>
      <c r="AV818">
        <v>73</v>
      </c>
      <c r="AW818">
        <v>3</v>
      </c>
      <c r="AX818" t="s">
        <v>74</v>
      </c>
      <c r="AY818" t="s">
        <v>74</v>
      </c>
      <c r="AZ818" t="s">
        <v>74</v>
      </c>
      <c r="BA818" t="s">
        <v>74</v>
      </c>
      <c r="BB818">
        <v>572</v>
      </c>
      <c r="BC818">
        <v>581</v>
      </c>
      <c r="BD818" t="s">
        <v>74</v>
      </c>
      <c r="BE818" t="s">
        <v>15570</v>
      </c>
      <c r="BF818" t="str">
        <f>HYPERLINK("http://dx.doi.org/10.1093/icesjms/fsv118","http://dx.doi.org/10.1093/icesjms/fsv118")</f>
        <v>http://dx.doi.org/10.1093/icesjms/fsv118</v>
      </c>
      <c r="BG818" t="s">
        <v>74</v>
      </c>
      <c r="BH818" t="s">
        <v>74</v>
      </c>
      <c r="BI818">
        <v>10</v>
      </c>
      <c r="BJ818" t="s">
        <v>4286</v>
      </c>
      <c r="BK818" t="s">
        <v>102</v>
      </c>
      <c r="BL818" t="s">
        <v>4286</v>
      </c>
      <c r="BM818" t="s">
        <v>14690</v>
      </c>
      <c r="BN818" t="s">
        <v>74</v>
      </c>
      <c r="BO818" t="s">
        <v>420</v>
      </c>
      <c r="BP818" t="s">
        <v>1046</v>
      </c>
      <c r="BQ818" t="s">
        <v>1047</v>
      </c>
      <c r="BR818" t="s">
        <v>106</v>
      </c>
      <c r="BS818" t="s">
        <v>15571</v>
      </c>
      <c r="BT818" t="str">
        <f>HYPERLINK("https%3A%2F%2Fwww.webofscience.com%2Fwos%2Fwoscc%2Ffull-record%2FWOS:000371142000007","View Full Record in Web of Science")</f>
        <v>View Full Record in Web of Science</v>
      </c>
    </row>
    <row r="819" spans="1:72" x14ac:dyDescent="0.15">
      <c r="A819" t="s">
        <v>72</v>
      </c>
      <c r="B819" t="s">
        <v>15572</v>
      </c>
      <c r="C819" t="s">
        <v>74</v>
      </c>
      <c r="D819" t="s">
        <v>74</v>
      </c>
      <c r="E819" t="s">
        <v>74</v>
      </c>
      <c r="F819" t="s">
        <v>15573</v>
      </c>
      <c r="G819" t="s">
        <v>74</v>
      </c>
      <c r="H819" t="s">
        <v>74</v>
      </c>
      <c r="I819" t="s">
        <v>15574</v>
      </c>
      <c r="J819" t="s">
        <v>4268</v>
      </c>
      <c r="K819" t="s">
        <v>74</v>
      </c>
      <c r="L819" t="s">
        <v>74</v>
      </c>
      <c r="M819" t="s">
        <v>78</v>
      </c>
      <c r="N819" t="s">
        <v>79</v>
      </c>
      <c r="O819" t="s">
        <v>74</v>
      </c>
      <c r="P819" t="s">
        <v>74</v>
      </c>
      <c r="Q819" t="s">
        <v>74</v>
      </c>
      <c r="R819" t="s">
        <v>74</v>
      </c>
      <c r="S819" t="s">
        <v>74</v>
      </c>
      <c r="T819" t="s">
        <v>15575</v>
      </c>
      <c r="U819" t="s">
        <v>15576</v>
      </c>
      <c r="V819" t="s">
        <v>15577</v>
      </c>
      <c r="W819" t="s">
        <v>15578</v>
      </c>
      <c r="X819" t="s">
        <v>15579</v>
      </c>
      <c r="Y819" t="s">
        <v>15580</v>
      </c>
      <c r="Z819" t="s">
        <v>15581</v>
      </c>
      <c r="AA819" t="s">
        <v>148</v>
      </c>
      <c r="AB819" t="s">
        <v>15582</v>
      </c>
      <c r="AC819" t="s">
        <v>15583</v>
      </c>
      <c r="AD819" t="s">
        <v>15584</v>
      </c>
      <c r="AE819" t="s">
        <v>15585</v>
      </c>
      <c r="AF819" t="s">
        <v>74</v>
      </c>
      <c r="AG819">
        <v>71</v>
      </c>
      <c r="AH819">
        <v>26</v>
      </c>
      <c r="AI819">
        <v>28</v>
      </c>
      <c r="AJ819">
        <v>0</v>
      </c>
      <c r="AK819">
        <v>25</v>
      </c>
      <c r="AL819" t="s">
        <v>1657</v>
      </c>
      <c r="AM819" t="s">
        <v>679</v>
      </c>
      <c r="AN819" t="s">
        <v>1658</v>
      </c>
      <c r="AO819" t="s">
        <v>4281</v>
      </c>
      <c r="AP819" t="s">
        <v>4282</v>
      </c>
      <c r="AQ819" t="s">
        <v>74</v>
      </c>
      <c r="AR819" t="s">
        <v>4283</v>
      </c>
      <c r="AS819" t="s">
        <v>4284</v>
      </c>
      <c r="AT819" t="s">
        <v>14688</v>
      </c>
      <c r="AU819">
        <v>2016</v>
      </c>
      <c r="AV819">
        <v>73</v>
      </c>
      <c r="AW819">
        <v>3</v>
      </c>
      <c r="AX819" t="s">
        <v>74</v>
      </c>
      <c r="AY819" t="s">
        <v>74</v>
      </c>
      <c r="AZ819" t="s">
        <v>74</v>
      </c>
      <c r="BA819" t="s">
        <v>74</v>
      </c>
      <c r="BB819">
        <v>920</v>
      </c>
      <c r="BC819">
        <v>926</v>
      </c>
      <c r="BD819" t="s">
        <v>74</v>
      </c>
      <c r="BE819" t="s">
        <v>15586</v>
      </c>
      <c r="BF819" t="str">
        <f>HYPERLINK("http://dx.doi.org/10.1093/icesjms/fsv031","http://dx.doi.org/10.1093/icesjms/fsv031")</f>
        <v>http://dx.doi.org/10.1093/icesjms/fsv031</v>
      </c>
      <c r="BG819" t="s">
        <v>74</v>
      </c>
      <c r="BH819" t="s">
        <v>74</v>
      </c>
      <c r="BI819">
        <v>7</v>
      </c>
      <c r="BJ819" t="s">
        <v>4286</v>
      </c>
      <c r="BK819" t="s">
        <v>102</v>
      </c>
      <c r="BL819" t="s">
        <v>4286</v>
      </c>
      <c r="BM819" t="s">
        <v>14690</v>
      </c>
      <c r="BN819" t="s">
        <v>74</v>
      </c>
      <c r="BO819" t="s">
        <v>13049</v>
      </c>
      <c r="BP819" t="s">
        <v>74</v>
      </c>
      <c r="BQ819" t="s">
        <v>74</v>
      </c>
      <c r="BR819" t="s">
        <v>106</v>
      </c>
      <c r="BS819" t="s">
        <v>15587</v>
      </c>
      <c r="BT819" t="str">
        <f>HYPERLINK("https%3A%2F%2Fwww.webofscience.com%2Fwos%2Fwoscc%2Ffull-record%2FWOS:000371142000039","View Full Record in Web of Science")</f>
        <v>View Full Record in Web of Science</v>
      </c>
    </row>
    <row r="820" spans="1:72" x14ac:dyDescent="0.15">
      <c r="A820" t="s">
        <v>72</v>
      </c>
      <c r="B820" t="s">
        <v>15588</v>
      </c>
      <c r="C820" t="s">
        <v>74</v>
      </c>
      <c r="D820" t="s">
        <v>74</v>
      </c>
      <c r="E820" t="s">
        <v>74</v>
      </c>
      <c r="F820" t="s">
        <v>15589</v>
      </c>
      <c r="G820" t="s">
        <v>74</v>
      </c>
      <c r="H820" t="s">
        <v>74</v>
      </c>
      <c r="I820" t="s">
        <v>15590</v>
      </c>
      <c r="J820" t="s">
        <v>14861</v>
      </c>
      <c r="K820" t="s">
        <v>74</v>
      </c>
      <c r="L820" t="s">
        <v>74</v>
      </c>
      <c r="M820" t="s">
        <v>78</v>
      </c>
      <c r="N820" t="s">
        <v>79</v>
      </c>
      <c r="O820" t="s">
        <v>74</v>
      </c>
      <c r="P820" t="s">
        <v>74</v>
      </c>
      <c r="Q820" t="s">
        <v>74</v>
      </c>
      <c r="R820" t="s">
        <v>74</v>
      </c>
      <c r="S820" t="s">
        <v>74</v>
      </c>
      <c r="T820" t="s">
        <v>15591</v>
      </c>
      <c r="U820" t="s">
        <v>15592</v>
      </c>
      <c r="V820" t="s">
        <v>15593</v>
      </c>
      <c r="W820" t="s">
        <v>15594</v>
      </c>
      <c r="X820" t="s">
        <v>15595</v>
      </c>
      <c r="Y820" t="s">
        <v>15596</v>
      </c>
      <c r="Z820" t="s">
        <v>15597</v>
      </c>
      <c r="AA820" t="s">
        <v>74</v>
      </c>
      <c r="AB820" t="s">
        <v>15598</v>
      </c>
      <c r="AC820" t="s">
        <v>15599</v>
      </c>
      <c r="AD820" t="s">
        <v>15600</v>
      </c>
      <c r="AE820" t="s">
        <v>15601</v>
      </c>
      <c r="AF820" t="s">
        <v>74</v>
      </c>
      <c r="AG820">
        <v>45</v>
      </c>
      <c r="AH820">
        <v>6</v>
      </c>
      <c r="AI820">
        <v>6</v>
      </c>
      <c r="AJ820">
        <v>0</v>
      </c>
      <c r="AK820">
        <v>23</v>
      </c>
      <c r="AL820" t="s">
        <v>124</v>
      </c>
      <c r="AM820" t="s">
        <v>125</v>
      </c>
      <c r="AN820" t="s">
        <v>126</v>
      </c>
      <c r="AO820" t="s">
        <v>14873</v>
      </c>
      <c r="AP820" t="s">
        <v>14874</v>
      </c>
      <c r="AQ820" t="s">
        <v>74</v>
      </c>
      <c r="AR820" t="s">
        <v>14875</v>
      </c>
      <c r="AS820" t="s">
        <v>14876</v>
      </c>
      <c r="AT820" t="s">
        <v>14027</v>
      </c>
      <c r="AU820">
        <v>2016</v>
      </c>
      <c r="AV820">
        <v>36</v>
      </c>
      <c r="AW820">
        <v>2</v>
      </c>
      <c r="AX820" t="s">
        <v>74</v>
      </c>
      <c r="AY820" t="s">
        <v>74</v>
      </c>
      <c r="AZ820" t="s">
        <v>74</v>
      </c>
      <c r="BA820" t="s">
        <v>74</v>
      </c>
      <c r="BB820">
        <v>809</v>
      </c>
      <c r="BC820">
        <v>823</v>
      </c>
      <c r="BD820" t="s">
        <v>74</v>
      </c>
      <c r="BE820" t="s">
        <v>15602</v>
      </c>
      <c r="BF820" t="str">
        <f>HYPERLINK("http://dx.doi.org/10.1002/joc.4384","http://dx.doi.org/10.1002/joc.4384")</f>
        <v>http://dx.doi.org/10.1002/joc.4384</v>
      </c>
      <c r="BG820" t="s">
        <v>74</v>
      </c>
      <c r="BH820" t="s">
        <v>74</v>
      </c>
      <c r="BI820">
        <v>15</v>
      </c>
      <c r="BJ820" t="s">
        <v>1726</v>
      </c>
      <c r="BK820" t="s">
        <v>102</v>
      </c>
      <c r="BL820" t="s">
        <v>1726</v>
      </c>
      <c r="BM820" t="s">
        <v>14878</v>
      </c>
      <c r="BN820" t="s">
        <v>74</v>
      </c>
      <c r="BO820" t="s">
        <v>1143</v>
      </c>
      <c r="BP820" t="s">
        <v>74</v>
      </c>
      <c r="BQ820" t="s">
        <v>74</v>
      </c>
      <c r="BR820" t="s">
        <v>106</v>
      </c>
      <c r="BS820" t="s">
        <v>15603</v>
      </c>
      <c r="BT820" t="str">
        <f>HYPERLINK("https%3A%2F%2Fwww.webofscience.com%2Fwos%2Fwoscc%2Ffull-record%2FWOS:000369991700020","View Full Record in Web of Science")</f>
        <v>View Full Record in Web of Science</v>
      </c>
    </row>
    <row r="821" spans="1:72" x14ac:dyDescent="0.15">
      <c r="A821" t="s">
        <v>72</v>
      </c>
      <c r="B821" t="s">
        <v>15604</v>
      </c>
      <c r="C821" t="s">
        <v>74</v>
      </c>
      <c r="D821" t="s">
        <v>74</v>
      </c>
      <c r="E821" t="s">
        <v>74</v>
      </c>
      <c r="F821" t="s">
        <v>15605</v>
      </c>
      <c r="G821" t="s">
        <v>74</v>
      </c>
      <c r="H821" t="s">
        <v>74</v>
      </c>
      <c r="I821" t="s">
        <v>15606</v>
      </c>
      <c r="J821" t="s">
        <v>14861</v>
      </c>
      <c r="K821" t="s">
        <v>74</v>
      </c>
      <c r="L821" t="s">
        <v>74</v>
      </c>
      <c r="M821" t="s">
        <v>78</v>
      </c>
      <c r="N821" t="s">
        <v>79</v>
      </c>
      <c r="O821" t="s">
        <v>74</v>
      </c>
      <c r="P821" t="s">
        <v>74</v>
      </c>
      <c r="Q821" t="s">
        <v>74</v>
      </c>
      <c r="R821" t="s">
        <v>74</v>
      </c>
      <c r="S821" t="s">
        <v>74</v>
      </c>
      <c r="T821" t="s">
        <v>15607</v>
      </c>
      <c r="U821" t="s">
        <v>15608</v>
      </c>
      <c r="V821" t="s">
        <v>15609</v>
      </c>
      <c r="W821" t="s">
        <v>15610</v>
      </c>
      <c r="X821" t="s">
        <v>15611</v>
      </c>
      <c r="Y821" t="s">
        <v>15612</v>
      </c>
      <c r="Z821" t="s">
        <v>15613</v>
      </c>
      <c r="AA821" t="s">
        <v>74</v>
      </c>
      <c r="AB821" t="s">
        <v>15614</v>
      </c>
      <c r="AC821" t="s">
        <v>15615</v>
      </c>
      <c r="AD821" t="s">
        <v>15616</v>
      </c>
      <c r="AE821" t="s">
        <v>15617</v>
      </c>
      <c r="AF821" t="s">
        <v>74</v>
      </c>
      <c r="AG821">
        <v>69</v>
      </c>
      <c r="AH821">
        <v>0</v>
      </c>
      <c r="AI821">
        <v>0</v>
      </c>
      <c r="AJ821">
        <v>1</v>
      </c>
      <c r="AK821">
        <v>38</v>
      </c>
      <c r="AL821" t="s">
        <v>124</v>
      </c>
      <c r="AM821" t="s">
        <v>125</v>
      </c>
      <c r="AN821" t="s">
        <v>126</v>
      </c>
      <c r="AO821" t="s">
        <v>14873</v>
      </c>
      <c r="AP821" t="s">
        <v>14874</v>
      </c>
      <c r="AQ821" t="s">
        <v>74</v>
      </c>
      <c r="AR821" t="s">
        <v>14875</v>
      </c>
      <c r="AS821" t="s">
        <v>14876</v>
      </c>
      <c r="AT821" t="s">
        <v>14027</v>
      </c>
      <c r="AU821">
        <v>2016</v>
      </c>
      <c r="AV821">
        <v>36</v>
      </c>
      <c r="AW821">
        <v>2</v>
      </c>
      <c r="AX821" t="s">
        <v>74</v>
      </c>
      <c r="AY821" t="s">
        <v>74</v>
      </c>
      <c r="AZ821" t="s">
        <v>74</v>
      </c>
      <c r="BA821" t="s">
        <v>74</v>
      </c>
      <c r="BB821">
        <v>945</v>
      </c>
      <c r="BC821">
        <v>955</v>
      </c>
      <c r="BD821" t="s">
        <v>74</v>
      </c>
      <c r="BE821" t="s">
        <v>15618</v>
      </c>
      <c r="BF821" t="str">
        <f>HYPERLINK("http://dx.doi.org/10.1002/joc.4396","http://dx.doi.org/10.1002/joc.4396")</f>
        <v>http://dx.doi.org/10.1002/joc.4396</v>
      </c>
      <c r="BG821" t="s">
        <v>74</v>
      </c>
      <c r="BH821" t="s">
        <v>74</v>
      </c>
      <c r="BI821">
        <v>11</v>
      </c>
      <c r="BJ821" t="s">
        <v>1726</v>
      </c>
      <c r="BK821" t="s">
        <v>102</v>
      </c>
      <c r="BL821" t="s">
        <v>1726</v>
      </c>
      <c r="BM821" t="s">
        <v>14878</v>
      </c>
      <c r="BN821" t="s">
        <v>74</v>
      </c>
      <c r="BO821" t="s">
        <v>74</v>
      </c>
      <c r="BP821" t="s">
        <v>74</v>
      </c>
      <c r="BQ821" t="s">
        <v>74</v>
      </c>
      <c r="BR821" t="s">
        <v>106</v>
      </c>
      <c r="BS821" t="s">
        <v>15619</v>
      </c>
      <c r="BT821" t="str">
        <f>HYPERLINK("https%3A%2F%2Fwww.webofscience.com%2Fwos%2Fwoscc%2Ffull-record%2FWOS:000369991700030","View Full Record in Web of Science")</f>
        <v>View Full Record in Web of Science</v>
      </c>
    </row>
    <row r="822" spans="1:72" x14ac:dyDescent="0.15">
      <c r="A822" t="s">
        <v>72</v>
      </c>
      <c r="B822" t="s">
        <v>15620</v>
      </c>
      <c r="C822" t="s">
        <v>74</v>
      </c>
      <c r="D822" t="s">
        <v>74</v>
      </c>
      <c r="E822" t="s">
        <v>74</v>
      </c>
      <c r="F822" t="s">
        <v>15621</v>
      </c>
      <c r="G822" t="s">
        <v>74</v>
      </c>
      <c r="H822" t="s">
        <v>74</v>
      </c>
      <c r="I822" t="s">
        <v>15622</v>
      </c>
      <c r="J822" t="s">
        <v>15096</v>
      </c>
      <c r="K822" t="s">
        <v>74</v>
      </c>
      <c r="L822" t="s">
        <v>74</v>
      </c>
      <c r="M822" t="s">
        <v>78</v>
      </c>
      <c r="N822" t="s">
        <v>79</v>
      </c>
      <c r="O822" t="s">
        <v>74</v>
      </c>
      <c r="P822" t="s">
        <v>74</v>
      </c>
      <c r="Q822" t="s">
        <v>74</v>
      </c>
      <c r="R822" t="s">
        <v>74</v>
      </c>
      <c r="S822" t="s">
        <v>74</v>
      </c>
      <c r="T822" t="s">
        <v>74</v>
      </c>
      <c r="U822" t="s">
        <v>15623</v>
      </c>
      <c r="V822" t="s">
        <v>15624</v>
      </c>
      <c r="W822" t="s">
        <v>15625</v>
      </c>
      <c r="X822" t="s">
        <v>15626</v>
      </c>
      <c r="Y822" t="s">
        <v>15627</v>
      </c>
      <c r="Z822" t="s">
        <v>15628</v>
      </c>
      <c r="AA822" t="s">
        <v>15629</v>
      </c>
      <c r="AB822" t="s">
        <v>15630</v>
      </c>
      <c r="AC822" t="s">
        <v>15631</v>
      </c>
      <c r="AD822" t="s">
        <v>15632</v>
      </c>
      <c r="AE822" t="s">
        <v>15633</v>
      </c>
      <c r="AF822" t="s">
        <v>74</v>
      </c>
      <c r="AG822">
        <v>79</v>
      </c>
      <c r="AH822">
        <v>174</v>
      </c>
      <c r="AI822">
        <v>194</v>
      </c>
      <c r="AJ822">
        <v>8</v>
      </c>
      <c r="AK822">
        <v>100</v>
      </c>
      <c r="AL822" t="s">
        <v>772</v>
      </c>
      <c r="AM822" t="s">
        <v>773</v>
      </c>
      <c r="AN822" t="s">
        <v>774</v>
      </c>
      <c r="AO822" t="s">
        <v>15107</v>
      </c>
      <c r="AP822" t="s">
        <v>15108</v>
      </c>
      <c r="AQ822" t="s">
        <v>74</v>
      </c>
      <c r="AR822" t="s">
        <v>15109</v>
      </c>
      <c r="AS822" t="s">
        <v>15110</v>
      </c>
      <c r="AT822" t="s">
        <v>14027</v>
      </c>
      <c r="AU822">
        <v>2016</v>
      </c>
      <c r="AV822">
        <v>10</v>
      </c>
      <c r="AW822">
        <v>2</v>
      </c>
      <c r="AX822" t="s">
        <v>74</v>
      </c>
      <c r="AY822" t="s">
        <v>74</v>
      </c>
      <c r="AZ822" t="s">
        <v>74</v>
      </c>
      <c r="BA822" t="s">
        <v>74</v>
      </c>
      <c r="BB822">
        <v>437</v>
      </c>
      <c r="BC822">
        <v>449</v>
      </c>
      <c r="BD822" t="s">
        <v>74</v>
      </c>
      <c r="BE822" t="s">
        <v>15634</v>
      </c>
      <c r="BF822" t="str">
        <f>HYPERLINK("http://dx.doi.org/10.1038/ismej.2015.125","http://dx.doi.org/10.1038/ismej.2015.125")</f>
        <v>http://dx.doi.org/10.1038/ismej.2015.125</v>
      </c>
      <c r="BG822" t="s">
        <v>74</v>
      </c>
      <c r="BH822" t="s">
        <v>74</v>
      </c>
      <c r="BI822">
        <v>13</v>
      </c>
      <c r="BJ822" t="s">
        <v>15112</v>
      </c>
      <c r="BK822" t="s">
        <v>102</v>
      </c>
      <c r="BL822" t="s">
        <v>14481</v>
      </c>
      <c r="BM822" t="s">
        <v>15113</v>
      </c>
      <c r="BN822">
        <v>26296067</v>
      </c>
      <c r="BO822" t="s">
        <v>1191</v>
      </c>
      <c r="BP822" t="s">
        <v>74</v>
      </c>
      <c r="BQ822" t="s">
        <v>74</v>
      </c>
      <c r="BR822" t="s">
        <v>106</v>
      </c>
      <c r="BS822" t="s">
        <v>15635</v>
      </c>
      <c r="BT822" t="str">
        <f>HYPERLINK("https%3A%2F%2Fwww.webofscience.com%2Fwos%2Fwoscc%2Ffull-record%2FWOS:000368561100014","View Full Record in Web of Science")</f>
        <v>View Full Record in Web of Science</v>
      </c>
    </row>
    <row r="823" spans="1:72" x14ac:dyDescent="0.15">
      <c r="A823" t="s">
        <v>72</v>
      </c>
      <c r="B823" t="s">
        <v>15636</v>
      </c>
      <c r="C823" t="s">
        <v>74</v>
      </c>
      <c r="D823" t="s">
        <v>74</v>
      </c>
      <c r="E823" t="s">
        <v>74</v>
      </c>
      <c r="F823" t="s">
        <v>15637</v>
      </c>
      <c r="G823" t="s">
        <v>74</v>
      </c>
      <c r="H823" t="s">
        <v>74</v>
      </c>
      <c r="I823" t="s">
        <v>15638</v>
      </c>
      <c r="J823" t="s">
        <v>322</v>
      </c>
      <c r="K823" t="s">
        <v>74</v>
      </c>
      <c r="L823" t="s">
        <v>74</v>
      </c>
      <c r="M823" t="s">
        <v>78</v>
      </c>
      <c r="N823" t="s">
        <v>79</v>
      </c>
      <c r="O823" t="s">
        <v>74</v>
      </c>
      <c r="P823" t="s">
        <v>74</v>
      </c>
      <c r="Q823" t="s">
        <v>74</v>
      </c>
      <c r="R823" t="s">
        <v>74</v>
      </c>
      <c r="S823" t="s">
        <v>74</v>
      </c>
      <c r="T823" t="s">
        <v>15639</v>
      </c>
      <c r="U823" t="s">
        <v>15640</v>
      </c>
      <c r="V823" t="s">
        <v>15641</v>
      </c>
      <c r="W823" t="s">
        <v>15642</v>
      </c>
      <c r="X823" t="s">
        <v>15643</v>
      </c>
      <c r="Y823" t="s">
        <v>15644</v>
      </c>
      <c r="Z823" t="s">
        <v>15645</v>
      </c>
      <c r="AA823" t="s">
        <v>15646</v>
      </c>
      <c r="AB823" t="s">
        <v>15647</v>
      </c>
      <c r="AC823" t="s">
        <v>15648</v>
      </c>
      <c r="AD823" t="s">
        <v>15649</v>
      </c>
      <c r="AE823" t="s">
        <v>15650</v>
      </c>
      <c r="AF823" t="s">
        <v>74</v>
      </c>
      <c r="AG823">
        <v>72</v>
      </c>
      <c r="AH823">
        <v>48</v>
      </c>
      <c r="AI823">
        <v>50</v>
      </c>
      <c r="AJ823">
        <v>2</v>
      </c>
      <c r="AK823">
        <v>78</v>
      </c>
      <c r="AL823" t="s">
        <v>124</v>
      </c>
      <c r="AM823" t="s">
        <v>125</v>
      </c>
      <c r="AN823" t="s">
        <v>126</v>
      </c>
      <c r="AO823" t="s">
        <v>334</v>
      </c>
      <c r="AP823" t="s">
        <v>335</v>
      </c>
      <c r="AQ823" t="s">
        <v>74</v>
      </c>
      <c r="AR823" t="s">
        <v>336</v>
      </c>
      <c r="AS823" t="s">
        <v>337</v>
      </c>
      <c r="AT823" t="s">
        <v>14027</v>
      </c>
      <c r="AU823">
        <v>2016</v>
      </c>
      <c r="AV823">
        <v>43</v>
      </c>
      <c r="AW823">
        <v>2</v>
      </c>
      <c r="AX823" t="s">
        <v>74</v>
      </c>
      <c r="AY823" t="s">
        <v>74</v>
      </c>
      <c r="AZ823" t="s">
        <v>74</v>
      </c>
      <c r="BA823" t="s">
        <v>74</v>
      </c>
      <c r="BB823">
        <v>372</v>
      </c>
      <c r="BC823">
        <v>383</v>
      </c>
      <c r="BD823" t="s">
        <v>74</v>
      </c>
      <c r="BE823" t="s">
        <v>15651</v>
      </c>
      <c r="BF823" t="str">
        <f>HYPERLINK("http://dx.doi.org/10.1111/jbi.12630","http://dx.doi.org/10.1111/jbi.12630")</f>
        <v>http://dx.doi.org/10.1111/jbi.12630</v>
      </c>
      <c r="BG823" t="s">
        <v>74</v>
      </c>
      <c r="BH823" t="s">
        <v>74</v>
      </c>
      <c r="BI823">
        <v>12</v>
      </c>
      <c r="BJ823" t="s">
        <v>157</v>
      </c>
      <c r="BK823" t="s">
        <v>102</v>
      </c>
      <c r="BL823" t="s">
        <v>158</v>
      </c>
      <c r="BM823" t="s">
        <v>15652</v>
      </c>
      <c r="BN823" t="s">
        <v>74</v>
      </c>
      <c r="BO823" t="s">
        <v>74</v>
      </c>
      <c r="BP823" t="s">
        <v>74</v>
      </c>
      <c r="BQ823" t="s">
        <v>74</v>
      </c>
      <c r="BR823" t="s">
        <v>106</v>
      </c>
      <c r="BS823" t="s">
        <v>15653</v>
      </c>
      <c r="BT823" t="str">
        <f>HYPERLINK("https%3A%2F%2Fwww.webofscience.com%2Fwos%2Fwoscc%2Ffull-record%2FWOS:000368271000014","View Full Record in Web of Science")</f>
        <v>View Full Record in Web of Science</v>
      </c>
    </row>
    <row r="824" spans="1:72" x14ac:dyDescent="0.15">
      <c r="A824" t="s">
        <v>72</v>
      </c>
      <c r="B824" t="s">
        <v>15654</v>
      </c>
      <c r="C824" t="s">
        <v>74</v>
      </c>
      <c r="D824" t="s">
        <v>74</v>
      </c>
      <c r="E824" t="s">
        <v>74</v>
      </c>
      <c r="F824" t="s">
        <v>15655</v>
      </c>
      <c r="G824" t="s">
        <v>74</v>
      </c>
      <c r="H824" t="s">
        <v>74</v>
      </c>
      <c r="I824" t="s">
        <v>15656</v>
      </c>
      <c r="J824" t="s">
        <v>3391</v>
      </c>
      <c r="K824" t="s">
        <v>74</v>
      </c>
      <c r="L824" t="s">
        <v>74</v>
      </c>
      <c r="M824" t="s">
        <v>78</v>
      </c>
      <c r="N824" t="s">
        <v>79</v>
      </c>
      <c r="O824" t="s">
        <v>74</v>
      </c>
      <c r="P824" t="s">
        <v>74</v>
      </c>
      <c r="Q824" t="s">
        <v>74</v>
      </c>
      <c r="R824" t="s">
        <v>74</v>
      </c>
      <c r="S824" t="s">
        <v>74</v>
      </c>
      <c r="T824" t="s">
        <v>15657</v>
      </c>
      <c r="U824" t="s">
        <v>15658</v>
      </c>
      <c r="V824" t="s">
        <v>15659</v>
      </c>
      <c r="W824" t="s">
        <v>15660</v>
      </c>
      <c r="X824" t="s">
        <v>15661</v>
      </c>
      <c r="Y824" t="s">
        <v>15662</v>
      </c>
      <c r="Z824" t="s">
        <v>15663</v>
      </c>
      <c r="AA824" t="s">
        <v>15664</v>
      </c>
      <c r="AB824" t="s">
        <v>15665</v>
      </c>
      <c r="AC824" t="s">
        <v>15666</v>
      </c>
      <c r="AD824" t="s">
        <v>15667</v>
      </c>
      <c r="AE824" t="s">
        <v>15668</v>
      </c>
      <c r="AF824" t="s">
        <v>74</v>
      </c>
      <c r="AG824">
        <v>46</v>
      </c>
      <c r="AH824">
        <v>13</v>
      </c>
      <c r="AI824">
        <v>14</v>
      </c>
      <c r="AJ824">
        <v>3</v>
      </c>
      <c r="AK824">
        <v>31</v>
      </c>
      <c r="AL824" t="s">
        <v>511</v>
      </c>
      <c r="AM824" t="s">
        <v>512</v>
      </c>
      <c r="AN824" t="s">
        <v>4522</v>
      </c>
      <c r="AO824" t="s">
        <v>3403</v>
      </c>
      <c r="AP824" t="s">
        <v>3404</v>
      </c>
      <c r="AQ824" t="s">
        <v>74</v>
      </c>
      <c r="AR824" t="s">
        <v>3405</v>
      </c>
      <c r="AS824" t="s">
        <v>3406</v>
      </c>
      <c r="AT824" t="s">
        <v>14027</v>
      </c>
      <c r="AU824">
        <v>2016</v>
      </c>
      <c r="AV824">
        <v>29</v>
      </c>
      <c r="AW824">
        <v>3</v>
      </c>
      <c r="AX824" t="s">
        <v>74</v>
      </c>
      <c r="AY824" t="s">
        <v>74</v>
      </c>
      <c r="AZ824" t="s">
        <v>74</v>
      </c>
      <c r="BA824" t="s">
        <v>74</v>
      </c>
      <c r="BB824">
        <v>907</v>
      </c>
      <c r="BC824">
        <v>924</v>
      </c>
      <c r="BD824" t="s">
        <v>74</v>
      </c>
      <c r="BE824" t="s">
        <v>15669</v>
      </c>
      <c r="BF824" t="str">
        <f>HYPERLINK("http://dx.doi.org/10.1175/JCLI-D-14-00787.1","http://dx.doi.org/10.1175/JCLI-D-14-00787.1")</f>
        <v>http://dx.doi.org/10.1175/JCLI-D-14-00787.1</v>
      </c>
      <c r="BG824" t="s">
        <v>74</v>
      </c>
      <c r="BH824" t="s">
        <v>74</v>
      </c>
      <c r="BI824">
        <v>18</v>
      </c>
      <c r="BJ824" t="s">
        <v>1726</v>
      </c>
      <c r="BK824" t="s">
        <v>102</v>
      </c>
      <c r="BL824" t="s">
        <v>1726</v>
      </c>
      <c r="BM824" t="s">
        <v>15670</v>
      </c>
      <c r="BN824" t="s">
        <v>74</v>
      </c>
      <c r="BO824" t="s">
        <v>3908</v>
      </c>
      <c r="BP824" t="s">
        <v>74</v>
      </c>
      <c r="BQ824" t="s">
        <v>74</v>
      </c>
      <c r="BR824" t="s">
        <v>106</v>
      </c>
      <c r="BS824" t="s">
        <v>15671</v>
      </c>
      <c r="BT824" t="str">
        <f>HYPERLINK("https%3A%2F%2Fwww.webofscience.com%2Fwos%2Fwoscc%2Ffull-record%2FWOS:000369279500002","View Full Record in Web of Science")</f>
        <v>View Full Record in Web of Science</v>
      </c>
    </row>
    <row r="825" spans="1:72" x14ac:dyDescent="0.15">
      <c r="A825" t="s">
        <v>72</v>
      </c>
      <c r="B825" t="s">
        <v>15672</v>
      </c>
      <c r="C825" t="s">
        <v>74</v>
      </c>
      <c r="D825" t="s">
        <v>74</v>
      </c>
      <c r="E825" t="s">
        <v>74</v>
      </c>
      <c r="F825" t="s">
        <v>15673</v>
      </c>
      <c r="G825" t="s">
        <v>74</v>
      </c>
      <c r="H825" t="s">
        <v>74</v>
      </c>
      <c r="I825" t="s">
        <v>15674</v>
      </c>
      <c r="J825" t="s">
        <v>15675</v>
      </c>
      <c r="K825" t="s">
        <v>74</v>
      </c>
      <c r="L825" t="s">
        <v>74</v>
      </c>
      <c r="M825" t="s">
        <v>78</v>
      </c>
      <c r="N825" t="s">
        <v>79</v>
      </c>
      <c r="O825" t="s">
        <v>74</v>
      </c>
      <c r="P825" t="s">
        <v>74</v>
      </c>
      <c r="Q825" t="s">
        <v>74</v>
      </c>
      <c r="R825" t="s">
        <v>74</v>
      </c>
      <c r="S825" t="s">
        <v>74</v>
      </c>
      <c r="T825" t="s">
        <v>15676</v>
      </c>
      <c r="U825" t="s">
        <v>15677</v>
      </c>
      <c r="V825" t="s">
        <v>15678</v>
      </c>
      <c r="W825" t="s">
        <v>15679</v>
      </c>
      <c r="X825" t="s">
        <v>15680</v>
      </c>
      <c r="Y825" t="s">
        <v>15681</v>
      </c>
      <c r="Z825" t="s">
        <v>15682</v>
      </c>
      <c r="AA825" t="s">
        <v>15683</v>
      </c>
      <c r="AB825" t="s">
        <v>15684</v>
      </c>
      <c r="AC825" t="s">
        <v>15685</v>
      </c>
      <c r="AD825" t="s">
        <v>15685</v>
      </c>
      <c r="AE825" t="s">
        <v>15686</v>
      </c>
      <c r="AF825" t="s">
        <v>74</v>
      </c>
      <c r="AG825">
        <v>38</v>
      </c>
      <c r="AH825">
        <v>8</v>
      </c>
      <c r="AI825">
        <v>8</v>
      </c>
      <c r="AJ825">
        <v>0</v>
      </c>
      <c r="AK825">
        <v>19</v>
      </c>
      <c r="AL825" t="s">
        <v>721</v>
      </c>
      <c r="AM825" t="s">
        <v>125</v>
      </c>
      <c r="AN825" t="s">
        <v>126</v>
      </c>
      <c r="AO825" t="s">
        <v>15687</v>
      </c>
      <c r="AP825" t="s">
        <v>15688</v>
      </c>
      <c r="AQ825" t="s">
        <v>74</v>
      </c>
      <c r="AR825" t="s">
        <v>15689</v>
      </c>
      <c r="AS825" t="s">
        <v>15690</v>
      </c>
      <c r="AT825" t="s">
        <v>14027</v>
      </c>
      <c r="AU825">
        <v>2016</v>
      </c>
      <c r="AV825">
        <v>88</v>
      </c>
      <c r="AW825">
        <v>2</v>
      </c>
      <c r="AX825" t="s">
        <v>74</v>
      </c>
      <c r="AY825" t="s">
        <v>74</v>
      </c>
      <c r="AZ825" t="s">
        <v>74</v>
      </c>
      <c r="BA825" t="s">
        <v>74</v>
      </c>
      <c r="BB825">
        <v>727</v>
      </c>
      <c r="BC825">
        <v>734</v>
      </c>
      <c r="BD825" t="s">
        <v>74</v>
      </c>
      <c r="BE825" t="s">
        <v>15691</v>
      </c>
      <c r="BF825" t="str">
        <f>HYPERLINK("http://dx.doi.org/10.1111/jfb.12799","http://dx.doi.org/10.1111/jfb.12799")</f>
        <v>http://dx.doi.org/10.1111/jfb.12799</v>
      </c>
      <c r="BG825" t="s">
        <v>74</v>
      </c>
      <c r="BH825" t="s">
        <v>74</v>
      </c>
      <c r="BI825">
        <v>8</v>
      </c>
      <c r="BJ825" t="s">
        <v>3049</v>
      </c>
      <c r="BK825" t="s">
        <v>102</v>
      </c>
      <c r="BL825" t="s">
        <v>3049</v>
      </c>
      <c r="BM825" t="s">
        <v>15692</v>
      </c>
      <c r="BN825">
        <v>26508660</v>
      </c>
      <c r="BO825" t="s">
        <v>420</v>
      </c>
      <c r="BP825" t="s">
        <v>74</v>
      </c>
      <c r="BQ825" t="s">
        <v>74</v>
      </c>
      <c r="BR825" t="s">
        <v>106</v>
      </c>
      <c r="BS825" t="s">
        <v>15693</v>
      </c>
      <c r="BT825" t="str">
        <f>HYPERLINK("https%3A%2F%2Fwww.webofscience.com%2Fwos%2Fwoscc%2Ffull-record%2FWOS:000370848200021","View Full Record in Web of Science")</f>
        <v>View Full Record in Web of Science</v>
      </c>
    </row>
    <row r="826" spans="1:72" x14ac:dyDescent="0.15">
      <c r="A826" t="s">
        <v>72</v>
      </c>
      <c r="B826" t="s">
        <v>15694</v>
      </c>
      <c r="C826" t="s">
        <v>74</v>
      </c>
      <c r="D826" t="s">
        <v>74</v>
      </c>
      <c r="E826" t="s">
        <v>74</v>
      </c>
      <c r="F826" t="s">
        <v>15695</v>
      </c>
      <c r="G826" t="s">
        <v>74</v>
      </c>
      <c r="H826" t="s">
        <v>74</v>
      </c>
      <c r="I826" t="s">
        <v>15696</v>
      </c>
      <c r="J826" t="s">
        <v>12541</v>
      </c>
      <c r="K826" t="s">
        <v>74</v>
      </c>
      <c r="L826" t="s">
        <v>74</v>
      </c>
      <c r="M826" t="s">
        <v>78</v>
      </c>
      <c r="N826" t="s">
        <v>79</v>
      </c>
      <c r="O826" t="s">
        <v>74</v>
      </c>
      <c r="P826" t="s">
        <v>74</v>
      </c>
      <c r="Q826" t="s">
        <v>74</v>
      </c>
      <c r="R826" t="s">
        <v>74</v>
      </c>
      <c r="S826" t="s">
        <v>74</v>
      </c>
      <c r="T826" t="s">
        <v>15697</v>
      </c>
      <c r="U826" t="s">
        <v>15698</v>
      </c>
      <c r="V826" t="s">
        <v>15699</v>
      </c>
      <c r="W826" t="s">
        <v>15700</v>
      </c>
      <c r="X826" t="s">
        <v>15701</v>
      </c>
      <c r="Y826" t="s">
        <v>15702</v>
      </c>
      <c r="Z826" t="s">
        <v>15703</v>
      </c>
      <c r="AA826" t="s">
        <v>15704</v>
      </c>
      <c r="AB826" t="s">
        <v>15705</v>
      </c>
      <c r="AC826" t="s">
        <v>15706</v>
      </c>
      <c r="AD826" t="s">
        <v>15707</v>
      </c>
      <c r="AE826" t="s">
        <v>15708</v>
      </c>
      <c r="AF826" t="s">
        <v>74</v>
      </c>
      <c r="AG826">
        <v>62</v>
      </c>
      <c r="AH826">
        <v>20</v>
      </c>
      <c r="AI826">
        <v>20</v>
      </c>
      <c r="AJ826">
        <v>0</v>
      </c>
      <c r="AK826">
        <v>24</v>
      </c>
      <c r="AL826" t="s">
        <v>92</v>
      </c>
      <c r="AM826" t="s">
        <v>93</v>
      </c>
      <c r="AN826" t="s">
        <v>94</v>
      </c>
      <c r="AO826" t="s">
        <v>12553</v>
      </c>
      <c r="AP826" t="s">
        <v>12554</v>
      </c>
      <c r="AQ826" t="s">
        <v>74</v>
      </c>
      <c r="AR826" t="s">
        <v>12555</v>
      </c>
      <c r="AS826" t="s">
        <v>12556</v>
      </c>
      <c r="AT826" t="s">
        <v>14027</v>
      </c>
      <c r="AU826">
        <v>2016</v>
      </c>
      <c r="AV826">
        <v>121</v>
      </c>
      <c r="AW826">
        <v>2</v>
      </c>
      <c r="AX826" t="s">
        <v>74</v>
      </c>
      <c r="AY826" t="s">
        <v>74</v>
      </c>
      <c r="AZ826" t="s">
        <v>74</v>
      </c>
      <c r="BA826" t="s">
        <v>74</v>
      </c>
      <c r="BB826">
        <v>438</v>
      </c>
      <c r="BC826">
        <v>450</v>
      </c>
      <c r="BD826" t="s">
        <v>74</v>
      </c>
      <c r="BE826" t="s">
        <v>15709</v>
      </c>
      <c r="BF826" t="str">
        <f>HYPERLINK("http://dx.doi.org/10.1002/2015JG003149","http://dx.doi.org/10.1002/2015JG003149")</f>
        <v>http://dx.doi.org/10.1002/2015JG003149</v>
      </c>
      <c r="BG826" t="s">
        <v>74</v>
      </c>
      <c r="BH826" t="s">
        <v>74</v>
      </c>
      <c r="BI826">
        <v>13</v>
      </c>
      <c r="BJ826" t="s">
        <v>12558</v>
      </c>
      <c r="BK826" t="s">
        <v>102</v>
      </c>
      <c r="BL826" t="s">
        <v>1095</v>
      </c>
      <c r="BM826" t="s">
        <v>15710</v>
      </c>
      <c r="BN826" t="s">
        <v>74</v>
      </c>
      <c r="BO826" t="s">
        <v>4856</v>
      </c>
      <c r="BP826" t="s">
        <v>74</v>
      </c>
      <c r="BQ826" t="s">
        <v>74</v>
      </c>
      <c r="BR826" t="s">
        <v>106</v>
      </c>
      <c r="BS826" t="s">
        <v>15711</v>
      </c>
      <c r="BT826" t="str">
        <f>HYPERLINK("https%3A%2F%2Fwww.webofscience.com%2Fwos%2Fwoscc%2Ffull-record%2FWOS:000373197300013","View Full Record in Web of Science")</f>
        <v>View Full Record in Web of Science</v>
      </c>
    </row>
    <row r="827" spans="1:72" x14ac:dyDescent="0.15">
      <c r="A827" t="s">
        <v>72</v>
      </c>
      <c r="B827" t="s">
        <v>15712</v>
      </c>
      <c r="C827" t="s">
        <v>74</v>
      </c>
      <c r="D827" t="s">
        <v>74</v>
      </c>
      <c r="E827" t="s">
        <v>74</v>
      </c>
      <c r="F827" t="s">
        <v>15713</v>
      </c>
      <c r="G827" t="s">
        <v>74</v>
      </c>
      <c r="H827" t="s">
        <v>74</v>
      </c>
      <c r="I827" t="s">
        <v>15714</v>
      </c>
      <c r="J827" t="s">
        <v>2395</v>
      </c>
      <c r="K827" t="s">
        <v>74</v>
      </c>
      <c r="L827" t="s">
        <v>74</v>
      </c>
      <c r="M827" t="s">
        <v>78</v>
      </c>
      <c r="N827" t="s">
        <v>79</v>
      </c>
      <c r="O827" t="s">
        <v>74</v>
      </c>
      <c r="P827" t="s">
        <v>74</v>
      </c>
      <c r="Q827" t="s">
        <v>74</v>
      </c>
      <c r="R827" t="s">
        <v>74</v>
      </c>
      <c r="S827" t="s">
        <v>74</v>
      </c>
      <c r="T827" t="s">
        <v>15715</v>
      </c>
      <c r="U827" t="s">
        <v>15716</v>
      </c>
      <c r="V827" t="s">
        <v>15717</v>
      </c>
      <c r="W827" t="s">
        <v>15718</v>
      </c>
      <c r="X827" t="s">
        <v>15719</v>
      </c>
      <c r="Y827" t="s">
        <v>15720</v>
      </c>
      <c r="Z827" t="s">
        <v>15721</v>
      </c>
      <c r="AA827" t="s">
        <v>15722</v>
      </c>
      <c r="AB827" t="s">
        <v>15723</v>
      </c>
      <c r="AC827" t="s">
        <v>15724</v>
      </c>
      <c r="AD827" t="s">
        <v>15725</v>
      </c>
      <c r="AE827" t="s">
        <v>15726</v>
      </c>
      <c r="AF827" t="s">
        <v>74</v>
      </c>
      <c r="AG827">
        <v>65</v>
      </c>
      <c r="AH827">
        <v>79</v>
      </c>
      <c r="AI827">
        <v>86</v>
      </c>
      <c r="AJ827">
        <v>0</v>
      </c>
      <c r="AK827">
        <v>39</v>
      </c>
      <c r="AL827" t="s">
        <v>92</v>
      </c>
      <c r="AM827" t="s">
        <v>93</v>
      </c>
      <c r="AN827" t="s">
        <v>94</v>
      </c>
      <c r="AO827" t="s">
        <v>2407</v>
      </c>
      <c r="AP827" t="s">
        <v>2408</v>
      </c>
      <c r="AQ827" t="s">
        <v>74</v>
      </c>
      <c r="AR827" t="s">
        <v>2409</v>
      </c>
      <c r="AS827" t="s">
        <v>2410</v>
      </c>
      <c r="AT827" t="s">
        <v>14027</v>
      </c>
      <c r="AU827">
        <v>2016</v>
      </c>
      <c r="AV827">
        <v>121</v>
      </c>
      <c r="AW827">
        <v>2</v>
      </c>
      <c r="AX827" t="s">
        <v>74</v>
      </c>
      <c r="AY827" t="s">
        <v>74</v>
      </c>
      <c r="AZ827" t="s">
        <v>74</v>
      </c>
      <c r="BA827" t="s">
        <v>74</v>
      </c>
      <c r="BB827">
        <v>182</v>
      </c>
      <c r="BC827">
        <v>200</v>
      </c>
      <c r="BD827" t="s">
        <v>74</v>
      </c>
      <c r="BE827" t="s">
        <v>15727</v>
      </c>
      <c r="BF827" t="str">
        <f>HYPERLINK("http://dx.doi.org/10.1002/2015JF003550","http://dx.doi.org/10.1002/2015JF003550")</f>
        <v>http://dx.doi.org/10.1002/2015JF003550</v>
      </c>
      <c r="BG827" t="s">
        <v>74</v>
      </c>
      <c r="BH827" t="s">
        <v>74</v>
      </c>
      <c r="BI827">
        <v>19</v>
      </c>
      <c r="BJ827" t="s">
        <v>269</v>
      </c>
      <c r="BK827" t="s">
        <v>102</v>
      </c>
      <c r="BL827" t="s">
        <v>270</v>
      </c>
      <c r="BM827" t="s">
        <v>14166</v>
      </c>
      <c r="BN827">
        <v>27134805</v>
      </c>
      <c r="BO827" t="s">
        <v>10943</v>
      </c>
      <c r="BP827" t="s">
        <v>74</v>
      </c>
      <c r="BQ827" t="s">
        <v>74</v>
      </c>
      <c r="BR827" t="s">
        <v>106</v>
      </c>
      <c r="BS827" t="s">
        <v>15728</v>
      </c>
      <c r="BT827" t="str">
        <f>HYPERLINK("https%3A%2F%2Fwww.webofscience.com%2Fwos%2Fwoscc%2Ffull-record%2FWOS:000372928400001","View Full Record in Web of Science")</f>
        <v>View Full Record in Web of Science</v>
      </c>
    </row>
    <row r="828" spans="1:72" x14ac:dyDescent="0.15">
      <c r="A828" t="s">
        <v>72</v>
      </c>
      <c r="B828" t="s">
        <v>15729</v>
      </c>
      <c r="C828" t="s">
        <v>74</v>
      </c>
      <c r="D828" t="s">
        <v>74</v>
      </c>
      <c r="E828" t="s">
        <v>74</v>
      </c>
      <c r="F828" t="s">
        <v>15730</v>
      </c>
      <c r="G828" t="s">
        <v>74</v>
      </c>
      <c r="H828" t="s">
        <v>74</v>
      </c>
      <c r="I828" t="s">
        <v>15731</v>
      </c>
      <c r="J828" t="s">
        <v>385</v>
      </c>
      <c r="K828" t="s">
        <v>74</v>
      </c>
      <c r="L828" t="s">
        <v>74</v>
      </c>
      <c r="M828" t="s">
        <v>78</v>
      </c>
      <c r="N828" t="s">
        <v>79</v>
      </c>
      <c r="O828" t="s">
        <v>74</v>
      </c>
      <c r="P828" t="s">
        <v>74</v>
      </c>
      <c r="Q828" t="s">
        <v>74</v>
      </c>
      <c r="R828" t="s">
        <v>74</v>
      </c>
      <c r="S828" t="s">
        <v>74</v>
      </c>
      <c r="T828" t="s">
        <v>15732</v>
      </c>
      <c r="U828" t="s">
        <v>15733</v>
      </c>
      <c r="V828" t="s">
        <v>15734</v>
      </c>
      <c r="W828" t="s">
        <v>15735</v>
      </c>
      <c r="X828" t="s">
        <v>15736</v>
      </c>
      <c r="Y828" t="s">
        <v>15737</v>
      </c>
      <c r="Z828" t="s">
        <v>15738</v>
      </c>
      <c r="AA828" t="s">
        <v>15739</v>
      </c>
      <c r="AB828" t="s">
        <v>15740</v>
      </c>
      <c r="AC828" t="s">
        <v>15741</v>
      </c>
      <c r="AD828" t="s">
        <v>15742</v>
      </c>
      <c r="AE828" t="s">
        <v>15743</v>
      </c>
      <c r="AF828" t="s">
        <v>74</v>
      </c>
      <c r="AG828">
        <v>17</v>
      </c>
      <c r="AH828">
        <v>6</v>
      </c>
      <c r="AI828">
        <v>7</v>
      </c>
      <c r="AJ828">
        <v>0</v>
      </c>
      <c r="AK828">
        <v>5</v>
      </c>
      <c r="AL828" t="s">
        <v>92</v>
      </c>
      <c r="AM828" t="s">
        <v>93</v>
      </c>
      <c r="AN828" t="s">
        <v>94</v>
      </c>
      <c r="AO828" t="s">
        <v>397</v>
      </c>
      <c r="AP828" t="s">
        <v>398</v>
      </c>
      <c r="AQ828" t="s">
        <v>74</v>
      </c>
      <c r="AR828" t="s">
        <v>399</v>
      </c>
      <c r="AS828" t="s">
        <v>400</v>
      </c>
      <c r="AT828" t="s">
        <v>14027</v>
      </c>
      <c r="AU828">
        <v>2016</v>
      </c>
      <c r="AV828">
        <v>121</v>
      </c>
      <c r="AW828">
        <v>2</v>
      </c>
      <c r="AX828" t="s">
        <v>74</v>
      </c>
      <c r="AY828" t="s">
        <v>74</v>
      </c>
      <c r="AZ828" t="s">
        <v>74</v>
      </c>
      <c r="BA828" t="s">
        <v>74</v>
      </c>
      <c r="BB828">
        <v>1436</v>
      </c>
      <c r="BC828">
        <v>1446</v>
      </c>
      <c r="BD828" t="s">
        <v>74</v>
      </c>
      <c r="BE828" t="s">
        <v>15744</v>
      </c>
      <c r="BF828" t="str">
        <f>HYPERLINK("http://dx.doi.org/10.1002/2015JA022020","http://dx.doi.org/10.1002/2015JA022020")</f>
        <v>http://dx.doi.org/10.1002/2015JA022020</v>
      </c>
      <c r="BG828" t="s">
        <v>74</v>
      </c>
      <c r="BH828" t="s">
        <v>74</v>
      </c>
      <c r="BI828">
        <v>11</v>
      </c>
      <c r="BJ828" t="s">
        <v>248</v>
      </c>
      <c r="BK828" t="s">
        <v>102</v>
      </c>
      <c r="BL828" t="s">
        <v>248</v>
      </c>
      <c r="BM828" t="s">
        <v>14286</v>
      </c>
      <c r="BN828" t="s">
        <v>74</v>
      </c>
      <c r="BO828" t="s">
        <v>1800</v>
      </c>
      <c r="BP828" t="s">
        <v>74</v>
      </c>
      <c r="BQ828" t="s">
        <v>74</v>
      </c>
      <c r="BR828" t="s">
        <v>106</v>
      </c>
      <c r="BS828" t="s">
        <v>15745</v>
      </c>
      <c r="BT828" t="str">
        <f>HYPERLINK("https%3A%2F%2Fwww.webofscience.com%2Fwos%2Fwoscc%2Ffull-record%2FWOS:000373002100037","View Full Record in Web of Science")</f>
        <v>View Full Record in Web of Science</v>
      </c>
    </row>
    <row r="829" spans="1:72" x14ac:dyDescent="0.15">
      <c r="A829" t="s">
        <v>72</v>
      </c>
      <c r="B829" t="s">
        <v>15746</v>
      </c>
      <c r="C829" t="s">
        <v>74</v>
      </c>
      <c r="D829" t="s">
        <v>74</v>
      </c>
      <c r="E829" t="s">
        <v>74</v>
      </c>
      <c r="F829" t="s">
        <v>15747</v>
      </c>
      <c r="G829" t="s">
        <v>74</v>
      </c>
      <c r="H829" t="s">
        <v>74</v>
      </c>
      <c r="I829" t="s">
        <v>15748</v>
      </c>
      <c r="J829" t="s">
        <v>385</v>
      </c>
      <c r="K829" t="s">
        <v>74</v>
      </c>
      <c r="L829" t="s">
        <v>74</v>
      </c>
      <c r="M829" t="s">
        <v>78</v>
      </c>
      <c r="N829" t="s">
        <v>79</v>
      </c>
      <c r="O829" t="s">
        <v>74</v>
      </c>
      <c r="P829" t="s">
        <v>74</v>
      </c>
      <c r="Q829" t="s">
        <v>74</v>
      </c>
      <c r="R829" t="s">
        <v>74</v>
      </c>
      <c r="S829" t="s">
        <v>74</v>
      </c>
      <c r="T829" t="s">
        <v>15749</v>
      </c>
      <c r="U829" t="s">
        <v>15750</v>
      </c>
      <c r="V829" t="s">
        <v>15751</v>
      </c>
      <c r="W829" t="s">
        <v>15752</v>
      </c>
      <c r="X829" t="s">
        <v>15753</v>
      </c>
      <c r="Y829" t="s">
        <v>15754</v>
      </c>
      <c r="Z829" t="s">
        <v>15755</v>
      </c>
      <c r="AA829" t="s">
        <v>15756</v>
      </c>
      <c r="AB829" t="s">
        <v>15757</v>
      </c>
      <c r="AC829" t="s">
        <v>15758</v>
      </c>
      <c r="AD829" t="s">
        <v>15759</v>
      </c>
      <c r="AE829" t="s">
        <v>15760</v>
      </c>
      <c r="AF829" t="s">
        <v>74</v>
      </c>
      <c r="AG829">
        <v>107</v>
      </c>
      <c r="AH829">
        <v>58</v>
      </c>
      <c r="AI829">
        <v>60</v>
      </c>
      <c r="AJ829">
        <v>0</v>
      </c>
      <c r="AK829">
        <v>6</v>
      </c>
      <c r="AL829" t="s">
        <v>92</v>
      </c>
      <c r="AM829" t="s">
        <v>93</v>
      </c>
      <c r="AN829" t="s">
        <v>94</v>
      </c>
      <c r="AO829" t="s">
        <v>397</v>
      </c>
      <c r="AP829" t="s">
        <v>398</v>
      </c>
      <c r="AQ829" t="s">
        <v>74</v>
      </c>
      <c r="AR829" t="s">
        <v>399</v>
      </c>
      <c r="AS829" t="s">
        <v>400</v>
      </c>
      <c r="AT829" t="s">
        <v>14027</v>
      </c>
      <c r="AU829">
        <v>2016</v>
      </c>
      <c r="AV829">
        <v>121</v>
      </c>
      <c r="AW829">
        <v>2</v>
      </c>
      <c r="AX829" t="s">
        <v>74</v>
      </c>
      <c r="AY829" t="s">
        <v>74</v>
      </c>
      <c r="AZ829" t="s">
        <v>74</v>
      </c>
      <c r="BA829" t="s">
        <v>74</v>
      </c>
      <c r="BB829">
        <v>1483</v>
      </c>
      <c r="BC829">
        <v>1502</v>
      </c>
      <c r="BD829" t="s">
        <v>74</v>
      </c>
      <c r="BE829" t="s">
        <v>15761</v>
      </c>
      <c r="BF829" t="str">
        <f>HYPERLINK("http://dx.doi.org/10.1002/2015JA022127","http://dx.doi.org/10.1002/2015JA022127")</f>
        <v>http://dx.doi.org/10.1002/2015JA022127</v>
      </c>
      <c r="BG829" t="s">
        <v>74</v>
      </c>
      <c r="BH829" t="s">
        <v>74</v>
      </c>
      <c r="BI829">
        <v>20</v>
      </c>
      <c r="BJ829" t="s">
        <v>248</v>
      </c>
      <c r="BK829" t="s">
        <v>102</v>
      </c>
      <c r="BL829" t="s">
        <v>248</v>
      </c>
      <c r="BM829" t="s">
        <v>14286</v>
      </c>
      <c r="BN829" t="s">
        <v>74</v>
      </c>
      <c r="BO829" t="s">
        <v>420</v>
      </c>
      <c r="BP829" t="s">
        <v>74</v>
      </c>
      <c r="BQ829" t="s">
        <v>74</v>
      </c>
      <c r="BR829" t="s">
        <v>106</v>
      </c>
      <c r="BS829" t="s">
        <v>15762</v>
      </c>
      <c r="BT829" t="str">
        <f>HYPERLINK("https%3A%2F%2Fwww.webofscience.com%2Fwos%2Fwoscc%2Ffull-record%2FWOS:000373002100041","View Full Record in Web of Science")</f>
        <v>View Full Record in Web of Science</v>
      </c>
    </row>
    <row r="830" spans="1:72" x14ac:dyDescent="0.15">
      <c r="A830" t="s">
        <v>72</v>
      </c>
      <c r="B830" t="s">
        <v>15763</v>
      </c>
      <c r="C830" t="s">
        <v>74</v>
      </c>
      <c r="D830" t="s">
        <v>74</v>
      </c>
      <c r="E830" t="s">
        <v>74</v>
      </c>
      <c r="F830" t="s">
        <v>15764</v>
      </c>
      <c r="G830" t="s">
        <v>74</v>
      </c>
      <c r="H830" t="s">
        <v>74</v>
      </c>
      <c r="I830" t="s">
        <v>15765</v>
      </c>
      <c r="J830" t="s">
        <v>385</v>
      </c>
      <c r="K830" t="s">
        <v>74</v>
      </c>
      <c r="L830" t="s">
        <v>74</v>
      </c>
      <c r="M830" t="s">
        <v>78</v>
      </c>
      <c r="N830" t="s">
        <v>79</v>
      </c>
      <c r="O830" t="s">
        <v>74</v>
      </c>
      <c r="P830" t="s">
        <v>74</v>
      </c>
      <c r="Q830" t="s">
        <v>74</v>
      </c>
      <c r="R830" t="s">
        <v>74</v>
      </c>
      <c r="S830" t="s">
        <v>74</v>
      </c>
      <c r="T830" t="s">
        <v>15766</v>
      </c>
      <c r="U830" t="s">
        <v>15767</v>
      </c>
      <c r="V830" t="s">
        <v>15768</v>
      </c>
      <c r="W830" t="s">
        <v>15769</v>
      </c>
      <c r="X830" t="s">
        <v>15770</v>
      </c>
      <c r="Y830" t="s">
        <v>15771</v>
      </c>
      <c r="Z830" t="s">
        <v>15772</v>
      </c>
      <c r="AA830" t="s">
        <v>15773</v>
      </c>
      <c r="AB830" t="s">
        <v>15774</v>
      </c>
      <c r="AC830" t="s">
        <v>15775</v>
      </c>
      <c r="AD830" t="s">
        <v>15776</v>
      </c>
      <c r="AE830" t="s">
        <v>15777</v>
      </c>
      <c r="AF830" t="s">
        <v>74</v>
      </c>
      <c r="AG830">
        <v>22</v>
      </c>
      <c r="AH830">
        <v>12</v>
      </c>
      <c r="AI830">
        <v>14</v>
      </c>
      <c r="AJ830">
        <v>1</v>
      </c>
      <c r="AK830">
        <v>4</v>
      </c>
      <c r="AL830" t="s">
        <v>92</v>
      </c>
      <c r="AM830" t="s">
        <v>93</v>
      </c>
      <c r="AN830" t="s">
        <v>94</v>
      </c>
      <c r="AO830" t="s">
        <v>397</v>
      </c>
      <c r="AP830" t="s">
        <v>398</v>
      </c>
      <c r="AQ830" t="s">
        <v>74</v>
      </c>
      <c r="AR830" t="s">
        <v>399</v>
      </c>
      <c r="AS830" t="s">
        <v>400</v>
      </c>
      <c r="AT830" t="s">
        <v>14027</v>
      </c>
      <c r="AU830">
        <v>2016</v>
      </c>
      <c r="AV830">
        <v>121</v>
      </c>
      <c r="AW830">
        <v>2</v>
      </c>
      <c r="AX830" t="s">
        <v>74</v>
      </c>
      <c r="AY830" t="s">
        <v>74</v>
      </c>
      <c r="AZ830" t="s">
        <v>74</v>
      </c>
      <c r="BA830" t="s">
        <v>74</v>
      </c>
      <c r="BB830">
        <v>1669</v>
      </c>
      <c r="BC830">
        <v>1679</v>
      </c>
      <c r="BD830" t="s">
        <v>74</v>
      </c>
      <c r="BE830" t="s">
        <v>15778</v>
      </c>
      <c r="BF830" t="str">
        <f>HYPERLINK("http://dx.doi.org/10.1002/2015JA022222","http://dx.doi.org/10.1002/2015JA022222")</f>
        <v>http://dx.doi.org/10.1002/2015JA022222</v>
      </c>
      <c r="BG830" t="s">
        <v>74</v>
      </c>
      <c r="BH830" t="s">
        <v>74</v>
      </c>
      <c r="BI830">
        <v>11</v>
      </c>
      <c r="BJ830" t="s">
        <v>248</v>
      </c>
      <c r="BK830" t="s">
        <v>102</v>
      </c>
      <c r="BL830" t="s">
        <v>248</v>
      </c>
      <c r="BM830" t="s">
        <v>14286</v>
      </c>
      <c r="BN830" t="s">
        <v>74</v>
      </c>
      <c r="BO830" t="s">
        <v>293</v>
      </c>
      <c r="BP830" t="s">
        <v>74</v>
      </c>
      <c r="BQ830" t="s">
        <v>74</v>
      </c>
      <c r="BR830" t="s">
        <v>106</v>
      </c>
      <c r="BS830" t="s">
        <v>15779</v>
      </c>
      <c r="BT830" t="str">
        <f>HYPERLINK("https%3A%2F%2Fwww.webofscience.com%2Fwos%2Fwoscc%2Ffull-record%2FWOS:000373002100054","View Full Record in Web of Science")</f>
        <v>View Full Record in Web of Science</v>
      </c>
    </row>
    <row r="831" spans="1:72" x14ac:dyDescent="0.15">
      <c r="A831" t="s">
        <v>72</v>
      </c>
      <c r="B831" t="s">
        <v>15780</v>
      </c>
      <c r="C831" t="s">
        <v>74</v>
      </c>
      <c r="D831" t="s">
        <v>74</v>
      </c>
      <c r="E831" t="s">
        <v>74</v>
      </c>
      <c r="F831" t="s">
        <v>15781</v>
      </c>
      <c r="G831" t="s">
        <v>74</v>
      </c>
      <c r="H831" t="s">
        <v>74</v>
      </c>
      <c r="I831" t="s">
        <v>15782</v>
      </c>
      <c r="J831" t="s">
        <v>15783</v>
      </c>
      <c r="K831" t="s">
        <v>74</v>
      </c>
      <c r="L831" t="s">
        <v>74</v>
      </c>
      <c r="M831" t="s">
        <v>78</v>
      </c>
      <c r="N831" t="s">
        <v>79</v>
      </c>
      <c r="O831" t="s">
        <v>74</v>
      </c>
      <c r="P831" t="s">
        <v>74</v>
      </c>
      <c r="Q831" t="s">
        <v>74</v>
      </c>
      <c r="R831" t="s">
        <v>74</v>
      </c>
      <c r="S831" t="s">
        <v>74</v>
      </c>
      <c r="T831" t="s">
        <v>15784</v>
      </c>
      <c r="U831" t="s">
        <v>74</v>
      </c>
      <c r="V831" t="s">
        <v>15785</v>
      </c>
      <c r="W831" t="s">
        <v>15786</v>
      </c>
      <c r="X831" t="s">
        <v>74</v>
      </c>
      <c r="Y831" t="s">
        <v>15787</v>
      </c>
      <c r="Z831" t="s">
        <v>15788</v>
      </c>
      <c r="AA831" t="s">
        <v>74</v>
      </c>
      <c r="AB831" t="s">
        <v>74</v>
      </c>
      <c r="AC831" t="s">
        <v>15789</v>
      </c>
      <c r="AD831" t="s">
        <v>15790</v>
      </c>
      <c r="AE831" t="s">
        <v>74</v>
      </c>
      <c r="AF831" t="s">
        <v>74</v>
      </c>
      <c r="AG831">
        <v>44</v>
      </c>
      <c r="AH831">
        <v>2</v>
      </c>
      <c r="AI831">
        <v>3</v>
      </c>
      <c r="AJ831">
        <v>1</v>
      </c>
      <c r="AK831">
        <v>4</v>
      </c>
      <c r="AL831" t="s">
        <v>5020</v>
      </c>
      <c r="AM831" t="s">
        <v>5021</v>
      </c>
      <c r="AN831" t="s">
        <v>5022</v>
      </c>
      <c r="AO831" t="s">
        <v>15791</v>
      </c>
      <c r="AP831" t="s">
        <v>15792</v>
      </c>
      <c r="AQ831" t="s">
        <v>74</v>
      </c>
      <c r="AR831" t="s">
        <v>15793</v>
      </c>
      <c r="AS831" t="s">
        <v>15794</v>
      </c>
      <c r="AT831" t="s">
        <v>14027</v>
      </c>
      <c r="AU831">
        <v>2016</v>
      </c>
      <c r="AV831">
        <v>24</v>
      </c>
      <c r="AW831">
        <v>1</v>
      </c>
      <c r="AX831" t="s">
        <v>74</v>
      </c>
      <c r="AY831" t="s">
        <v>74</v>
      </c>
      <c r="AZ831" t="s">
        <v>74</v>
      </c>
      <c r="BA831" t="s">
        <v>74</v>
      </c>
      <c r="BB831">
        <v>4</v>
      </c>
      <c r="BC831">
        <v>10</v>
      </c>
      <c r="BD831" t="s">
        <v>74</v>
      </c>
      <c r="BE831" t="s">
        <v>15795</v>
      </c>
      <c r="BF831" t="str">
        <f>HYPERLINK("http://dx.doi.org/10.1177/0967772014533051","http://dx.doi.org/10.1177/0967772014533051")</f>
        <v>http://dx.doi.org/10.1177/0967772014533051</v>
      </c>
      <c r="BG831" t="s">
        <v>74</v>
      </c>
      <c r="BH831" t="s">
        <v>74</v>
      </c>
      <c r="BI831">
        <v>7</v>
      </c>
      <c r="BJ831" t="s">
        <v>15796</v>
      </c>
      <c r="BK831" t="s">
        <v>2150</v>
      </c>
      <c r="BL831" t="s">
        <v>15797</v>
      </c>
      <c r="BM831" t="s">
        <v>15798</v>
      </c>
      <c r="BN831">
        <v>24974150</v>
      </c>
      <c r="BO831" t="s">
        <v>74</v>
      </c>
      <c r="BP831" t="s">
        <v>74</v>
      </c>
      <c r="BQ831" t="s">
        <v>74</v>
      </c>
      <c r="BR831" t="s">
        <v>106</v>
      </c>
      <c r="BS831" t="s">
        <v>15799</v>
      </c>
      <c r="BT831" t="str">
        <f>HYPERLINK("https%3A%2F%2Fwww.webofscience.com%2Fwos%2Fwoscc%2Ffull-record%2FWOS:000370817100003","View Full Record in Web of Science")</f>
        <v>View Full Record in Web of Science</v>
      </c>
    </row>
    <row r="832" spans="1:72" x14ac:dyDescent="0.15">
      <c r="A832" t="s">
        <v>72</v>
      </c>
      <c r="B832" t="s">
        <v>15800</v>
      </c>
      <c r="C832" t="s">
        <v>74</v>
      </c>
      <c r="D832" t="s">
        <v>74</v>
      </c>
      <c r="E832" t="s">
        <v>74</v>
      </c>
      <c r="F832" t="s">
        <v>15801</v>
      </c>
      <c r="G832" t="s">
        <v>74</v>
      </c>
      <c r="H832" t="s">
        <v>74</v>
      </c>
      <c r="I832" t="s">
        <v>15802</v>
      </c>
      <c r="J832" t="s">
        <v>15783</v>
      </c>
      <c r="K832" t="s">
        <v>74</v>
      </c>
      <c r="L832" t="s">
        <v>74</v>
      </c>
      <c r="M832" t="s">
        <v>78</v>
      </c>
      <c r="N832" t="s">
        <v>79</v>
      </c>
      <c r="O832" t="s">
        <v>74</v>
      </c>
      <c r="P832" t="s">
        <v>74</v>
      </c>
      <c r="Q832" t="s">
        <v>74</v>
      </c>
      <c r="R832" t="s">
        <v>74</v>
      </c>
      <c r="S832" t="s">
        <v>74</v>
      </c>
      <c r="T832" t="s">
        <v>15803</v>
      </c>
      <c r="U832" t="s">
        <v>15804</v>
      </c>
      <c r="V832" t="s">
        <v>15805</v>
      </c>
      <c r="W832" t="s">
        <v>15806</v>
      </c>
      <c r="X832" t="s">
        <v>15807</v>
      </c>
      <c r="Y832" t="s">
        <v>15808</v>
      </c>
      <c r="Z832" t="s">
        <v>15788</v>
      </c>
      <c r="AA832" t="s">
        <v>74</v>
      </c>
      <c r="AB832" t="s">
        <v>74</v>
      </c>
      <c r="AC832" t="s">
        <v>15809</v>
      </c>
      <c r="AD832" t="s">
        <v>15810</v>
      </c>
      <c r="AE832" t="s">
        <v>74</v>
      </c>
      <c r="AF832" t="s">
        <v>74</v>
      </c>
      <c r="AG832">
        <v>32</v>
      </c>
      <c r="AH832">
        <v>0</v>
      </c>
      <c r="AI832">
        <v>0</v>
      </c>
      <c r="AJ832">
        <v>1</v>
      </c>
      <c r="AK832">
        <v>3</v>
      </c>
      <c r="AL832" t="s">
        <v>5020</v>
      </c>
      <c r="AM832" t="s">
        <v>5021</v>
      </c>
      <c r="AN832" t="s">
        <v>5022</v>
      </c>
      <c r="AO832" t="s">
        <v>15791</v>
      </c>
      <c r="AP832" t="s">
        <v>15792</v>
      </c>
      <c r="AQ832" t="s">
        <v>74</v>
      </c>
      <c r="AR832" t="s">
        <v>15793</v>
      </c>
      <c r="AS832" t="s">
        <v>15794</v>
      </c>
      <c r="AT832" t="s">
        <v>14027</v>
      </c>
      <c r="AU832">
        <v>2016</v>
      </c>
      <c r="AV832">
        <v>24</v>
      </c>
      <c r="AW832">
        <v>1</v>
      </c>
      <c r="AX832" t="s">
        <v>74</v>
      </c>
      <c r="AY832" t="s">
        <v>74</v>
      </c>
      <c r="AZ832" t="s">
        <v>74</v>
      </c>
      <c r="BA832" t="s">
        <v>74</v>
      </c>
      <c r="BB832">
        <v>110</v>
      </c>
      <c r="BC832">
        <v>115</v>
      </c>
      <c r="BD832" t="s">
        <v>74</v>
      </c>
      <c r="BE832" t="s">
        <v>15811</v>
      </c>
      <c r="BF832" t="str">
        <f>HYPERLINK("http://dx.doi.org/10.1177/0967772014526131","http://dx.doi.org/10.1177/0967772014526131")</f>
        <v>http://dx.doi.org/10.1177/0967772014526131</v>
      </c>
      <c r="BG832" t="s">
        <v>74</v>
      </c>
      <c r="BH832" t="s">
        <v>74</v>
      </c>
      <c r="BI832">
        <v>6</v>
      </c>
      <c r="BJ832" t="s">
        <v>15796</v>
      </c>
      <c r="BK832" t="s">
        <v>2150</v>
      </c>
      <c r="BL832" t="s">
        <v>15797</v>
      </c>
      <c r="BM832" t="s">
        <v>15798</v>
      </c>
      <c r="BN832">
        <v>24658217</v>
      </c>
      <c r="BO832" t="s">
        <v>74</v>
      </c>
      <c r="BP832" t="s">
        <v>74</v>
      </c>
      <c r="BQ832" t="s">
        <v>74</v>
      </c>
      <c r="BR832" t="s">
        <v>106</v>
      </c>
      <c r="BS832" t="s">
        <v>15812</v>
      </c>
      <c r="BT832" t="str">
        <f>HYPERLINK("https%3A%2F%2Fwww.webofscience.com%2Fwos%2Fwoscc%2Ffull-record%2FWOS:000370817100019","View Full Record in Web of Science")</f>
        <v>View Full Record in Web of Science</v>
      </c>
    </row>
    <row r="833" spans="1:72" x14ac:dyDescent="0.15">
      <c r="A833" t="s">
        <v>72</v>
      </c>
      <c r="B833" t="s">
        <v>15813</v>
      </c>
      <c r="C833" t="s">
        <v>74</v>
      </c>
      <c r="D833" t="s">
        <v>74</v>
      </c>
      <c r="E833" t="s">
        <v>74</v>
      </c>
      <c r="F833" t="s">
        <v>15814</v>
      </c>
      <c r="G833" t="s">
        <v>74</v>
      </c>
      <c r="H833" t="s">
        <v>74</v>
      </c>
      <c r="I833" t="s">
        <v>15815</v>
      </c>
      <c r="J833" t="s">
        <v>500</v>
      </c>
      <c r="K833" t="s">
        <v>74</v>
      </c>
      <c r="L833" t="s">
        <v>74</v>
      </c>
      <c r="M833" t="s">
        <v>78</v>
      </c>
      <c r="N833" t="s">
        <v>79</v>
      </c>
      <c r="O833" t="s">
        <v>74</v>
      </c>
      <c r="P833" t="s">
        <v>74</v>
      </c>
      <c r="Q833" t="s">
        <v>74</v>
      </c>
      <c r="R833" t="s">
        <v>74</v>
      </c>
      <c r="S833" t="s">
        <v>74</v>
      </c>
      <c r="T833" t="s">
        <v>15816</v>
      </c>
      <c r="U833" t="s">
        <v>15817</v>
      </c>
      <c r="V833" t="s">
        <v>15818</v>
      </c>
      <c r="W833" t="s">
        <v>15819</v>
      </c>
      <c r="X833" t="s">
        <v>15820</v>
      </c>
      <c r="Y833" t="s">
        <v>15821</v>
      </c>
      <c r="Z833" t="s">
        <v>15822</v>
      </c>
      <c r="AA833" t="s">
        <v>15823</v>
      </c>
      <c r="AB833" t="s">
        <v>15824</v>
      </c>
      <c r="AC833" t="s">
        <v>15825</v>
      </c>
      <c r="AD833" t="s">
        <v>15826</v>
      </c>
      <c r="AE833" t="s">
        <v>15827</v>
      </c>
      <c r="AF833" t="s">
        <v>74</v>
      </c>
      <c r="AG833">
        <v>72</v>
      </c>
      <c r="AH833">
        <v>24</v>
      </c>
      <c r="AI833">
        <v>24</v>
      </c>
      <c r="AJ833">
        <v>2</v>
      </c>
      <c r="AK833">
        <v>20</v>
      </c>
      <c r="AL833" t="s">
        <v>511</v>
      </c>
      <c r="AM833" t="s">
        <v>512</v>
      </c>
      <c r="AN833" t="s">
        <v>513</v>
      </c>
      <c r="AO833" t="s">
        <v>514</v>
      </c>
      <c r="AP833" t="s">
        <v>515</v>
      </c>
      <c r="AQ833" t="s">
        <v>74</v>
      </c>
      <c r="AR833" t="s">
        <v>516</v>
      </c>
      <c r="AS833" t="s">
        <v>517</v>
      </c>
      <c r="AT833" t="s">
        <v>14027</v>
      </c>
      <c r="AU833">
        <v>2016</v>
      </c>
      <c r="AV833">
        <v>46</v>
      </c>
      <c r="AW833">
        <v>2</v>
      </c>
      <c r="AX833" t="s">
        <v>74</v>
      </c>
      <c r="AY833" t="s">
        <v>74</v>
      </c>
      <c r="AZ833" t="s">
        <v>74</v>
      </c>
      <c r="BA833" t="s">
        <v>74</v>
      </c>
      <c r="BB833">
        <v>417</v>
      </c>
      <c r="BC833">
        <v>437</v>
      </c>
      <c r="BD833" t="s">
        <v>74</v>
      </c>
      <c r="BE833" t="s">
        <v>15828</v>
      </c>
      <c r="BF833" t="str">
        <f>HYPERLINK("http://dx.doi.org/10.1175/JPO-D-15-0055.1","http://dx.doi.org/10.1175/JPO-D-15-0055.1")</f>
        <v>http://dx.doi.org/10.1175/JPO-D-15-0055.1</v>
      </c>
      <c r="BG833" t="s">
        <v>74</v>
      </c>
      <c r="BH833" t="s">
        <v>74</v>
      </c>
      <c r="BI833">
        <v>21</v>
      </c>
      <c r="BJ833" t="s">
        <v>361</v>
      </c>
      <c r="BK833" t="s">
        <v>102</v>
      </c>
      <c r="BL833" t="s">
        <v>361</v>
      </c>
      <c r="BM833" t="s">
        <v>15829</v>
      </c>
      <c r="BN833" t="s">
        <v>74</v>
      </c>
      <c r="BO833" t="s">
        <v>222</v>
      </c>
      <c r="BP833" t="s">
        <v>74</v>
      </c>
      <c r="BQ833" t="s">
        <v>74</v>
      </c>
      <c r="BR833" t="s">
        <v>106</v>
      </c>
      <c r="BS833" t="s">
        <v>15830</v>
      </c>
      <c r="BT833" t="str">
        <f>HYPERLINK("https%3A%2F%2Fwww.webofscience.com%2Fwos%2Fwoscc%2Ffull-record%2FWOS:000372706000001","View Full Record in Web of Science")</f>
        <v>View Full Record in Web of Science</v>
      </c>
    </row>
    <row r="834" spans="1:72" x14ac:dyDescent="0.15">
      <c r="A834" t="s">
        <v>72</v>
      </c>
      <c r="B834" t="s">
        <v>15831</v>
      </c>
      <c r="C834" t="s">
        <v>74</v>
      </c>
      <c r="D834" t="s">
        <v>74</v>
      </c>
      <c r="E834" t="s">
        <v>74</v>
      </c>
      <c r="F834" t="s">
        <v>15832</v>
      </c>
      <c r="G834" t="s">
        <v>74</v>
      </c>
      <c r="H834" t="s">
        <v>74</v>
      </c>
      <c r="I834" t="s">
        <v>15833</v>
      </c>
      <c r="J834" t="s">
        <v>500</v>
      </c>
      <c r="K834" t="s">
        <v>74</v>
      </c>
      <c r="L834" t="s">
        <v>74</v>
      </c>
      <c r="M834" t="s">
        <v>78</v>
      </c>
      <c r="N834" t="s">
        <v>79</v>
      </c>
      <c r="O834" t="s">
        <v>74</v>
      </c>
      <c r="P834" t="s">
        <v>74</v>
      </c>
      <c r="Q834" t="s">
        <v>74</v>
      </c>
      <c r="R834" t="s">
        <v>74</v>
      </c>
      <c r="S834" t="s">
        <v>74</v>
      </c>
      <c r="T834" t="s">
        <v>15834</v>
      </c>
      <c r="U834" t="s">
        <v>15835</v>
      </c>
      <c r="V834" t="s">
        <v>15836</v>
      </c>
      <c r="W834" t="s">
        <v>15837</v>
      </c>
      <c r="X834" t="s">
        <v>5203</v>
      </c>
      <c r="Y834" t="s">
        <v>15838</v>
      </c>
      <c r="Z834" t="s">
        <v>15839</v>
      </c>
      <c r="AA834" t="s">
        <v>15840</v>
      </c>
      <c r="AB834" t="s">
        <v>15841</v>
      </c>
      <c r="AC834" t="s">
        <v>15842</v>
      </c>
      <c r="AD834" t="s">
        <v>15843</v>
      </c>
      <c r="AE834" t="s">
        <v>15844</v>
      </c>
      <c r="AF834" t="s">
        <v>74</v>
      </c>
      <c r="AG834">
        <v>52</v>
      </c>
      <c r="AH834">
        <v>195</v>
      </c>
      <c r="AI834">
        <v>217</v>
      </c>
      <c r="AJ834">
        <v>3</v>
      </c>
      <c r="AK834">
        <v>63</v>
      </c>
      <c r="AL834" t="s">
        <v>511</v>
      </c>
      <c r="AM834" t="s">
        <v>512</v>
      </c>
      <c r="AN834" t="s">
        <v>513</v>
      </c>
      <c r="AO834" t="s">
        <v>514</v>
      </c>
      <c r="AP834" t="s">
        <v>515</v>
      </c>
      <c r="AQ834" t="s">
        <v>74</v>
      </c>
      <c r="AR834" t="s">
        <v>516</v>
      </c>
      <c r="AS834" t="s">
        <v>517</v>
      </c>
      <c r="AT834" t="s">
        <v>14027</v>
      </c>
      <c r="AU834">
        <v>2016</v>
      </c>
      <c r="AV834">
        <v>46</v>
      </c>
      <c r="AW834">
        <v>2</v>
      </c>
      <c r="AX834" t="s">
        <v>74</v>
      </c>
      <c r="AY834" t="s">
        <v>74</v>
      </c>
      <c r="AZ834" t="s">
        <v>74</v>
      </c>
      <c r="BA834" t="s">
        <v>74</v>
      </c>
      <c r="BB834">
        <v>601</v>
      </c>
      <c r="BC834">
        <v>620</v>
      </c>
      <c r="BD834" t="s">
        <v>74</v>
      </c>
      <c r="BE834" t="s">
        <v>15845</v>
      </c>
      <c r="BF834" t="str">
        <f>HYPERLINK("http://dx.doi.org/10.1175/JPO-D-15-0087.1","http://dx.doi.org/10.1175/JPO-D-15-0087.1")</f>
        <v>http://dx.doi.org/10.1175/JPO-D-15-0087.1</v>
      </c>
      <c r="BG834" t="s">
        <v>74</v>
      </c>
      <c r="BH834" t="s">
        <v>74</v>
      </c>
      <c r="BI834">
        <v>20</v>
      </c>
      <c r="BJ834" t="s">
        <v>361</v>
      </c>
      <c r="BK834" t="s">
        <v>102</v>
      </c>
      <c r="BL834" t="s">
        <v>361</v>
      </c>
      <c r="BM834" t="s">
        <v>15846</v>
      </c>
      <c r="BN834" t="s">
        <v>74</v>
      </c>
      <c r="BO834" t="s">
        <v>1440</v>
      </c>
      <c r="BP834" t="s">
        <v>1046</v>
      </c>
      <c r="BQ834" t="s">
        <v>1047</v>
      </c>
      <c r="BR834" t="s">
        <v>106</v>
      </c>
      <c r="BS834" t="s">
        <v>15847</v>
      </c>
      <c r="BT834" t="str">
        <f>HYPERLINK("https%3A%2F%2Fwww.webofscience.com%2Fwos%2Fwoscc%2Ffull-record%2FWOS:000372707600004","View Full Record in Web of Science")</f>
        <v>View Full Record in Web of Science</v>
      </c>
    </row>
    <row r="835" spans="1:72" x14ac:dyDescent="0.15">
      <c r="A835" t="s">
        <v>72</v>
      </c>
      <c r="B835" t="s">
        <v>15848</v>
      </c>
      <c r="C835" t="s">
        <v>74</v>
      </c>
      <c r="D835" t="s">
        <v>74</v>
      </c>
      <c r="E835" t="s">
        <v>74</v>
      </c>
      <c r="F835" t="s">
        <v>15849</v>
      </c>
      <c r="G835" t="s">
        <v>74</v>
      </c>
      <c r="H835" t="s">
        <v>74</v>
      </c>
      <c r="I835" t="s">
        <v>15850</v>
      </c>
      <c r="J835" t="s">
        <v>500</v>
      </c>
      <c r="K835" t="s">
        <v>74</v>
      </c>
      <c r="L835" t="s">
        <v>74</v>
      </c>
      <c r="M835" t="s">
        <v>78</v>
      </c>
      <c r="N835" t="s">
        <v>79</v>
      </c>
      <c r="O835" t="s">
        <v>74</v>
      </c>
      <c r="P835" t="s">
        <v>74</v>
      </c>
      <c r="Q835" t="s">
        <v>74</v>
      </c>
      <c r="R835" t="s">
        <v>74</v>
      </c>
      <c r="S835" t="s">
        <v>74</v>
      </c>
      <c r="T835" t="s">
        <v>15851</v>
      </c>
      <c r="U835" t="s">
        <v>15852</v>
      </c>
      <c r="V835" t="s">
        <v>15853</v>
      </c>
      <c r="W835" t="s">
        <v>15854</v>
      </c>
      <c r="X835" t="s">
        <v>15855</v>
      </c>
      <c r="Y835" t="s">
        <v>15856</v>
      </c>
      <c r="Z835" t="s">
        <v>15857</v>
      </c>
      <c r="AA835" t="s">
        <v>15858</v>
      </c>
      <c r="AB835" t="s">
        <v>15859</v>
      </c>
      <c r="AC835" t="s">
        <v>15860</v>
      </c>
      <c r="AD835" t="s">
        <v>510</v>
      </c>
      <c r="AE835" t="s">
        <v>74</v>
      </c>
      <c r="AF835" t="s">
        <v>74</v>
      </c>
      <c r="AG835">
        <v>93</v>
      </c>
      <c r="AH835">
        <v>100</v>
      </c>
      <c r="AI835">
        <v>103</v>
      </c>
      <c r="AJ835">
        <v>0</v>
      </c>
      <c r="AK835">
        <v>33</v>
      </c>
      <c r="AL835" t="s">
        <v>511</v>
      </c>
      <c r="AM835" t="s">
        <v>512</v>
      </c>
      <c r="AN835" t="s">
        <v>513</v>
      </c>
      <c r="AO835" t="s">
        <v>514</v>
      </c>
      <c r="AP835" t="s">
        <v>515</v>
      </c>
      <c r="AQ835" t="s">
        <v>74</v>
      </c>
      <c r="AR835" t="s">
        <v>516</v>
      </c>
      <c r="AS835" t="s">
        <v>517</v>
      </c>
      <c r="AT835" t="s">
        <v>14027</v>
      </c>
      <c r="AU835">
        <v>2016</v>
      </c>
      <c r="AV835">
        <v>46</v>
      </c>
      <c r="AW835">
        <v>2</v>
      </c>
      <c r="AX835" t="s">
        <v>74</v>
      </c>
      <c r="AY835" t="s">
        <v>74</v>
      </c>
      <c r="AZ835" t="s">
        <v>74</v>
      </c>
      <c r="BA835" t="s">
        <v>74</v>
      </c>
      <c r="BB835">
        <v>635</v>
      </c>
      <c r="BC835">
        <v>661</v>
      </c>
      <c r="BD835" t="s">
        <v>74</v>
      </c>
      <c r="BE835" t="s">
        <v>15861</v>
      </c>
      <c r="BF835" t="str">
        <f>HYPERLINK("http://dx.doi.org/10.1175/JPO-D-14-0201.1","http://dx.doi.org/10.1175/JPO-D-14-0201.1")</f>
        <v>http://dx.doi.org/10.1175/JPO-D-14-0201.1</v>
      </c>
      <c r="BG835" t="s">
        <v>74</v>
      </c>
      <c r="BH835" t="s">
        <v>74</v>
      </c>
      <c r="BI835">
        <v>27</v>
      </c>
      <c r="BJ835" t="s">
        <v>361</v>
      </c>
      <c r="BK835" t="s">
        <v>102</v>
      </c>
      <c r="BL835" t="s">
        <v>361</v>
      </c>
      <c r="BM835" t="s">
        <v>15862</v>
      </c>
      <c r="BN835" t="s">
        <v>74</v>
      </c>
      <c r="BO835" t="s">
        <v>15863</v>
      </c>
      <c r="BP835" t="s">
        <v>74</v>
      </c>
      <c r="BQ835" t="s">
        <v>74</v>
      </c>
      <c r="BR835" t="s">
        <v>106</v>
      </c>
      <c r="BS835" t="s">
        <v>15864</v>
      </c>
      <c r="BT835" t="str">
        <f>HYPERLINK("https%3A%2F%2Fwww.webofscience.com%2Fwos%2Fwoscc%2Ffull-record%2FWOS:000372708300001","View Full Record in Web of Science")</f>
        <v>View Full Record in Web of Science</v>
      </c>
    </row>
    <row r="836" spans="1:72" x14ac:dyDescent="0.15">
      <c r="A836" t="s">
        <v>72</v>
      </c>
      <c r="B836" t="s">
        <v>15848</v>
      </c>
      <c r="C836" t="s">
        <v>74</v>
      </c>
      <c r="D836" t="s">
        <v>74</v>
      </c>
      <c r="E836" t="s">
        <v>74</v>
      </c>
      <c r="F836" t="s">
        <v>15849</v>
      </c>
      <c r="G836" t="s">
        <v>74</v>
      </c>
      <c r="H836" t="s">
        <v>74</v>
      </c>
      <c r="I836" t="s">
        <v>15865</v>
      </c>
      <c r="J836" t="s">
        <v>500</v>
      </c>
      <c r="K836" t="s">
        <v>74</v>
      </c>
      <c r="L836" t="s">
        <v>74</v>
      </c>
      <c r="M836" t="s">
        <v>78</v>
      </c>
      <c r="N836" t="s">
        <v>79</v>
      </c>
      <c r="O836" t="s">
        <v>74</v>
      </c>
      <c r="P836" t="s">
        <v>74</v>
      </c>
      <c r="Q836" t="s">
        <v>74</v>
      </c>
      <c r="R836" t="s">
        <v>74</v>
      </c>
      <c r="S836" t="s">
        <v>74</v>
      </c>
      <c r="T836" t="s">
        <v>74</v>
      </c>
      <c r="U836" t="s">
        <v>15866</v>
      </c>
      <c r="V836" t="s">
        <v>15867</v>
      </c>
      <c r="W836" t="s">
        <v>15868</v>
      </c>
      <c r="X836" t="s">
        <v>15869</v>
      </c>
      <c r="Y836" t="s">
        <v>15856</v>
      </c>
      <c r="Z836" t="s">
        <v>15857</v>
      </c>
      <c r="AA836" t="s">
        <v>15870</v>
      </c>
      <c r="AB836" t="s">
        <v>15871</v>
      </c>
      <c r="AC836" t="s">
        <v>15872</v>
      </c>
      <c r="AD836" t="s">
        <v>660</v>
      </c>
      <c r="AE836" t="s">
        <v>15873</v>
      </c>
      <c r="AF836" t="s">
        <v>74</v>
      </c>
      <c r="AG836">
        <v>87</v>
      </c>
      <c r="AH836">
        <v>73</v>
      </c>
      <c r="AI836">
        <v>78</v>
      </c>
      <c r="AJ836">
        <v>1</v>
      </c>
      <c r="AK836">
        <v>25</v>
      </c>
      <c r="AL836" t="s">
        <v>511</v>
      </c>
      <c r="AM836" t="s">
        <v>512</v>
      </c>
      <c r="AN836" t="s">
        <v>513</v>
      </c>
      <c r="AO836" t="s">
        <v>514</v>
      </c>
      <c r="AP836" t="s">
        <v>515</v>
      </c>
      <c r="AQ836" t="s">
        <v>74</v>
      </c>
      <c r="AR836" t="s">
        <v>516</v>
      </c>
      <c r="AS836" t="s">
        <v>517</v>
      </c>
      <c r="AT836" t="s">
        <v>14027</v>
      </c>
      <c r="AU836">
        <v>2016</v>
      </c>
      <c r="AV836">
        <v>46</v>
      </c>
      <c r="AW836">
        <v>2</v>
      </c>
      <c r="AX836" t="s">
        <v>74</v>
      </c>
      <c r="AY836" t="s">
        <v>74</v>
      </c>
      <c r="AZ836" t="s">
        <v>74</v>
      </c>
      <c r="BA836" t="s">
        <v>74</v>
      </c>
      <c r="BB836">
        <v>663</v>
      </c>
      <c r="BC836">
        <v>681</v>
      </c>
      <c r="BD836" t="s">
        <v>74</v>
      </c>
      <c r="BE836" t="s">
        <v>15874</v>
      </c>
      <c r="BF836" t="str">
        <f>HYPERLINK("http://dx.doi.org/10.1175/JPO-D-14-0259.1","http://dx.doi.org/10.1175/JPO-D-14-0259.1")</f>
        <v>http://dx.doi.org/10.1175/JPO-D-14-0259.1</v>
      </c>
      <c r="BG836" t="s">
        <v>74</v>
      </c>
      <c r="BH836" t="s">
        <v>74</v>
      </c>
      <c r="BI836">
        <v>19</v>
      </c>
      <c r="BJ836" t="s">
        <v>361</v>
      </c>
      <c r="BK836" t="s">
        <v>102</v>
      </c>
      <c r="BL836" t="s">
        <v>361</v>
      </c>
      <c r="BM836" t="s">
        <v>15875</v>
      </c>
      <c r="BN836" t="s">
        <v>74</v>
      </c>
      <c r="BO836" t="s">
        <v>15863</v>
      </c>
      <c r="BP836" t="s">
        <v>74</v>
      </c>
      <c r="BQ836" t="s">
        <v>74</v>
      </c>
      <c r="BR836" t="s">
        <v>106</v>
      </c>
      <c r="BS836" t="s">
        <v>15876</v>
      </c>
      <c r="BT836" t="str">
        <f>HYPERLINK("https%3A%2F%2Fwww.webofscience.com%2Fwos%2Fwoscc%2Ffull-record%2FWOS:000372709100001","View Full Record in Web of Science")</f>
        <v>View Full Record in Web of Science</v>
      </c>
    </row>
    <row r="837" spans="1:72" x14ac:dyDescent="0.15">
      <c r="A837" t="s">
        <v>72</v>
      </c>
      <c r="B837" t="s">
        <v>15877</v>
      </c>
      <c r="C837" t="s">
        <v>74</v>
      </c>
      <c r="D837" t="s">
        <v>74</v>
      </c>
      <c r="E837" t="s">
        <v>74</v>
      </c>
      <c r="F837" t="s">
        <v>15878</v>
      </c>
      <c r="G837" t="s">
        <v>74</v>
      </c>
      <c r="H837" t="s">
        <v>74</v>
      </c>
      <c r="I837" t="s">
        <v>15879</v>
      </c>
      <c r="J837" t="s">
        <v>3649</v>
      </c>
      <c r="K837" t="s">
        <v>74</v>
      </c>
      <c r="L837" t="s">
        <v>74</v>
      </c>
      <c r="M837" t="s">
        <v>78</v>
      </c>
      <c r="N837" t="s">
        <v>79</v>
      </c>
      <c r="O837" t="s">
        <v>74</v>
      </c>
      <c r="P837" t="s">
        <v>74</v>
      </c>
      <c r="Q837" t="s">
        <v>74</v>
      </c>
      <c r="R837" t="s">
        <v>74</v>
      </c>
      <c r="S837" t="s">
        <v>74</v>
      </c>
      <c r="T837" t="s">
        <v>15880</v>
      </c>
      <c r="U837" t="s">
        <v>15881</v>
      </c>
      <c r="V837" t="s">
        <v>15882</v>
      </c>
      <c r="W837" t="s">
        <v>15883</v>
      </c>
      <c r="X837" t="s">
        <v>15884</v>
      </c>
      <c r="Y837" t="s">
        <v>15885</v>
      </c>
      <c r="Z837" t="s">
        <v>15886</v>
      </c>
      <c r="AA837" t="s">
        <v>15887</v>
      </c>
      <c r="AB837" t="s">
        <v>15888</v>
      </c>
      <c r="AC837" t="s">
        <v>15889</v>
      </c>
      <c r="AD837" t="s">
        <v>15890</v>
      </c>
      <c r="AE837" t="s">
        <v>15891</v>
      </c>
      <c r="AF837" t="s">
        <v>74</v>
      </c>
      <c r="AG837">
        <v>33</v>
      </c>
      <c r="AH837">
        <v>16</v>
      </c>
      <c r="AI837">
        <v>17</v>
      </c>
      <c r="AJ837">
        <v>1</v>
      </c>
      <c r="AK837">
        <v>45</v>
      </c>
      <c r="AL837" t="s">
        <v>3662</v>
      </c>
      <c r="AM837" t="s">
        <v>262</v>
      </c>
      <c r="AN837" t="s">
        <v>3663</v>
      </c>
      <c r="AO837" t="s">
        <v>3664</v>
      </c>
      <c r="AP837" t="s">
        <v>3665</v>
      </c>
      <c r="AQ837" t="s">
        <v>74</v>
      </c>
      <c r="AR837" t="s">
        <v>3666</v>
      </c>
      <c r="AS837" t="s">
        <v>3667</v>
      </c>
      <c r="AT837" t="s">
        <v>14027</v>
      </c>
      <c r="AU837">
        <v>2016</v>
      </c>
      <c r="AV837">
        <v>96</v>
      </c>
      <c r="AW837">
        <v>1</v>
      </c>
      <c r="AX837" t="s">
        <v>74</v>
      </c>
      <c r="AY837" t="s">
        <v>74</v>
      </c>
      <c r="AZ837" t="s">
        <v>589</v>
      </c>
      <c r="BA837" t="s">
        <v>74</v>
      </c>
      <c r="BB837">
        <v>159</v>
      </c>
      <c r="BC837">
        <v>165</v>
      </c>
      <c r="BD837" t="s">
        <v>74</v>
      </c>
      <c r="BE837" t="s">
        <v>15892</v>
      </c>
      <c r="BF837" t="str">
        <f>HYPERLINK("http://dx.doi.org/10.1017/S0025315414000307","http://dx.doi.org/10.1017/S0025315414000307")</f>
        <v>http://dx.doi.org/10.1017/S0025315414000307</v>
      </c>
      <c r="BG837" t="s">
        <v>74</v>
      </c>
      <c r="BH837" t="s">
        <v>74</v>
      </c>
      <c r="BI837">
        <v>7</v>
      </c>
      <c r="BJ837" t="s">
        <v>201</v>
      </c>
      <c r="BK837" t="s">
        <v>102</v>
      </c>
      <c r="BL837" t="s">
        <v>201</v>
      </c>
      <c r="BM837" t="s">
        <v>15893</v>
      </c>
      <c r="BN837" t="s">
        <v>74</v>
      </c>
      <c r="BO837" t="s">
        <v>74</v>
      </c>
      <c r="BP837" t="s">
        <v>74</v>
      </c>
      <c r="BQ837" t="s">
        <v>74</v>
      </c>
      <c r="BR837" t="s">
        <v>106</v>
      </c>
      <c r="BS837" t="s">
        <v>15894</v>
      </c>
      <c r="BT837" t="str">
        <f>HYPERLINK("https%3A%2F%2Fwww.webofscience.com%2Fwos%2Fwoscc%2Ffull-record%2FWOS:000371158300014","View Full Record in Web of Science")</f>
        <v>View Full Record in Web of Science</v>
      </c>
    </row>
    <row r="838" spans="1:72" x14ac:dyDescent="0.15">
      <c r="A838" t="s">
        <v>72</v>
      </c>
      <c r="B838" t="s">
        <v>15895</v>
      </c>
      <c r="C838" t="s">
        <v>74</v>
      </c>
      <c r="D838" t="s">
        <v>74</v>
      </c>
      <c r="E838" t="s">
        <v>74</v>
      </c>
      <c r="F838" t="s">
        <v>15896</v>
      </c>
      <c r="G838" t="s">
        <v>74</v>
      </c>
      <c r="H838" t="s">
        <v>74</v>
      </c>
      <c r="I838" t="s">
        <v>15897</v>
      </c>
      <c r="J838" t="s">
        <v>15898</v>
      </c>
      <c r="K838" t="s">
        <v>74</v>
      </c>
      <c r="L838" t="s">
        <v>74</v>
      </c>
      <c r="M838" t="s">
        <v>15899</v>
      </c>
      <c r="N838" t="s">
        <v>79</v>
      </c>
      <c r="O838" t="s">
        <v>74</v>
      </c>
      <c r="P838" t="s">
        <v>74</v>
      </c>
      <c r="Q838" t="s">
        <v>74</v>
      </c>
      <c r="R838" t="s">
        <v>74</v>
      </c>
      <c r="S838" t="s">
        <v>74</v>
      </c>
      <c r="T838" t="s">
        <v>15900</v>
      </c>
      <c r="U838" t="s">
        <v>74</v>
      </c>
      <c r="V838" t="s">
        <v>15901</v>
      </c>
      <c r="W838" t="s">
        <v>15902</v>
      </c>
      <c r="X838" t="s">
        <v>15903</v>
      </c>
      <c r="Y838" t="s">
        <v>15904</v>
      </c>
      <c r="Z838" t="s">
        <v>15905</v>
      </c>
      <c r="AA838" t="s">
        <v>15906</v>
      </c>
      <c r="AB838" t="s">
        <v>15907</v>
      </c>
      <c r="AC838" t="s">
        <v>74</v>
      </c>
      <c r="AD838" t="s">
        <v>74</v>
      </c>
      <c r="AE838" t="s">
        <v>74</v>
      </c>
      <c r="AF838" t="s">
        <v>74</v>
      </c>
      <c r="AG838">
        <v>26</v>
      </c>
      <c r="AH838">
        <v>4</v>
      </c>
      <c r="AI838">
        <v>4</v>
      </c>
      <c r="AJ838">
        <v>0</v>
      </c>
      <c r="AK838">
        <v>4</v>
      </c>
      <c r="AL838" t="s">
        <v>15908</v>
      </c>
      <c r="AM838" t="s">
        <v>10080</v>
      </c>
      <c r="AN838" t="s">
        <v>15909</v>
      </c>
      <c r="AO838" t="s">
        <v>15910</v>
      </c>
      <c r="AP838" t="s">
        <v>15911</v>
      </c>
      <c r="AQ838" t="s">
        <v>74</v>
      </c>
      <c r="AR838" t="s">
        <v>15912</v>
      </c>
      <c r="AS838" t="s">
        <v>15913</v>
      </c>
      <c r="AT838" t="s">
        <v>14027</v>
      </c>
      <c r="AU838">
        <v>2016</v>
      </c>
      <c r="AV838">
        <v>54</v>
      </c>
      <c r="AW838">
        <v>1</v>
      </c>
      <c r="AX838" t="s">
        <v>74</v>
      </c>
      <c r="AY838" t="s">
        <v>74</v>
      </c>
      <c r="AZ838" t="s">
        <v>74</v>
      </c>
      <c r="BA838" t="s">
        <v>74</v>
      </c>
      <c r="BB838">
        <v>140</v>
      </c>
      <c r="BC838">
        <v>144</v>
      </c>
      <c r="BD838" t="s">
        <v>74</v>
      </c>
      <c r="BE838" t="s">
        <v>15914</v>
      </c>
      <c r="BF838" t="str">
        <f>HYPERLINK("http://dx.doi.org/10.9713/kcer.2016.54.1.140","http://dx.doi.org/10.9713/kcer.2016.54.1.140")</f>
        <v>http://dx.doi.org/10.9713/kcer.2016.54.1.140</v>
      </c>
      <c r="BG838" t="s">
        <v>74</v>
      </c>
      <c r="BH838" t="s">
        <v>74</v>
      </c>
      <c r="BI838">
        <v>5</v>
      </c>
      <c r="BJ838" t="s">
        <v>15915</v>
      </c>
      <c r="BK838" t="s">
        <v>967</v>
      </c>
      <c r="BL838" t="s">
        <v>10136</v>
      </c>
      <c r="BM838" t="s">
        <v>15916</v>
      </c>
      <c r="BN838" t="s">
        <v>74</v>
      </c>
      <c r="BO838" t="s">
        <v>495</v>
      </c>
      <c r="BP838" t="s">
        <v>74</v>
      </c>
      <c r="BQ838" t="s">
        <v>74</v>
      </c>
      <c r="BR838" t="s">
        <v>106</v>
      </c>
      <c r="BS838" t="s">
        <v>15917</v>
      </c>
      <c r="BT838" t="str">
        <f>HYPERLINK("https%3A%2F%2Fwww.webofscience.com%2Fwos%2Fwoscc%2Ffull-record%2FWOS:000437569800022","View Full Record in Web of Science")</f>
        <v>View Full Record in Web of Science</v>
      </c>
    </row>
    <row r="839" spans="1:72" x14ac:dyDescent="0.15">
      <c r="A839" t="s">
        <v>72</v>
      </c>
      <c r="B839" t="s">
        <v>15918</v>
      </c>
      <c r="C839" t="s">
        <v>74</v>
      </c>
      <c r="D839" t="s">
        <v>74</v>
      </c>
      <c r="E839" t="s">
        <v>74</v>
      </c>
      <c r="F839" t="s">
        <v>15919</v>
      </c>
      <c r="G839" t="s">
        <v>74</v>
      </c>
      <c r="H839" t="s">
        <v>74</v>
      </c>
      <c r="I839" t="s">
        <v>15920</v>
      </c>
      <c r="J839" t="s">
        <v>6903</v>
      </c>
      <c r="K839" t="s">
        <v>74</v>
      </c>
      <c r="L839" t="s">
        <v>74</v>
      </c>
      <c r="M839" t="s">
        <v>78</v>
      </c>
      <c r="N839" t="s">
        <v>79</v>
      </c>
      <c r="O839" t="s">
        <v>74</v>
      </c>
      <c r="P839" t="s">
        <v>74</v>
      </c>
      <c r="Q839" t="s">
        <v>74</v>
      </c>
      <c r="R839" t="s">
        <v>74</v>
      </c>
      <c r="S839" t="s">
        <v>74</v>
      </c>
      <c r="T839" t="s">
        <v>15921</v>
      </c>
      <c r="U839" t="s">
        <v>15922</v>
      </c>
      <c r="V839" t="s">
        <v>15923</v>
      </c>
      <c r="W839" t="s">
        <v>15924</v>
      </c>
      <c r="X839" t="s">
        <v>15925</v>
      </c>
      <c r="Y839" t="s">
        <v>15926</v>
      </c>
      <c r="Z839" t="s">
        <v>15927</v>
      </c>
      <c r="AA839" t="s">
        <v>15928</v>
      </c>
      <c r="AB839" t="s">
        <v>15929</v>
      </c>
      <c r="AC839" t="s">
        <v>15930</v>
      </c>
      <c r="AD839" t="s">
        <v>15931</v>
      </c>
      <c r="AE839" t="s">
        <v>15932</v>
      </c>
      <c r="AF839" t="s">
        <v>74</v>
      </c>
      <c r="AG839">
        <v>46</v>
      </c>
      <c r="AH839">
        <v>15</v>
      </c>
      <c r="AI839">
        <v>16</v>
      </c>
      <c r="AJ839">
        <v>1</v>
      </c>
      <c r="AK839">
        <v>10</v>
      </c>
      <c r="AL839" t="s">
        <v>626</v>
      </c>
      <c r="AM839" t="s">
        <v>583</v>
      </c>
      <c r="AN839" t="s">
        <v>627</v>
      </c>
      <c r="AO839" t="s">
        <v>6914</v>
      </c>
      <c r="AP839" t="s">
        <v>6915</v>
      </c>
      <c r="AQ839" t="s">
        <v>74</v>
      </c>
      <c r="AR839" t="s">
        <v>6903</v>
      </c>
      <c r="AS839" t="s">
        <v>6916</v>
      </c>
      <c r="AT839" t="s">
        <v>14499</v>
      </c>
      <c r="AU839">
        <v>2016</v>
      </c>
      <c r="AV839">
        <v>244</v>
      </c>
      <c r="AW839" t="s">
        <v>74</v>
      </c>
      <c r="AX839" t="s">
        <v>74</v>
      </c>
      <c r="AY839" t="s">
        <v>74</v>
      </c>
      <c r="AZ839" t="s">
        <v>74</v>
      </c>
      <c r="BA839" t="s">
        <v>74</v>
      </c>
      <c r="BB839">
        <v>59</v>
      </c>
      <c r="BC839">
        <v>73</v>
      </c>
      <c r="BD839" t="s">
        <v>74</v>
      </c>
      <c r="BE839" t="s">
        <v>15933</v>
      </c>
      <c r="BF839" t="str">
        <f>HYPERLINK("http://dx.doi.org/10.1016/j.lithos.2015.11.037","http://dx.doi.org/10.1016/j.lithos.2015.11.037")</f>
        <v>http://dx.doi.org/10.1016/j.lithos.2015.11.037</v>
      </c>
      <c r="BG839" t="s">
        <v>74</v>
      </c>
      <c r="BH839" t="s">
        <v>74</v>
      </c>
      <c r="BI839">
        <v>15</v>
      </c>
      <c r="BJ839" t="s">
        <v>3344</v>
      </c>
      <c r="BK839" t="s">
        <v>102</v>
      </c>
      <c r="BL839" t="s">
        <v>3344</v>
      </c>
      <c r="BM839" t="s">
        <v>15934</v>
      </c>
      <c r="BN839" t="s">
        <v>74</v>
      </c>
      <c r="BO839" t="s">
        <v>380</v>
      </c>
      <c r="BP839" t="s">
        <v>74</v>
      </c>
      <c r="BQ839" t="s">
        <v>74</v>
      </c>
      <c r="BR839" t="s">
        <v>106</v>
      </c>
      <c r="BS839" t="s">
        <v>15935</v>
      </c>
      <c r="BT839" t="str">
        <f>HYPERLINK("https%3A%2F%2Fwww.webofscience.com%2Fwos%2Fwoscc%2Ffull-record%2FWOS:000371945100005","View Full Record in Web of Science")</f>
        <v>View Full Record in Web of Science</v>
      </c>
    </row>
    <row r="840" spans="1:72" x14ac:dyDescent="0.15">
      <c r="A840" t="s">
        <v>72</v>
      </c>
      <c r="B840" t="s">
        <v>15936</v>
      </c>
      <c r="C840" t="s">
        <v>74</v>
      </c>
      <c r="D840" t="s">
        <v>74</v>
      </c>
      <c r="E840" t="s">
        <v>74</v>
      </c>
      <c r="F840" t="s">
        <v>15937</v>
      </c>
      <c r="G840" t="s">
        <v>74</v>
      </c>
      <c r="H840" t="s">
        <v>74</v>
      </c>
      <c r="I840" t="s">
        <v>15938</v>
      </c>
      <c r="J840" t="s">
        <v>547</v>
      </c>
      <c r="K840" t="s">
        <v>74</v>
      </c>
      <c r="L840" t="s">
        <v>74</v>
      </c>
      <c r="M840" t="s">
        <v>78</v>
      </c>
      <c r="N840" t="s">
        <v>79</v>
      </c>
      <c r="O840" t="s">
        <v>74</v>
      </c>
      <c r="P840" t="s">
        <v>74</v>
      </c>
      <c r="Q840" t="s">
        <v>74</v>
      </c>
      <c r="R840" t="s">
        <v>74</v>
      </c>
      <c r="S840" t="s">
        <v>74</v>
      </c>
      <c r="T840" t="s">
        <v>74</v>
      </c>
      <c r="U840" t="s">
        <v>15939</v>
      </c>
      <c r="V840" t="s">
        <v>15940</v>
      </c>
      <c r="W840" t="s">
        <v>15941</v>
      </c>
      <c r="X840" t="s">
        <v>15942</v>
      </c>
      <c r="Y840" t="s">
        <v>15943</v>
      </c>
      <c r="Z840" t="s">
        <v>15944</v>
      </c>
      <c r="AA840" t="s">
        <v>15945</v>
      </c>
      <c r="AB840" t="s">
        <v>15946</v>
      </c>
      <c r="AC840" t="s">
        <v>15947</v>
      </c>
      <c r="AD840" t="s">
        <v>15947</v>
      </c>
      <c r="AE840" t="s">
        <v>15948</v>
      </c>
      <c r="AF840" t="s">
        <v>74</v>
      </c>
      <c r="AG840">
        <v>82</v>
      </c>
      <c r="AH840">
        <v>37</v>
      </c>
      <c r="AI840">
        <v>41</v>
      </c>
      <c r="AJ840">
        <v>0</v>
      </c>
      <c r="AK840">
        <v>68</v>
      </c>
      <c r="AL840" t="s">
        <v>559</v>
      </c>
      <c r="AM840" t="s">
        <v>560</v>
      </c>
      <c r="AN840" t="s">
        <v>561</v>
      </c>
      <c r="AO840" t="s">
        <v>562</v>
      </c>
      <c r="AP840" t="s">
        <v>563</v>
      </c>
      <c r="AQ840" t="s">
        <v>74</v>
      </c>
      <c r="AR840" t="s">
        <v>564</v>
      </c>
      <c r="AS840" t="s">
        <v>565</v>
      </c>
      <c r="AT840" t="s">
        <v>14027</v>
      </c>
      <c r="AU840">
        <v>2016</v>
      </c>
      <c r="AV840">
        <v>163</v>
      </c>
      <c r="AW840">
        <v>2</v>
      </c>
      <c r="AX840" t="s">
        <v>74</v>
      </c>
      <c r="AY840" t="s">
        <v>74</v>
      </c>
      <c r="AZ840" t="s">
        <v>74</v>
      </c>
      <c r="BA840" t="s">
        <v>74</v>
      </c>
      <c r="BB840" t="s">
        <v>74</v>
      </c>
      <c r="BC840" t="s">
        <v>74</v>
      </c>
      <c r="BD840">
        <v>35</v>
      </c>
      <c r="BE840" t="s">
        <v>15949</v>
      </c>
      <c r="BF840" t="str">
        <f>HYPERLINK("http://dx.doi.org/10.1007/s00227-015-2798-2","http://dx.doi.org/10.1007/s00227-015-2798-2")</f>
        <v>http://dx.doi.org/10.1007/s00227-015-2798-2</v>
      </c>
      <c r="BG840" t="s">
        <v>74</v>
      </c>
      <c r="BH840" t="s">
        <v>74</v>
      </c>
      <c r="BI840">
        <v>11</v>
      </c>
      <c r="BJ840" t="s">
        <v>201</v>
      </c>
      <c r="BK840" t="s">
        <v>102</v>
      </c>
      <c r="BL840" t="s">
        <v>201</v>
      </c>
      <c r="BM840" t="s">
        <v>14916</v>
      </c>
      <c r="BN840" t="s">
        <v>74</v>
      </c>
      <c r="BO840" t="s">
        <v>74</v>
      </c>
      <c r="BP840" t="s">
        <v>74</v>
      </c>
      <c r="BQ840" t="s">
        <v>74</v>
      </c>
      <c r="BR840" t="s">
        <v>106</v>
      </c>
      <c r="BS840" t="s">
        <v>15950</v>
      </c>
      <c r="BT840" t="str">
        <f>HYPERLINK("https%3A%2F%2Fwww.webofscience.com%2Fwos%2Fwoscc%2Ffull-record%2FWOS:000370052700014","View Full Record in Web of Science")</f>
        <v>View Full Record in Web of Science</v>
      </c>
    </row>
    <row r="841" spans="1:72" x14ac:dyDescent="0.15">
      <c r="A841" t="s">
        <v>72</v>
      </c>
      <c r="B841" t="s">
        <v>15951</v>
      </c>
      <c r="C841" t="s">
        <v>74</v>
      </c>
      <c r="D841" t="s">
        <v>74</v>
      </c>
      <c r="E841" t="s">
        <v>74</v>
      </c>
      <c r="F841" t="s">
        <v>15952</v>
      </c>
      <c r="G841" t="s">
        <v>74</v>
      </c>
      <c r="H841" t="s">
        <v>74</v>
      </c>
      <c r="I841" t="s">
        <v>15953</v>
      </c>
      <c r="J841" t="s">
        <v>15954</v>
      </c>
      <c r="K841" t="s">
        <v>74</v>
      </c>
      <c r="L841" t="s">
        <v>74</v>
      </c>
      <c r="M841" t="s">
        <v>78</v>
      </c>
      <c r="N841" t="s">
        <v>79</v>
      </c>
      <c r="O841" t="s">
        <v>74</v>
      </c>
      <c r="P841" t="s">
        <v>74</v>
      </c>
      <c r="Q841" t="s">
        <v>74</v>
      </c>
      <c r="R841" t="s">
        <v>74</v>
      </c>
      <c r="S841" t="s">
        <v>74</v>
      </c>
      <c r="T841" t="s">
        <v>15955</v>
      </c>
      <c r="U841" t="s">
        <v>15956</v>
      </c>
      <c r="V841" t="s">
        <v>15957</v>
      </c>
      <c r="W841" t="s">
        <v>15958</v>
      </c>
      <c r="X841" t="s">
        <v>3192</v>
      </c>
      <c r="Y841" t="s">
        <v>15959</v>
      </c>
      <c r="Z841" t="s">
        <v>15960</v>
      </c>
      <c r="AA841" t="s">
        <v>15961</v>
      </c>
      <c r="AB841" t="s">
        <v>15962</v>
      </c>
      <c r="AC841" t="s">
        <v>15963</v>
      </c>
      <c r="AD841" t="s">
        <v>15964</v>
      </c>
      <c r="AE841" t="s">
        <v>15965</v>
      </c>
      <c r="AF841" t="s">
        <v>74</v>
      </c>
      <c r="AG841">
        <v>79</v>
      </c>
      <c r="AH841">
        <v>24</v>
      </c>
      <c r="AI841">
        <v>27</v>
      </c>
      <c r="AJ841">
        <v>1</v>
      </c>
      <c r="AK841">
        <v>59</v>
      </c>
      <c r="AL841" t="s">
        <v>124</v>
      </c>
      <c r="AM841" t="s">
        <v>125</v>
      </c>
      <c r="AN841" t="s">
        <v>126</v>
      </c>
      <c r="AO841" t="s">
        <v>15966</v>
      </c>
      <c r="AP841" t="s">
        <v>15967</v>
      </c>
      <c r="AQ841" t="s">
        <v>74</v>
      </c>
      <c r="AR841" t="s">
        <v>15968</v>
      </c>
      <c r="AS841" t="s">
        <v>15969</v>
      </c>
      <c r="AT841" t="s">
        <v>14027</v>
      </c>
      <c r="AU841">
        <v>2016</v>
      </c>
      <c r="AV841">
        <v>37</v>
      </c>
      <c r="AW841">
        <v>1</v>
      </c>
      <c r="AX841" t="s">
        <v>74</v>
      </c>
      <c r="AY841" t="s">
        <v>74</v>
      </c>
      <c r="AZ841" t="s">
        <v>74</v>
      </c>
      <c r="BA841" t="s">
        <v>74</v>
      </c>
      <c r="BB841">
        <v>179</v>
      </c>
      <c r="BC841">
        <v>199</v>
      </c>
      <c r="BD841" t="s">
        <v>74</v>
      </c>
      <c r="BE841" t="s">
        <v>15970</v>
      </c>
      <c r="BF841" t="str">
        <f>HYPERLINK("http://dx.doi.org/10.1111/maec.12258","http://dx.doi.org/10.1111/maec.12258")</f>
        <v>http://dx.doi.org/10.1111/maec.12258</v>
      </c>
      <c r="BG841" t="s">
        <v>74</v>
      </c>
      <c r="BH841" t="s">
        <v>74</v>
      </c>
      <c r="BI841">
        <v>21</v>
      </c>
      <c r="BJ841" t="s">
        <v>201</v>
      </c>
      <c r="BK841" t="s">
        <v>102</v>
      </c>
      <c r="BL841" t="s">
        <v>201</v>
      </c>
      <c r="BM841" t="s">
        <v>15971</v>
      </c>
      <c r="BN841" t="s">
        <v>74</v>
      </c>
      <c r="BO841" t="s">
        <v>1412</v>
      </c>
      <c r="BP841" t="s">
        <v>74</v>
      </c>
      <c r="BQ841" t="s">
        <v>74</v>
      </c>
      <c r="BR841" t="s">
        <v>106</v>
      </c>
      <c r="BS841" t="s">
        <v>15972</v>
      </c>
      <c r="BT841" t="str">
        <f>HYPERLINK("https%3A%2F%2Fwww.webofscience.com%2Fwos%2Fwoscc%2Ffull-record%2FWOS:000370133500013","View Full Record in Web of Science")</f>
        <v>View Full Record in Web of Science</v>
      </c>
    </row>
    <row r="842" spans="1:72" x14ac:dyDescent="0.15">
      <c r="A842" t="s">
        <v>72</v>
      </c>
      <c r="B842" t="s">
        <v>15973</v>
      </c>
      <c r="C842" t="s">
        <v>74</v>
      </c>
      <c r="D842" t="s">
        <v>74</v>
      </c>
      <c r="E842" t="s">
        <v>74</v>
      </c>
      <c r="F842" t="s">
        <v>15974</v>
      </c>
      <c r="G842" t="s">
        <v>74</v>
      </c>
      <c r="H842" t="s">
        <v>74</v>
      </c>
      <c r="I842" t="s">
        <v>15975</v>
      </c>
      <c r="J842" t="s">
        <v>4659</v>
      </c>
      <c r="K842" t="s">
        <v>74</v>
      </c>
      <c r="L842" t="s">
        <v>74</v>
      </c>
      <c r="M842" t="s">
        <v>78</v>
      </c>
      <c r="N842" t="s">
        <v>79</v>
      </c>
      <c r="O842" t="s">
        <v>74</v>
      </c>
      <c r="P842" t="s">
        <v>74</v>
      </c>
      <c r="Q842" t="s">
        <v>74</v>
      </c>
      <c r="R842" t="s">
        <v>74</v>
      </c>
      <c r="S842" t="s">
        <v>74</v>
      </c>
      <c r="T842" t="s">
        <v>74</v>
      </c>
      <c r="U842" t="s">
        <v>15976</v>
      </c>
      <c r="V842" t="s">
        <v>15977</v>
      </c>
      <c r="W842" t="s">
        <v>15978</v>
      </c>
      <c r="X842" t="s">
        <v>15979</v>
      </c>
      <c r="Y842" t="s">
        <v>15980</v>
      </c>
      <c r="Z842" t="s">
        <v>15981</v>
      </c>
      <c r="AA842" t="s">
        <v>15982</v>
      </c>
      <c r="AB842" t="s">
        <v>15983</v>
      </c>
      <c r="AC842" t="s">
        <v>15984</v>
      </c>
      <c r="AD842" t="s">
        <v>15985</v>
      </c>
      <c r="AE842" t="s">
        <v>15986</v>
      </c>
      <c r="AF842" t="s">
        <v>74</v>
      </c>
      <c r="AG842">
        <v>35</v>
      </c>
      <c r="AH842">
        <v>94</v>
      </c>
      <c r="AI842">
        <v>108</v>
      </c>
      <c r="AJ842">
        <v>6</v>
      </c>
      <c r="AK842">
        <v>97</v>
      </c>
      <c r="AL842" t="s">
        <v>772</v>
      </c>
      <c r="AM842" t="s">
        <v>773</v>
      </c>
      <c r="AN842" t="s">
        <v>774</v>
      </c>
      <c r="AO842" t="s">
        <v>4668</v>
      </c>
      <c r="AP842" t="s">
        <v>4669</v>
      </c>
      <c r="AQ842" t="s">
        <v>74</v>
      </c>
      <c r="AR842" t="s">
        <v>4670</v>
      </c>
      <c r="AS842" t="s">
        <v>4671</v>
      </c>
      <c r="AT842" t="s">
        <v>14027</v>
      </c>
      <c r="AU842">
        <v>2016</v>
      </c>
      <c r="AV842">
        <v>6</v>
      </c>
      <c r="AW842">
        <v>2</v>
      </c>
      <c r="AX842" t="s">
        <v>74</v>
      </c>
      <c r="AY842" t="s">
        <v>74</v>
      </c>
      <c r="AZ842" t="s">
        <v>74</v>
      </c>
      <c r="BA842" t="s">
        <v>74</v>
      </c>
      <c r="BB842">
        <v>182</v>
      </c>
      <c r="BC842" t="s">
        <v>1505</v>
      </c>
      <c r="BD842" t="s">
        <v>74</v>
      </c>
      <c r="BE842" t="s">
        <v>15987</v>
      </c>
      <c r="BF842" t="str">
        <f>HYPERLINK("http://dx.doi.org/10.1038/NCLIMATE2806","http://dx.doi.org/10.1038/NCLIMATE2806")</f>
        <v>http://dx.doi.org/10.1038/NCLIMATE2806</v>
      </c>
      <c r="BG842" t="s">
        <v>74</v>
      </c>
      <c r="BH842" t="s">
        <v>74</v>
      </c>
      <c r="BI842">
        <v>6</v>
      </c>
      <c r="BJ842" t="s">
        <v>4673</v>
      </c>
      <c r="BK842" t="s">
        <v>942</v>
      </c>
      <c r="BL842" t="s">
        <v>4674</v>
      </c>
      <c r="BM842" t="s">
        <v>15988</v>
      </c>
      <c r="BN842" t="s">
        <v>74</v>
      </c>
      <c r="BO842" t="s">
        <v>9156</v>
      </c>
      <c r="BP842" t="s">
        <v>74</v>
      </c>
      <c r="BQ842" t="s">
        <v>74</v>
      </c>
      <c r="BR842" t="s">
        <v>106</v>
      </c>
      <c r="BS842" t="s">
        <v>15989</v>
      </c>
      <c r="BT842" t="str">
        <f>HYPERLINK("https%3A%2F%2Fwww.webofscience.com%2Fwos%2Fwoscc%2Ffull-record%2FWOS:000370963400020","View Full Record in Web of Science")</f>
        <v>View Full Record in Web of Science</v>
      </c>
    </row>
    <row r="843" spans="1:72" x14ac:dyDescent="0.15">
      <c r="A843" t="s">
        <v>72</v>
      </c>
      <c r="B843" t="s">
        <v>15990</v>
      </c>
      <c r="C843" t="s">
        <v>74</v>
      </c>
      <c r="D843" t="s">
        <v>74</v>
      </c>
      <c r="E843" t="s">
        <v>74</v>
      </c>
      <c r="F843" t="s">
        <v>15991</v>
      </c>
      <c r="G843" t="s">
        <v>74</v>
      </c>
      <c r="H843" t="s">
        <v>74</v>
      </c>
      <c r="I843" t="s">
        <v>15992</v>
      </c>
      <c r="J843" t="s">
        <v>4659</v>
      </c>
      <c r="K843" t="s">
        <v>74</v>
      </c>
      <c r="L843" t="s">
        <v>74</v>
      </c>
      <c r="M843" t="s">
        <v>78</v>
      </c>
      <c r="N843" t="s">
        <v>79</v>
      </c>
      <c r="O843" t="s">
        <v>74</v>
      </c>
      <c r="P843" t="s">
        <v>74</v>
      </c>
      <c r="Q843" t="s">
        <v>74</v>
      </c>
      <c r="R843" t="s">
        <v>74</v>
      </c>
      <c r="S843" t="s">
        <v>74</v>
      </c>
      <c r="T843" t="s">
        <v>74</v>
      </c>
      <c r="U843" t="s">
        <v>15993</v>
      </c>
      <c r="V843" t="s">
        <v>15994</v>
      </c>
      <c r="W843" t="s">
        <v>15995</v>
      </c>
      <c r="X843" t="s">
        <v>15996</v>
      </c>
      <c r="Y843" t="s">
        <v>15997</v>
      </c>
      <c r="Z843" t="s">
        <v>15998</v>
      </c>
      <c r="AA843" t="s">
        <v>15999</v>
      </c>
      <c r="AB843" t="s">
        <v>16000</v>
      </c>
      <c r="AC843" t="s">
        <v>16001</v>
      </c>
      <c r="AD843" t="s">
        <v>16002</v>
      </c>
      <c r="AE843" t="s">
        <v>16003</v>
      </c>
      <c r="AF843" t="s">
        <v>74</v>
      </c>
      <c r="AG843">
        <v>80</v>
      </c>
      <c r="AH843">
        <v>133</v>
      </c>
      <c r="AI843">
        <v>147</v>
      </c>
      <c r="AJ843">
        <v>7</v>
      </c>
      <c r="AK843">
        <v>188</v>
      </c>
      <c r="AL843" t="s">
        <v>746</v>
      </c>
      <c r="AM843" t="s">
        <v>747</v>
      </c>
      <c r="AN843" t="s">
        <v>748</v>
      </c>
      <c r="AO843" t="s">
        <v>4668</v>
      </c>
      <c r="AP843" t="s">
        <v>4669</v>
      </c>
      <c r="AQ843" t="s">
        <v>74</v>
      </c>
      <c r="AR843" t="s">
        <v>4670</v>
      </c>
      <c r="AS843" t="s">
        <v>4671</v>
      </c>
      <c r="AT843" t="s">
        <v>14027</v>
      </c>
      <c r="AU843">
        <v>2016</v>
      </c>
      <c r="AV843">
        <v>6</v>
      </c>
      <c r="AW843">
        <v>2</v>
      </c>
      <c r="AX843" t="s">
        <v>74</v>
      </c>
      <c r="AY843" t="s">
        <v>74</v>
      </c>
      <c r="AZ843" t="s">
        <v>74</v>
      </c>
      <c r="BA843" t="s">
        <v>74</v>
      </c>
      <c r="BB843">
        <v>207</v>
      </c>
      <c r="BC843" t="s">
        <v>1505</v>
      </c>
      <c r="BD843" t="s">
        <v>74</v>
      </c>
      <c r="BE843" t="s">
        <v>16004</v>
      </c>
      <c r="BF843" t="str">
        <f>HYPERLINK("http://dx.doi.org/10.1038/NCLIMATE2811","http://dx.doi.org/10.1038/NCLIMATE2811")</f>
        <v>http://dx.doi.org/10.1038/NCLIMATE2811</v>
      </c>
      <c r="BG843" t="s">
        <v>74</v>
      </c>
      <c r="BH843" t="s">
        <v>74</v>
      </c>
      <c r="BI843">
        <v>10</v>
      </c>
      <c r="BJ843" t="s">
        <v>4673</v>
      </c>
      <c r="BK843" t="s">
        <v>942</v>
      </c>
      <c r="BL843" t="s">
        <v>4674</v>
      </c>
      <c r="BM843" t="s">
        <v>15988</v>
      </c>
      <c r="BN843" t="s">
        <v>74</v>
      </c>
      <c r="BO843" t="s">
        <v>74</v>
      </c>
      <c r="BP843" t="s">
        <v>74</v>
      </c>
      <c r="BQ843" t="s">
        <v>74</v>
      </c>
      <c r="BR843" t="s">
        <v>106</v>
      </c>
      <c r="BS843" t="s">
        <v>16005</v>
      </c>
      <c r="BT843" t="str">
        <f>HYPERLINK("https%3A%2F%2Fwww.webofscience.com%2Fwos%2Fwoscc%2Ffull-record%2FWOS:000370963400025","View Full Record in Web of Science")</f>
        <v>View Full Record in Web of Science</v>
      </c>
    </row>
    <row r="844" spans="1:72" x14ac:dyDescent="0.15">
      <c r="A844" t="s">
        <v>72</v>
      </c>
      <c r="B844" t="s">
        <v>16006</v>
      </c>
      <c r="C844" t="s">
        <v>74</v>
      </c>
      <c r="D844" t="s">
        <v>74</v>
      </c>
      <c r="E844" t="s">
        <v>74</v>
      </c>
      <c r="F844" t="s">
        <v>16007</v>
      </c>
      <c r="G844" t="s">
        <v>74</v>
      </c>
      <c r="H844" t="s">
        <v>74</v>
      </c>
      <c r="I844" t="s">
        <v>16008</v>
      </c>
      <c r="J844" t="s">
        <v>734</v>
      </c>
      <c r="K844" t="s">
        <v>74</v>
      </c>
      <c r="L844" t="s">
        <v>74</v>
      </c>
      <c r="M844" t="s">
        <v>78</v>
      </c>
      <c r="N844" t="s">
        <v>79</v>
      </c>
      <c r="O844" t="s">
        <v>74</v>
      </c>
      <c r="P844" t="s">
        <v>74</v>
      </c>
      <c r="Q844" t="s">
        <v>74</v>
      </c>
      <c r="R844" t="s">
        <v>74</v>
      </c>
      <c r="S844" t="s">
        <v>74</v>
      </c>
      <c r="T844" t="s">
        <v>74</v>
      </c>
      <c r="U844" t="s">
        <v>16009</v>
      </c>
      <c r="V844" t="s">
        <v>16010</v>
      </c>
      <c r="W844" t="s">
        <v>16011</v>
      </c>
      <c r="X844" t="s">
        <v>16012</v>
      </c>
      <c r="Y844" t="s">
        <v>16013</v>
      </c>
      <c r="Z844" t="s">
        <v>16014</v>
      </c>
      <c r="AA844" t="s">
        <v>16015</v>
      </c>
      <c r="AB844" t="s">
        <v>16016</v>
      </c>
      <c r="AC844" t="s">
        <v>16017</v>
      </c>
      <c r="AD844" t="s">
        <v>4462</v>
      </c>
      <c r="AE844" t="s">
        <v>16018</v>
      </c>
      <c r="AF844" t="s">
        <v>74</v>
      </c>
      <c r="AG844">
        <v>59</v>
      </c>
      <c r="AH844">
        <v>29</v>
      </c>
      <c r="AI844">
        <v>32</v>
      </c>
      <c r="AJ844">
        <v>4</v>
      </c>
      <c r="AK844">
        <v>32</v>
      </c>
      <c r="AL844" t="s">
        <v>746</v>
      </c>
      <c r="AM844" t="s">
        <v>747</v>
      </c>
      <c r="AN844" t="s">
        <v>748</v>
      </c>
      <c r="AO844" t="s">
        <v>74</v>
      </c>
      <c r="AP844" t="s">
        <v>749</v>
      </c>
      <c r="AQ844" t="s">
        <v>74</v>
      </c>
      <c r="AR844" t="s">
        <v>750</v>
      </c>
      <c r="AS844" t="s">
        <v>751</v>
      </c>
      <c r="AT844" t="s">
        <v>14027</v>
      </c>
      <c r="AU844">
        <v>2016</v>
      </c>
      <c r="AV844">
        <v>7</v>
      </c>
      <c r="AW844" t="s">
        <v>74</v>
      </c>
      <c r="AX844" t="s">
        <v>74</v>
      </c>
      <c r="AY844" t="s">
        <v>74</v>
      </c>
      <c r="AZ844" t="s">
        <v>74</v>
      </c>
      <c r="BA844" t="s">
        <v>74</v>
      </c>
      <c r="BB844" t="s">
        <v>74</v>
      </c>
      <c r="BC844" t="s">
        <v>74</v>
      </c>
      <c r="BD844">
        <v>10325</v>
      </c>
      <c r="BE844" t="s">
        <v>16019</v>
      </c>
      <c r="BF844" t="str">
        <f>HYPERLINK("http://dx.doi.org/10.1038/ncomms10325","http://dx.doi.org/10.1038/ncomms10325")</f>
        <v>http://dx.doi.org/10.1038/ncomms10325</v>
      </c>
      <c r="BG844" t="s">
        <v>74</v>
      </c>
      <c r="BH844" t="s">
        <v>74</v>
      </c>
      <c r="BI844">
        <v>8</v>
      </c>
      <c r="BJ844" t="s">
        <v>753</v>
      </c>
      <c r="BK844" t="s">
        <v>102</v>
      </c>
      <c r="BL844" t="s">
        <v>754</v>
      </c>
      <c r="BM844" t="s">
        <v>16020</v>
      </c>
      <c r="BN844">
        <v>26838462</v>
      </c>
      <c r="BO844" t="s">
        <v>16021</v>
      </c>
      <c r="BP844" t="s">
        <v>74</v>
      </c>
      <c r="BQ844" t="s">
        <v>74</v>
      </c>
      <c r="BR844" t="s">
        <v>106</v>
      </c>
      <c r="BS844" t="s">
        <v>16022</v>
      </c>
      <c r="BT844" t="str">
        <f>HYPERLINK("https%3A%2F%2Fwww.webofscience.com%2Fwos%2Fwoscc%2Ffull-record%2FWOS:000371131100001","View Full Record in Web of Science")</f>
        <v>View Full Record in Web of Science</v>
      </c>
    </row>
    <row r="845" spans="1:72" x14ac:dyDescent="0.15">
      <c r="A845" t="s">
        <v>72</v>
      </c>
      <c r="B845" t="s">
        <v>16023</v>
      </c>
      <c r="C845" t="s">
        <v>74</v>
      </c>
      <c r="D845" t="s">
        <v>74</v>
      </c>
      <c r="E845" t="s">
        <v>74</v>
      </c>
      <c r="F845" t="s">
        <v>16024</v>
      </c>
      <c r="G845" t="s">
        <v>74</v>
      </c>
      <c r="H845" t="s">
        <v>74</v>
      </c>
      <c r="I845" t="s">
        <v>16025</v>
      </c>
      <c r="J845" t="s">
        <v>734</v>
      </c>
      <c r="K845" t="s">
        <v>74</v>
      </c>
      <c r="L845" t="s">
        <v>74</v>
      </c>
      <c r="M845" t="s">
        <v>78</v>
      </c>
      <c r="N845" t="s">
        <v>79</v>
      </c>
      <c r="O845" t="s">
        <v>74</v>
      </c>
      <c r="P845" t="s">
        <v>74</v>
      </c>
      <c r="Q845" t="s">
        <v>74</v>
      </c>
      <c r="R845" t="s">
        <v>74</v>
      </c>
      <c r="S845" t="s">
        <v>74</v>
      </c>
      <c r="T845" t="s">
        <v>74</v>
      </c>
      <c r="U845" t="s">
        <v>16026</v>
      </c>
      <c r="V845" t="s">
        <v>16027</v>
      </c>
      <c r="W845" t="s">
        <v>16028</v>
      </c>
      <c r="X845" t="s">
        <v>16029</v>
      </c>
      <c r="Y845" t="s">
        <v>16030</v>
      </c>
      <c r="Z845" t="s">
        <v>16031</v>
      </c>
      <c r="AA845" t="s">
        <v>16032</v>
      </c>
      <c r="AB845" t="s">
        <v>16033</v>
      </c>
      <c r="AC845" t="s">
        <v>16034</v>
      </c>
      <c r="AD845" t="s">
        <v>16035</v>
      </c>
      <c r="AE845" t="s">
        <v>16036</v>
      </c>
      <c r="AF845" t="s">
        <v>74</v>
      </c>
      <c r="AG845">
        <v>48</v>
      </c>
      <c r="AH845">
        <v>57</v>
      </c>
      <c r="AI845">
        <v>57</v>
      </c>
      <c r="AJ845">
        <v>5</v>
      </c>
      <c r="AK845">
        <v>80</v>
      </c>
      <c r="AL845" t="s">
        <v>772</v>
      </c>
      <c r="AM845" t="s">
        <v>773</v>
      </c>
      <c r="AN845" t="s">
        <v>774</v>
      </c>
      <c r="AO845" t="s">
        <v>749</v>
      </c>
      <c r="AP845" t="s">
        <v>74</v>
      </c>
      <c r="AQ845" t="s">
        <v>74</v>
      </c>
      <c r="AR845" t="s">
        <v>750</v>
      </c>
      <c r="AS845" t="s">
        <v>751</v>
      </c>
      <c r="AT845" t="s">
        <v>14027</v>
      </c>
      <c r="AU845">
        <v>2016</v>
      </c>
      <c r="AV845">
        <v>7</v>
      </c>
      <c r="AW845" t="s">
        <v>74</v>
      </c>
      <c r="AX845" t="s">
        <v>74</v>
      </c>
      <c r="AY845" t="s">
        <v>74</v>
      </c>
      <c r="AZ845" t="s">
        <v>74</v>
      </c>
      <c r="BA845" t="s">
        <v>74</v>
      </c>
      <c r="BB845" t="s">
        <v>74</v>
      </c>
      <c r="BC845" t="s">
        <v>74</v>
      </c>
      <c r="BD845">
        <v>10732</v>
      </c>
      <c r="BE845" t="s">
        <v>16037</v>
      </c>
      <c r="BF845" t="str">
        <f>HYPERLINK("http://dx.doi.org/10.1038/ncomms10732","http://dx.doi.org/10.1038/ncomms10732")</f>
        <v>http://dx.doi.org/10.1038/ncomms10732</v>
      </c>
      <c r="BG845" t="s">
        <v>74</v>
      </c>
      <c r="BH845" t="s">
        <v>74</v>
      </c>
      <c r="BI845">
        <v>8</v>
      </c>
      <c r="BJ845" t="s">
        <v>753</v>
      </c>
      <c r="BK845" t="s">
        <v>102</v>
      </c>
      <c r="BL845" t="s">
        <v>754</v>
      </c>
      <c r="BM845" t="s">
        <v>16038</v>
      </c>
      <c r="BN845">
        <v>26907171</v>
      </c>
      <c r="BO845" t="s">
        <v>4726</v>
      </c>
      <c r="BP845" t="s">
        <v>74</v>
      </c>
      <c r="BQ845" t="s">
        <v>74</v>
      </c>
      <c r="BR845" t="s">
        <v>106</v>
      </c>
      <c r="BS845" t="s">
        <v>16039</v>
      </c>
      <c r="BT845" t="str">
        <f>HYPERLINK("https%3A%2F%2Fwww.webofscience.com%2Fwos%2Fwoscc%2Ffull-record%2FWOS:000371036800005","View Full Record in Web of Science")</f>
        <v>View Full Record in Web of Science</v>
      </c>
    </row>
    <row r="846" spans="1:72" x14ac:dyDescent="0.15">
      <c r="A846" t="s">
        <v>72</v>
      </c>
      <c r="B846" t="s">
        <v>16040</v>
      </c>
      <c r="C846" t="s">
        <v>74</v>
      </c>
      <c r="D846" t="s">
        <v>74</v>
      </c>
      <c r="E846" t="s">
        <v>74</v>
      </c>
      <c r="F846" t="s">
        <v>16041</v>
      </c>
      <c r="G846" t="s">
        <v>74</v>
      </c>
      <c r="H846" t="s">
        <v>74</v>
      </c>
      <c r="I846" t="s">
        <v>16042</v>
      </c>
      <c r="J846" t="s">
        <v>7204</v>
      </c>
      <c r="K846" t="s">
        <v>74</v>
      </c>
      <c r="L846" t="s">
        <v>74</v>
      </c>
      <c r="M846" t="s">
        <v>78</v>
      </c>
      <c r="N846" t="s">
        <v>79</v>
      </c>
      <c r="O846" t="s">
        <v>74</v>
      </c>
      <c r="P846" t="s">
        <v>74</v>
      </c>
      <c r="Q846" t="s">
        <v>74</v>
      </c>
      <c r="R846" t="s">
        <v>74</v>
      </c>
      <c r="S846" t="s">
        <v>74</v>
      </c>
      <c r="T846" t="s">
        <v>74</v>
      </c>
      <c r="U846" t="s">
        <v>16043</v>
      </c>
      <c r="V846" t="s">
        <v>16044</v>
      </c>
      <c r="W846" t="s">
        <v>16045</v>
      </c>
      <c r="X846" t="s">
        <v>16046</v>
      </c>
      <c r="Y846" t="s">
        <v>16047</v>
      </c>
      <c r="Z846" t="s">
        <v>16048</v>
      </c>
      <c r="AA846" t="s">
        <v>16049</v>
      </c>
      <c r="AB846" t="s">
        <v>16050</v>
      </c>
      <c r="AC846" t="s">
        <v>16051</v>
      </c>
      <c r="AD846" t="s">
        <v>16052</v>
      </c>
      <c r="AE846" t="s">
        <v>16053</v>
      </c>
      <c r="AF846" t="s">
        <v>74</v>
      </c>
      <c r="AG846">
        <v>37</v>
      </c>
      <c r="AH846">
        <v>54</v>
      </c>
      <c r="AI846">
        <v>66</v>
      </c>
      <c r="AJ846">
        <v>0</v>
      </c>
      <c r="AK846">
        <v>40</v>
      </c>
      <c r="AL846" t="s">
        <v>772</v>
      </c>
      <c r="AM846" t="s">
        <v>262</v>
      </c>
      <c r="AN846" t="s">
        <v>7216</v>
      </c>
      <c r="AO846" t="s">
        <v>7217</v>
      </c>
      <c r="AP846" t="s">
        <v>7218</v>
      </c>
      <c r="AQ846" t="s">
        <v>74</v>
      </c>
      <c r="AR846" t="s">
        <v>7219</v>
      </c>
      <c r="AS846" t="s">
        <v>7220</v>
      </c>
      <c r="AT846" t="s">
        <v>14027</v>
      </c>
      <c r="AU846">
        <v>2016</v>
      </c>
      <c r="AV846">
        <v>9</v>
      </c>
      <c r="AW846">
        <v>2</v>
      </c>
      <c r="AX846" t="s">
        <v>74</v>
      </c>
      <c r="AY846" t="s">
        <v>74</v>
      </c>
      <c r="AZ846" t="s">
        <v>74</v>
      </c>
      <c r="BA846" t="s">
        <v>74</v>
      </c>
      <c r="BB846">
        <v>130</v>
      </c>
      <c r="BC846" t="s">
        <v>1505</v>
      </c>
      <c r="BD846" t="s">
        <v>74</v>
      </c>
      <c r="BE846" t="s">
        <v>16054</v>
      </c>
      <c r="BF846" t="str">
        <f>HYPERLINK("http://dx.doi.org/10.1038/NGEO2616","http://dx.doi.org/10.1038/NGEO2616")</f>
        <v>http://dx.doi.org/10.1038/NGEO2616</v>
      </c>
      <c r="BG846" t="s">
        <v>74</v>
      </c>
      <c r="BH846" t="s">
        <v>74</v>
      </c>
      <c r="BI846">
        <v>7</v>
      </c>
      <c r="BJ846" t="s">
        <v>269</v>
      </c>
      <c r="BK846" t="s">
        <v>102</v>
      </c>
      <c r="BL846" t="s">
        <v>270</v>
      </c>
      <c r="BM846" t="s">
        <v>16055</v>
      </c>
      <c r="BN846" t="s">
        <v>74</v>
      </c>
      <c r="BO846" t="s">
        <v>380</v>
      </c>
      <c r="BP846" t="s">
        <v>74</v>
      </c>
      <c r="BQ846" t="s">
        <v>74</v>
      </c>
      <c r="BR846" t="s">
        <v>106</v>
      </c>
      <c r="BS846" t="s">
        <v>16056</v>
      </c>
      <c r="BT846" t="str">
        <f>HYPERLINK("https%3A%2F%2Fwww.webofscience.com%2Fwos%2Fwoscc%2Ffull-record%2FWOS:000369324600017","View Full Record in Web of Science")</f>
        <v>View Full Record in Web of Science</v>
      </c>
    </row>
    <row r="847" spans="1:72" x14ac:dyDescent="0.15">
      <c r="A847" t="s">
        <v>72</v>
      </c>
      <c r="B847" t="s">
        <v>16057</v>
      </c>
      <c r="C847" t="s">
        <v>74</v>
      </c>
      <c r="D847" t="s">
        <v>74</v>
      </c>
      <c r="E847" t="s">
        <v>74</v>
      </c>
      <c r="F847" t="s">
        <v>16058</v>
      </c>
      <c r="G847" t="s">
        <v>74</v>
      </c>
      <c r="H847" t="s">
        <v>74</v>
      </c>
      <c r="I847" t="s">
        <v>16059</v>
      </c>
      <c r="J847" t="s">
        <v>823</v>
      </c>
      <c r="K847" t="s">
        <v>74</v>
      </c>
      <c r="L847" t="s">
        <v>74</v>
      </c>
      <c r="M847" t="s">
        <v>78</v>
      </c>
      <c r="N847" t="s">
        <v>79</v>
      </c>
      <c r="O847" t="s">
        <v>74</v>
      </c>
      <c r="P847" t="s">
        <v>74</v>
      </c>
      <c r="Q847" t="s">
        <v>74</v>
      </c>
      <c r="R847" t="s">
        <v>74</v>
      </c>
      <c r="S847" t="s">
        <v>74</v>
      </c>
      <c r="T847" t="s">
        <v>16060</v>
      </c>
      <c r="U847" t="s">
        <v>16061</v>
      </c>
      <c r="V847" t="s">
        <v>16062</v>
      </c>
      <c r="W847" t="s">
        <v>16063</v>
      </c>
      <c r="X847" t="s">
        <v>16064</v>
      </c>
      <c r="Y847" t="s">
        <v>16065</v>
      </c>
      <c r="Z847" t="s">
        <v>16066</v>
      </c>
      <c r="AA847" t="s">
        <v>74</v>
      </c>
      <c r="AB847" t="s">
        <v>16067</v>
      </c>
      <c r="AC847" t="s">
        <v>16068</v>
      </c>
      <c r="AD847" t="s">
        <v>16069</v>
      </c>
      <c r="AE847" t="s">
        <v>16070</v>
      </c>
      <c r="AF847" t="s">
        <v>74</v>
      </c>
      <c r="AG847">
        <v>86</v>
      </c>
      <c r="AH847">
        <v>24</v>
      </c>
      <c r="AI847">
        <v>26</v>
      </c>
      <c r="AJ847">
        <v>1</v>
      </c>
      <c r="AK847">
        <v>48</v>
      </c>
      <c r="AL847" t="s">
        <v>92</v>
      </c>
      <c r="AM847" t="s">
        <v>93</v>
      </c>
      <c r="AN847" t="s">
        <v>94</v>
      </c>
      <c r="AO847" t="s">
        <v>835</v>
      </c>
      <c r="AP847" t="s">
        <v>836</v>
      </c>
      <c r="AQ847" t="s">
        <v>74</v>
      </c>
      <c r="AR847" t="s">
        <v>823</v>
      </c>
      <c r="AS847" t="s">
        <v>837</v>
      </c>
      <c r="AT847" t="s">
        <v>14027</v>
      </c>
      <c r="AU847">
        <v>2016</v>
      </c>
      <c r="AV847">
        <v>31</v>
      </c>
      <c r="AW847">
        <v>2</v>
      </c>
      <c r="AX847" t="s">
        <v>74</v>
      </c>
      <c r="AY847" t="s">
        <v>74</v>
      </c>
      <c r="AZ847" t="s">
        <v>74</v>
      </c>
      <c r="BA847" t="s">
        <v>74</v>
      </c>
      <c r="BB847">
        <v>311</v>
      </c>
      <c r="BC847">
        <v>329</v>
      </c>
      <c r="BD847" t="s">
        <v>74</v>
      </c>
      <c r="BE847" t="s">
        <v>16071</v>
      </c>
      <c r="BF847" t="str">
        <f>HYPERLINK("http://dx.doi.org/10.1002/2015PA002818","http://dx.doi.org/10.1002/2015PA002818")</f>
        <v>http://dx.doi.org/10.1002/2015PA002818</v>
      </c>
      <c r="BG847" t="s">
        <v>74</v>
      </c>
      <c r="BH847" t="s">
        <v>74</v>
      </c>
      <c r="BI847">
        <v>19</v>
      </c>
      <c r="BJ847" t="s">
        <v>839</v>
      </c>
      <c r="BK847" t="s">
        <v>102</v>
      </c>
      <c r="BL847" t="s">
        <v>840</v>
      </c>
      <c r="BM847" t="s">
        <v>14441</v>
      </c>
      <c r="BN847" t="s">
        <v>74</v>
      </c>
      <c r="BO847" t="s">
        <v>203</v>
      </c>
      <c r="BP847" t="s">
        <v>74</v>
      </c>
      <c r="BQ847" t="s">
        <v>74</v>
      </c>
      <c r="BR847" t="s">
        <v>106</v>
      </c>
      <c r="BS847" t="s">
        <v>16072</v>
      </c>
      <c r="BT847" t="str">
        <f>HYPERLINK("https%3A%2F%2Fwww.webofscience.com%2Fwos%2Fwoscc%2Ffull-record%2FWOS:000372727100007","View Full Record in Web of Science")</f>
        <v>View Full Record in Web of Science</v>
      </c>
    </row>
    <row r="848" spans="1:72" x14ac:dyDescent="0.15">
      <c r="A848" t="s">
        <v>72</v>
      </c>
      <c r="B848" t="s">
        <v>16073</v>
      </c>
      <c r="C848" t="s">
        <v>74</v>
      </c>
      <c r="D848" t="s">
        <v>74</v>
      </c>
      <c r="E848" t="s">
        <v>74</v>
      </c>
      <c r="F848" t="s">
        <v>16074</v>
      </c>
      <c r="G848" t="s">
        <v>74</v>
      </c>
      <c r="H848" t="s">
        <v>74</v>
      </c>
      <c r="I848" t="s">
        <v>16075</v>
      </c>
      <c r="J848" t="s">
        <v>3453</v>
      </c>
      <c r="K848" t="s">
        <v>74</v>
      </c>
      <c r="L848" t="s">
        <v>74</v>
      </c>
      <c r="M848" t="s">
        <v>78</v>
      </c>
      <c r="N848" t="s">
        <v>79</v>
      </c>
      <c r="O848" t="s">
        <v>74</v>
      </c>
      <c r="P848" t="s">
        <v>74</v>
      </c>
      <c r="Q848" t="s">
        <v>74</v>
      </c>
      <c r="R848" t="s">
        <v>74</v>
      </c>
      <c r="S848" t="s">
        <v>74</v>
      </c>
      <c r="T848" t="s">
        <v>16076</v>
      </c>
      <c r="U848" t="s">
        <v>16077</v>
      </c>
      <c r="V848" t="s">
        <v>16078</v>
      </c>
      <c r="W848" t="s">
        <v>16079</v>
      </c>
      <c r="X848" t="s">
        <v>16080</v>
      </c>
      <c r="Y848" t="s">
        <v>16081</v>
      </c>
      <c r="Z848" t="s">
        <v>16082</v>
      </c>
      <c r="AA848" t="s">
        <v>16083</v>
      </c>
      <c r="AB848" t="s">
        <v>16084</v>
      </c>
      <c r="AC848" t="s">
        <v>16085</v>
      </c>
      <c r="AD848" t="s">
        <v>16086</v>
      </c>
      <c r="AE848" t="s">
        <v>16087</v>
      </c>
      <c r="AF848" t="s">
        <v>74</v>
      </c>
      <c r="AG848">
        <v>49</v>
      </c>
      <c r="AH848">
        <v>10</v>
      </c>
      <c r="AI848">
        <v>10</v>
      </c>
      <c r="AJ848">
        <v>1</v>
      </c>
      <c r="AK848">
        <v>32</v>
      </c>
      <c r="AL848" t="s">
        <v>194</v>
      </c>
      <c r="AM848" t="s">
        <v>262</v>
      </c>
      <c r="AN848" t="s">
        <v>263</v>
      </c>
      <c r="AO848" t="s">
        <v>3466</v>
      </c>
      <c r="AP848" t="s">
        <v>3467</v>
      </c>
      <c r="AQ848" t="s">
        <v>74</v>
      </c>
      <c r="AR848" t="s">
        <v>3468</v>
      </c>
      <c r="AS848" t="s">
        <v>3469</v>
      </c>
      <c r="AT848" t="s">
        <v>14027</v>
      </c>
      <c r="AU848">
        <v>2016</v>
      </c>
      <c r="AV848">
        <v>39</v>
      </c>
      <c r="AW848">
        <v>2</v>
      </c>
      <c r="AX848" t="s">
        <v>74</v>
      </c>
      <c r="AY848" t="s">
        <v>74</v>
      </c>
      <c r="AZ848" t="s">
        <v>74</v>
      </c>
      <c r="BA848" t="s">
        <v>74</v>
      </c>
      <c r="BB848">
        <v>199</v>
      </c>
      <c r="BC848">
        <v>206</v>
      </c>
      <c r="BD848" t="s">
        <v>74</v>
      </c>
      <c r="BE848" t="s">
        <v>16088</v>
      </c>
      <c r="BF848" t="str">
        <f>HYPERLINK("http://dx.doi.org/10.1007/s00300-015-1771-3","http://dx.doi.org/10.1007/s00300-015-1771-3")</f>
        <v>http://dx.doi.org/10.1007/s00300-015-1771-3</v>
      </c>
      <c r="BG848" t="s">
        <v>74</v>
      </c>
      <c r="BH848" t="s">
        <v>74</v>
      </c>
      <c r="BI848">
        <v>8</v>
      </c>
      <c r="BJ848" t="s">
        <v>291</v>
      </c>
      <c r="BK848" t="s">
        <v>102</v>
      </c>
      <c r="BL848" t="s">
        <v>133</v>
      </c>
      <c r="BM848" t="s">
        <v>15074</v>
      </c>
      <c r="BN848" t="s">
        <v>74</v>
      </c>
      <c r="BO848" t="s">
        <v>74</v>
      </c>
      <c r="BP848" t="s">
        <v>74</v>
      </c>
      <c r="BQ848" t="s">
        <v>74</v>
      </c>
      <c r="BR848" t="s">
        <v>106</v>
      </c>
      <c r="BS848" t="s">
        <v>16089</v>
      </c>
      <c r="BT848" t="str">
        <f>HYPERLINK("https%3A%2F%2Fwww.webofscience.com%2Fwos%2Fwoscc%2Ffull-record%2FWOS:000369067900001","View Full Record in Web of Science")</f>
        <v>View Full Record in Web of Science</v>
      </c>
    </row>
    <row r="849" spans="1:72" x14ac:dyDescent="0.15">
      <c r="A849" t="s">
        <v>72</v>
      </c>
      <c r="B849" t="s">
        <v>16090</v>
      </c>
      <c r="C849" t="s">
        <v>74</v>
      </c>
      <c r="D849" t="s">
        <v>74</v>
      </c>
      <c r="E849" t="s">
        <v>74</v>
      </c>
      <c r="F849" t="s">
        <v>16091</v>
      </c>
      <c r="G849" t="s">
        <v>74</v>
      </c>
      <c r="H849" t="s">
        <v>74</v>
      </c>
      <c r="I849" t="s">
        <v>16092</v>
      </c>
      <c r="J849" t="s">
        <v>3453</v>
      </c>
      <c r="K849" t="s">
        <v>74</v>
      </c>
      <c r="L849" t="s">
        <v>74</v>
      </c>
      <c r="M849" t="s">
        <v>78</v>
      </c>
      <c r="N849" t="s">
        <v>79</v>
      </c>
      <c r="O849" t="s">
        <v>74</v>
      </c>
      <c r="P849" t="s">
        <v>74</v>
      </c>
      <c r="Q849" t="s">
        <v>74</v>
      </c>
      <c r="R849" t="s">
        <v>74</v>
      </c>
      <c r="S849" t="s">
        <v>74</v>
      </c>
      <c r="T849" t="s">
        <v>16093</v>
      </c>
      <c r="U849" t="s">
        <v>16094</v>
      </c>
      <c r="V849" t="s">
        <v>16095</v>
      </c>
      <c r="W849" t="s">
        <v>16096</v>
      </c>
      <c r="X849" t="s">
        <v>16097</v>
      </c>
      <c r="Y849" t="s">
        <v>16098</v>
      </c>
      <c r="Z849" t="s">
        <v>16099</v>
      </c>
      <c r="AA849" t="s">
        <v>16100</v>
      </c>
      <c r="AB849" t="s">
        <v>16101</v>
      </c>
      <c r="AC849" t="s">
        <v>16102</v>
      </c>
      <c r="AD849" t="s">
        <v>16102</v>
      </c>
      <c r="AE849" t="s">
        <v>16103</v>
      </c>
      <c r="AF849" t="s">
        <v>74</v>
      </c>
      <c r="AG849">
        <v>67</v>
      </c>
      <c r="AH849">
        <v>14</v>
      </c>
      <c r="AI849">
        <v>16</v>
      </c>
      <c r="AJ849">
        <v>1</v>
      </c>
      <c r="AK849">
        <v>31</v>
      </c>
      <c r="AL849" t="s">
        <v>194</v>
      </c>
      <c r="AM849" t="s">
        <v>262</v>
      </c>
      <c r="AN849" t="s">
        <v>263</v>
      </c>
      <c r="AO849" t="s">
        <v>3466</v>
      </c>
      <c r="AP849" t="s">
        <v>3467</v>
      </c>
      <c r="AQ849" t="s">
        <v>74</v>
      </c>
      <c r="AR849" t="s">
        <v>3468</v>
      </c>
      <c r="AS849" t="s">
        <v>3469</v>
      </c>
      <c r="AT849" t="s">
        <v>14027</v>
      </c>
      <c r="AU849">
        <v>2016</v>
      </c>
      <c r="AV849">
        <v>39</v>
      </c>
      <c r="AW849">
        <v>2</v>
      </c>
      <c r="AX849" t="s">
        <v>74</v>
      </c>
      <c r="AY849" t="s">
        <v>74</v>
      </c>
      <c r="AZ849" t="s">
        <v>74</v>
      </c>
      <c r="BA849" t="s">
        <v>74</v>
      </c>
      <c r="BB849">
        <v>207</v>
      </c>
      <c r="BC849">
        <v>220</v>
      </c>
      <c r="BD849" t="s">
        <v>74</v>
      </c>
      <c r="BE849" t="s">
        <v>16104</v>
      </c>
      <c r="BF849" t="str">
        <f>HYPERLINK("http://dx.doi.org/10.1007/s00300-015-1773-1","http://dx.doi.org/10.1007/s00300-015-1773-1")</f>
        <v>http://dx.doi.org/10.1007/s00300-015-1773-1</v>
      </c>
      <c r="BG849" t="s">
        <v>74</v>
      </c>
      <c r="BH849" t="s">
        <v>74</v>
      </c>
      <c r="BI849">
        <v>14</v>
      </c>
      <c r="BJ849" t="s">
        <v>291</v>
      </c>
      <c r="BK849" t="s">
        <v>102</v>
      </c>
      <c r="BL849" t="s">
        <v>133</v>
      </c>
      <c r="BM849" t="s">
        <v>15074</v>
      </c>
      <c r="BN849" t="s">
        <v>74</v>
      </c>
      <c r="BO849" t="s">
        <v>74</v>
      </c>
      <c r="BP849" t="s">
        <v>74</v>
      </c>
      <c r="BQ849" t="s">
        <v>74</v>
      </c>
      <c r="BR849" t="s">
        <v>106</v>
      </c>
      <c r="BS849" t="s">
        <v>16105</v>
      </c>
      <c r="BT849" t="str">
        <f>HYPERLINK("https%3A%2F%2Fwww.webofscience.com%2Fwos%2Fwoscc%2Ffull-record%2FWOS:000369067900002","View Full Record in Web of Science")</f>
        <v>View Full Record in Web of Science</v>
      </c>
    </row>
    <row r="850" spans="1:72" x14ac:dyDescent="0.15">
      <c r="A850" t="s">
        <v>72</v>
      </c>
      <c r="B850" t="s">
        <v>16106</v>
      </c>
      <c r="C850" t="s">
        <v>74</v>
      </c>
      <c r="D850" t="s">
        <v>74</v>
      </c>
      <c r="E850" t="s">
        <v>74</v>
      </c>
      <c r="F850" t="s">
        <v>16107</v>
      </c>
      <c r="G850" t="s">
        <v>74</v>
      </c>
      <c r="H850" t="s">
        <v>74</v>
      </c>
      <c r="I850" t="s">
        <v>16108</v>
      </c>
      <c r="J850" t="s">
        <v>3453</v>
      </c>
      <c r="K850" t="s">
        <v>74</v>
      </c>
      <c r="L850" t="s">
        <v>74</v>
      </c>
      <c r="M850" t="s">
        <v>78</v>
      </c>
      <c r="N850" t="s">
        <v>79</v>
      </c>
      <c r="O850" t="s">
        <v>74</v>
      </c>
      <c r="P850" t="s">
        <v>74</v>
      </c>
      <c r="Q850" t="s">
        <v>74</v>
      </c>
      <c r="R850" t="s">
        <v>74</v>
      </c>
      <c r="S850" t="s">
        <v>74</v>
      </c>
      <c r="T850" t="s">
        <v>16109</v>
      </c>
      <c r="U850" t="s">
        <v>16110</v>
      </c>
      <c r="V850" t="s">
        <v>16111</v>
      </c>
      <c r="W850" t="s">
        <v>16112</v>
      </c>
      <c r="X850" t="s">
        <v>16113</v>
      </c>
      <c r="Y850" t="s">
        <v>16114</v>
      </c>
      <c r="Z850" t="s">
        <v>16115</v>
      </c>
      <c r="AA850" t="s">
        <v>16116</v>
      </c>
      <c r="AB850" t="s">
        <v>16117</v>
      </c>
      <c r="AC850" t="s">
        <v>16118</v>
      </c>
      <c r="AD850" t="s">
        <v>16119</v>
      </c>
      <c r="AE850" t="s">
        <v>16120</v>
      </c>
      <c r="AF850" t="s">
        <v>74</v>
      </c>
      <c r="AG850">
        <v>58</v>
      </c>
      <c r="AH850">
        <v>56</v>
      </c>
      <c r="AI850">
        <v>59</v>
      </c>
      <c r="AJ850">
        <v>5</v>
      </c>
      <c r="AK850">
        <v>61</v>
      </c>
      <c r="AL850" t="s">
        <v>194</v>
      </c>
      <c r="AM850" t="s">
        <v>262</v>
      </c>
      <c r="AN850" t="s">
        <v>263</v>
      </c>
      <c r="AO850" t="s">
        <v>3466</v>
      </c>
      <c r="AP850" t="s">
        <v>3467</v>
      </c>
      <c r="AQ850" t="s">
        <v>74</v>
      </c>
      <c r="AR850" t="s">
        <v>3468</v>
      </c>
      <c r="AS850" t="s">
        <v>3469</v>
      </c>
      <c r="AT850" t="s">
        <v>14027</v>
      </c>
      <c r="AU850">
        <v>2016</v>
      </c>
      <c r="AV850">
        <v>39</v>
      </c>
      <c r="AW850">
        <v>2</v>
      </c>
      <c r="AX850" t="s">
        <v>74</v>
      </c>
      <c r="AY850" t="s">
        <v>74</v>
      </c>
      <c r="AZ850" t="s">
        <v>74</v>
      </c>
      <c r="BA850" t="s">
        <v>74</v>
      </c>
      <c r="BB850">
        <v>237</v>
      </c>
      <c r="BC850">
        <v>249</v>
      </c>
      <c r="BD850" t="s">
        <v>74</v>
      </c>
      <c r="BE850" t="s">
        <v>16121</v>
      </c>
      <c r="BF850" t="str">
        <f>HYPERLINK("http://dx.doi.org/10.1007/s00300-015-1776-y","http://dx.doi.org/10.1007/s00300-015-1776-y")</f>
        <v>http://dx.doi.org/10.1007/s00300-015-1776-y</v>
      </c>
      <c r="BG850" t="s">
        <v>74</v>
      </c>
      <c r="BH850" t="s">
        <v>74</v>
      </c>
      <c r="BI850">
        <v>13</v>
      </c>
      <c r="BJ850" t="s">
        <v>291</v>
      </c>
      <c r="BK850" t="s">
        <v>102</v>
      </c>
      <c r="BL850" t="s">
        <v>133</v>
      </c>
      <c r="BM850" t="s">
        <v>15074</v>
      </c>
      <c r="BN850" t="s">
        <v>74</v>
      </c>
      <c r="BO850" t="s">
        <v>74</v>
      </c>
      <c r="BP850" t="s">
        <v>74</v>
      </c>
      <c r="BQ850" t="s">
        <v>74</v>
      </c>
      <c r="BR850" t="s">
        <v>106</v>
      </c>
      <c r="BS850" t="s">
        <v>16122</v>
      </c>
      <c r="BT850" t="str">
        <f>HYPERLINK("https%3A%2F%2Fwww.webofscience.com%2Fwos%2Fwoscc%2Ffull-record%2FWOS:000369067900004","View Full Record in Web of Science")</f>
        <v>View Full Record in Web of Science</v>
      </c>
    </row>
    <row r="851" spans="1:72" x14ac:dyDescent="0.15">
      <c r="A851" t="s">
        <v>72</v>
      </c>
      <c r="B851" t="s">
        <v>16123</v>
      </c>
      <c r="C851" t="s">
        <v>74</v>
      </c>
      <c r="D851" t="s">
        <v>74</v>
      </c>
      <c r="E851" t="s">
        <v>74</v>
      </c>
      <c r="F851" t="s">
        <v>16124</v>
      </c>
      <c r="G851" t="s">
        <v>74</v>
      </c>
      <c r="H851" t="s">
        <v>74</v>
      </c>
      <c r="I851" t="s">
        <v>16125</v>
      </c>
      <c r="J851" t="s">
        <v>3453</v>
      </c>
      <c r="K851" t="s">
        <v>74</v>
      </c>
      <c r="L851" t="s">
        <v>74</v>
      </c>
      <c r="M851" t="s">
        <v>78</v>
      </c>
      <c r="N851" t="s">
        <v>79</v>
      </c>
      <c r="O851" t="s">
        <v>74</v>
      </c>
      <c r="P851" t="s">
        <v>74</v>
      </c>
      <c r="Q851" t="s">
        <v>74</v>
      </c>
      <c r="R851" t="s">
        <v>74</v>
      </c>
      <c r="S851" t="s">
        <v>74</v>
      </c>
      <c r="T851" t="s">
        <v>16126</v>
      </c>
      <c r="U851" t="s">
        <v>16127</v>
      </c>
      <c r="V851" t="s">
        <v>16128</v>
      </c>
      <c r="W851" t="s">
        <v>16129</v>
      </c>
      <c r="X851" t="s">
        <v>16130</v>
      </c>
      <c r="Y851" t="s">
        <v>16131</v>
      </c>
      <c r="Z851" t="s">
        <v>16132</v>
      </c>
      <c r="AA851" t="s">
        <v>16133</v>
      </c>
      <c r="AB851" t="s">
        <v>16134</v>
      </c>
      <c r="AC851" t="s">
        <v>16135</v>
      </c>
      <c r="AD851" t="s">
        <v>16135</v>
      </c>
      <c r="AE851" t="s">
        <v>16136</v>
      </c>
      <c r="AF851" t="s">
        <v>74</v>
      </c>
      <c r="AG851">
        <v>74</v>
      </c>
      <c r="AH851">
        <v>6</v>
      </c>
      <c r="AI851">
        <v>6</v>
      </c>
      <c r="AJ851">
        <v>0</v>
      </c>
      <c r="AK851">
        <v>24</v>
      </c>
      <c r="AL851" t="s">
        <v>194</v>
      </c>
      <c r="AM851" t="s">
        <v>262</v>
      </c>
      <c r="AN851" t="s">
        <v>2836</v>
      </c>
      <c r="AO851" t="s">
        <v>3466</v>
      </c>
      <c r="AP851" t="s">
        <v>3467</v>
      </c>
      <c r="AQ851" t="s">
        <v>74</v>
      </c>
      <c r="AR851" t="s">
        <v>3468</v>
      </c>
      <c r="AS851" t="s">
        <v>3469</v>
      </c>
      <c r="AT851" t="s">
        <v>14027</v>
      </c>
      <c r="AU851">
        <v>2016</v>
      </c>
      <c r="AV851">
        <v>39</v>
      </c>
      <c r="AW851">
        <v>2</v>
      </c>
      <c r="AX851" t="s">
        <v>74</v>
      </c>
      <c r="AY851" t="s">
        <v>74</v>
      </c>
      <c r="AZ851" t="s">
        <v>74</v>
      </c>
      <c r="BA851" t="s">
        <v>74</v>
      </c>
      <c r="BB851">
        <v>267</v>
      </c>
      <c r="BC851">
        <v>282</v>
      </c>
      <c r="BD851" t="s">
        <v>74</v>
      </c>
      <c r="BE851" t="s">
        <v>16137</v>
      </c>
      <c r="BF851" t="str">
        <f>HYPERLINK("http://dx.doi.org/10.1007/s00300-015-1780-2","http://dx.doi.org/10.1007/s00300-015-1780-2")</f>
        <v>http://dx.doi.org/10.1007/s00300-015-1780-2</v>
      </c>
      <c r="BG851" t="s">
        <v>74</v>
      </c>
      <c r="BH851" t="s">
        <v>74</v>
      </c>
      <c r="BI851">
        <v>16</v>
      </c>
      <c r="BJ851" t="s">
        <v>291</v>
      </c>
      <c r="BK851" t="s">
        <v>102</v>
      </c>
      <c r="BL851" t="s">
        <v>133</v>
      </c>
      <c r="BM851" t="s">
        <v>15074</v>
      </c>
      <c r="BN851" t="s">
        <v>74</v>
      </c>
      <c r="BO851" t="s">
        <v>74</v>
      </c>
      <c r="BP851" t="s">
        <v>74</v>
      </c>
      <c r="BQ851" t="s">
        <v>74</v>
      </c>
      <c r="BR851" t="s">
        <v>106</v>
      </c>
      <c r="BS851" t="s">
        <v>16138</v>
      </c>
      <c r="BT851" t="str">
        <f>HYPERLINK("https%3A%2F%2Fwww.webofscience.com%2Fwos%2Fwoscc%2Ffull-record%2FWOS:000369067900006","View Full Record in Web of Science")</f>
        <v>View Full Record in Web of Science</v>
      </c>
    </row>
    <row r="852" spans="1:72" x14ac:dyDescent="0.15">
      <c r="A852" t="s">
        <v>72</v>
      </c>
      <c r="B852" t="s">
        <v>16139</v>
      </c>
      <c r="C852" t="s">
        <v>74</v>
      </c>
      <c r="D852" t="s">
        <v>74</v>
      </c>
      <c r="E852" t="s">
        <v>74</v>
      </c>
      <c r="F852" t="s">
        <v>16140</v>
      </c>
      <c r="G852" t="s">
        <v>74</v>
      </c>
      <c r="H852" t="s">
        <v>74</v>
      </c>
      <c r="I852" t="s">
        <v>16141</v>
      </c>
      <c r="J852" t="s">
        <v>3453</v>
      </c>
      <c r="K852" t="s">
        <v>74</v>
      </c>
      <c r="L852" t="s">
        <v>74</v>
      </c>
      <c r="M852" t="s">
        <v>78</v>
      </c>
      <c r="N852" t="s">
        <v>79</v>
      </c>
      <c r="O852" t="s">
        <v>74</v>
      </c>
      <c r="P852" t="s">
        <v>74</v>
      </c>
      <c r="Q852" t="s">
        <v>74</v>
      </c>
      <c r="R852" t="s">
        <v>74</v>
      </c>
      <c r="S852" t="s">
        <v>74</v>
      </c>
      <c r="T852" t="s">
        <v>16142</v>
      </c>
      <c r="U852" t="s">
        <v>16143</v>
      </c>
      <c r="V852" t="s">
        <v>16144</v>
      </c>
      <c r="W852" t="s">
        <v>16145</v>
      </c>
      <c r="X852" t="s">
        <v>16146</v>
      </c>
      <c r="Y852" t="s">
        <v>16147</v>
      </c>
      <c r="Z852" t="s">
        <v>16148</v>
      </c>
      <c r="AA852" t="s">
        <v>16149</v>
      </c>
      <c r="AB852" t="s">
        <v>16150</v>
      </c>
      <c r="AC852" t="s">
        <v>16151</v>
      </c>
      <c r="AD852" t="s">
        <v>16152</v>
      </c>
      <c r="AE852" t="s">
        <v>16153</v>
      </c>
      <c r="AF852" t="s">
        <v>74</v>
      </c>
      <c r="AG852">
        <v>60</v>
      </c>
      <c r="AH852">
        <v>20</v>
      </c>
      <c r="AI852">
        <v>21</v>
      </c>
      <c r="AJ852">
        <v>0</v>
      </c>
      <c r="AK852">
        <v>22</v>
      </c>
      <c r="AL852" t="s">
        <v>194</v>
      </c>
      <c r="AM852" t="s">
        <v>262</v>
      </c>
      <c r="AN852" t="s">
        <v>2836</v>
      </c>
      <c r="AO852" t="s">
        <v>3466</v>
      </c>
      <c r="AP852" t="s">
        <v>3467</v>
      </c>
      <c r="AQ852" t="s">
        <v>74</v>
      </c>
      <c r="AR852" t="s">
        <v>3468</v>
      </c>
      <c r="AS852" t="s">
        <v>3469</v>
      </c>
      <c r="AT852" t="s">
        <v>14027</v>
      </c>
      <c r="AU852">
        <v>2016</v>
      </c>
      <c r="AV852">
        <v>39</v>
      </c>
      <c r="AW852">
        <v>2</v>
      </c>
      <c r="AX852" t="s">
        <v>74</v>
      </c>
      <c r="AY852" t="s">
        <v>74</v>
      </c>
      <c r="AZ852" t="s">
        <v>74</v>
      </c>
      <c r="BA852" t="s">
        <v>74</v>
      </c>
      <c r="BB852">
        <v>297</v>
      </c>
      <c r="BC852">
        <v>307</v>
      </c>
      <c r="BD852" t="s">
        <v>74</v>
      </c>
      <c r="BE852" t="s">
        <v>16154</v>
      </c>
      <c r="BF852" t="str">
        <f>HYPERLINK("http://dx.doi.org/10.1007/s00300-015-1782-0","http://dx.doi.org/10.1007/s00300-015-1782-0")</f>
        <v>http://dx.doi.org/10.1007/s00300-015-1782-0</v>
      </c>
      <c r="BG852" t="s">
        <v>74</v>
      </c>
      <c r="BH852" t="s">
        <v>74</v>
      </c>
      <c r="BI852">
        <v>11</v>
      </c>
      <c r="BJ852" t="s">
        <v>291</v>
      </c>
      <c r="BK852" t="s">
        <v>102</v>
      </c>
      <c r="BL852" t="s">
        <v>133</v>
      </c>
      <c r="BM852" t="s">
        <v>15074</v>
      </c>
      <c r="BN852" t="s">
        <v>74</v>
      </c>
      <c r="BO852" t="s">
        <v>1412</v>
      </c>
      <c r="BP852" t="s">
        <v>74</v>
      </c>
      <c r="BQ852" t="s">
        <v>74</v>
      </c>
      <c r="BR852" t="s">
        <v>106</v>
      </c>
      <c r="BS852" t="s">
        <v>16155</v>
      </c>
      <c r="BT852" t="str">
        <f>HYPERLINK("https%3A%2F%2Fwww.webofscience.com%2Fwos%2Fwoscc%2Ffull-record%2FWOS:000369067900008","View Full Record in Web of Science")</f>
        <v>View Full Record in Web of Science</v>
      </c>
    </row>
    <row r="853" spans="1:72" x14ac:dyDescent="0.15">
      <c r="A853" t="s">
        <v>72</v>
      </c>
      <c r="B853" t="s">
        <v>16156</v>
      </c>
      <c r="C853" t="s">
        <v>74</v>
      </c>
      <c r="D853" t="s">
        <v>74</v>
      </c>
      <c r="E853" t="s">
        <v>74</v>
      </c>
      <c r="F853" t="s">
        <v>16157</v>
      </c>
      <c r="G853" t="s">
        <v>74</v>
      </c>
      <c r="H853" t="s">
        <v>74</v>
      </c>
      <c r="I853" t="s">
        <v>16158</v>
      </c>
      <c r="J853" t="s">
        <v>3453</v>
      </c>
      <c r="K853" t="s">
        <v>74</v>
      </c>
      <c r="L853" t="s">
        <v>74</v>
      </c>
      <c r="M853" t="s">
        <v>78</v>
      </c>
      <c r="N853" t="s">
        <v>79</v>
      </c>
      <c r="O853" t="s">
        <v>74</v>
      </c>
      <c r="P853" t="s">
        <v>74</v>
      </c>
      <c r="Q853" t="s">
        <v>74</v>
      </c>
      <c r="R853" t="s">
        <v>74</v>
      </c>
      <c r="S853" t="s">
        <v>74</v>
      </c>
      <c r="T853" t="s">
        <v>16159</v>
      </c>
      <c r="U853" t="s">
        <v>16160</v>
      </c>
      <c r="V853" t="s">
        <v>16161</v>
      </c>
      <c r="W853" t="s">
        <v>16162</v>
      </c>
      <c r="X853" t="s">
        <v>16163</v>
      </c>
      <c r="Y853" t="s">
        <v>16164</v>
      </c>
      <c r="Z853" t="s">
        <v>16165</v>
      </c>
      <c r="AA853" t="s">
        <v>16166</v>
      </c>
      <c r="AB853" t="s">
        <v>16167</v>
      </c>
      <c r="AC853" t="s">
        <v>16168</v>
      </c>
      <c r="AD853" t="s">
        <v>16169</v>
      </c>
      <c r="AE853" t="s">
        <v>16170</v>
      </c>
      <c r="AF853" t="s">
        <v>74</v>
      </c>
      <c r="AG853">
        <v>54</v>
      </c>
      <c r="AH853">
        <v>6</v>
      </c>
      <c r="AI853">
        <v>6</v>
      </c>
      <c r="AJ853">
        <v>0</v>
      </c>
      <c r="AK853">
        <v>17</v>
      </c>
      <c r="AL853" t="s">
        <v>194</v>
      </c>
      <c r="AM853" t="s">
        <v>262</v>
      </c>
      <c r="AN853" t="s">
        <v>2836</v>
      </c>
      <c r="AO853" t="s">
        <v>3466</v>
      </c>
      <c r="AP853" t="s">
        <v>3467</v>
      </c>
      <c r="AQ853" t="s">
        <v>74</v>
      </c>
      <c r="AR853" t="s">
        <v>3468</v>
      </c>
      <c r="AS853" t="s">
        <v>3469</v>
      </c>
      <c r="AT853" t="s">
        <v>14027</v>
      </c>
      <c r="AU853">
        <v>2016</v>
      </c>
      <c r="AV853">
        <v>39</v>
      </c>
      <c r="AW853">
        <v>2</v>
      </c>
      <c r="AX853" t="s">
        <v>74</v>
      </c>
      <c r="AY853" t="s">
        <v>74</v>
      </c>
      <c r="AZ853" t="s">
        <v>74</v>
      </c>
      <c r="BA853" t="s">
        <v>74</v>
      </c>
      <c r="BB853">
        <v>379</v>
      </c>
      <c r="BC853">
        <v>389</v>
      </c>
      <c r="BD853" t="s">
        <v>74</v>
      </c>
      <c r="BE853" t="s">
        <v>16171</v>
      </c>
      <c r="BF853" t="str">
        <f>HYPERLINK("http://dx.doi.org/10.1007/s00300-015-1788-7","http://dx.doi.org/10.1007/s00300-015-1788-7")</f>
        <v>http://dx.doi.org/10.1007/s00300-015-1788-7</v>
      </c>
      <c r="BG853" t="s">
        <v>74</v>
      </c>
      <c r="BH853" t="s">
        <v>74</v>
      </c>
      <c r="BI853">
        <v>11</v>
      </c>
      <c r="BJ853" t="s">
        <v>291</v>
      </c>
      <c r="BK853" t="s">
        <v>102</v>
      </c>
      <c r="BL853" t="s">
        <v>133</v>
      </c>
      <c r="BM853" t="s">
        <v>15074</v>
      </c>
      <c r="BN853" t="s">
        <v>74</v>
      </c>
      <c r="BO853" t="s">
        <v>74</v>
      </c>
      <c r="BP853" t="s">
        <v>74</v>
      </c>
      <c r="BQ853" t="s">
        <v>74</v>
      </c>
      <c r="BR853" t="s">
        <v>106</v>
      </c>
      <c r="BS853" t="s">
        <v>16172</v>
      </c>
      <c r="BT853" t="str">
        <f>HYPERLINK("https%3A%2F%2Fwww.webofscience.com%2Fwos%2Fwoscc%2Ffull-record%2FWOS:000369067900014","View Full Record in Web of Science")</f>
        <v>View Full Record in Web of Science</v>
      </c>
    </row>
    <row r="854" spans="1:72" x14ac:dyDescent="0.15">
      <c r="A854" t="s">
        <v>72</v>
      </c>
      <c r="B854" t="s">
        <v>16173</v>
      </c>
      <c r="C854" t="s">
        <v>74</v>
      </c>
      <c r="D854" t="s">
        <v>74</v>
      </c>
      <c r="E854" t="s">
        <v>74</v>
      </c>
      <c r="F854" t="s">
        <v>16174</v>
      </c>
      <c r="G854" t="s">
        <v>74</v>
      </c>
      <c r="H854" t="s">
        <v>74</v>
      </c>
      <c r="I854" t="s">
        <v>16175</v>
      </c>
      <c r="J854" t="s">
        <v>3144</v>
      </c>
      <c r="K854" t="s">
        <v>74</v>
      </c>
      <c r="L854" t="s">
        <v>74</v>
      </c>
      <c r="M854" t="s">
        <v>78</v>
      </c>
      <c r="N854" t="s">
        <v>949</v>
      </c>
      <c r="O854" t="s">
        <v>74</v>
      </c>
      <c r="P854" t="s">
        <v>74</v>
      </c>
      <c r="Q854" t="s">
        <v>74</v>
      </c>
      <c r="R854" t="s">
        <v>74</v>
      </c>
      <c r="S854" t="s">
        <v>74</v>
      </c>
      <c r="T854" t="s">
        <v>74</v>
      </c>
      <c r="U854" t="s">
        <v>16176</v>
      </c>
      <c r="V854" t="s">
        <v>16177</v>
      </c>
      <c r="W854" t="s">
        <v>16178</v>
      </c>
      <c r="X854" t="s">
        <v>16179</v>
      </c>
      <c r="Y854" t="s">
        <v>16180</v>
      </c>
      <c r="Z854" t="s">
        <v>16181</v>
      </c>
      <c r="AA854" t="s">
        <v>74</v>
      </c>
      <c r="AB854" t="s">
        <v>74</v>
      </c>
      <c r="AC854" t="s">
        <v>16182</v>
      </c>
      <c r="AD854" t="s">
        <v>16183</v>
      </c>
      <c r="AE854" t="s">
        <v>16184</v>
      </c>
      <c r="AF854" t="s">
        <v>74</v>
      </c>
      <c r="AG854">
        <v>109</v>
      </c>
      <c r="AH854">
        <v>18</v>
      </c>
      <c r="AI854">
        <v>18</v>
      </c>
      <c r="AJ854">
        <v>1</v>
      </c>
      <c r="AK854">
        <v>18</v>
      </c>
      <c r="AL854" t="s">
        <v>1829</v>
      </c>
      <c r="AM854" t="s">
        <v>679</v>
      </c>
      <c r="AN854" t="s">
        <v>1830</v>
      </c>
      <c r="AO854" t="s">
        <v>3155</v>
      </c>
      <c r="AP854" t="s">
        <v>74</v>
      </c>
      <c r="AQ854" t="s">
        <v>74</v>
      </c>
      <c r="AR854" t="s">
        <v>3156</v>
      </c>
      <c r="AS854" t="s">
        <v>3157</v>
      </c>
      <c r="AT854" t="s">
        <v>14027</v>
      </c>
      <c r="AU854">
        <v>2016</v>
      </c>
      <c r="AV854">
        <v>141</v>
      </c>
      <c r="AW854" t="s">
        <v>74</v>
      </c>
      <c r="AX854" t="s">
        <v>74</v>
      </c>
      <c r="AY854" t="s">
        <v>74</v>
      </c>
      <c r="AZ854" t="s">
        <v>74</v>
      </c>
      <c r="BA854" t="s">
        <v>74</v>
      </c>
      <c r="BB854">
        <v>1</v>
      </c>
      <c r="BC854">
        <v>16</v>
      </c>
      <c r="BD854" t="s">
        <v>74</v>
      </c>
      <c r="BE854" t="s">
        <v>16185</v>
      </c>
      <c r="BF854" t="str">
        <f>HYPERLINK("http://dx.doi.org/10.1016/j.pocean.2015.10.005","http://dx.doi.org/10.1016/j.pocean.2015.10.005")</f>
        <v>http://dx.doi.org/10.1016/j.pocean.2015.10.005</v>
      </c>
      <c r="BG854" t="s">
        <v>74</v>
      </c>
      <c r="BH854" t="s">
        <v>74</v>
      </c>
      <c r="BI854">
        <v>16</v>
      </c>
      <c r="BJ854" t="s">
        <v>361</v>
      </c>
      <c r="BK854" t="s">
        <v>102</v>
      </c>
      <c r="BL854" t="s">
        <v>361</v>
      </c>
      <c r="BM854" t="s">
        <v>14029</v>
      </c>
      <c r="BN854" t="s">
        <v>74</v>
      </c>
      <c r="BO854" t="s">
        <v>380</v>
      </c>
      <c r="BP854" t="s">
        <v>74</v>
      </c>
      <c r="BQ854" t="s">
        <v>74</v>
      </c>
      <c r="BR854" t="s">
        <v>106</v>
      </c>
      <c r="BS854" t="s">
        <v>16186</v>
      </c>
      <c r="BT854" t="str">
        <f>HYPERLINK("https%3A%2F%2Fwww.webofscience.com%2Fwos%2Fwoscc%2Ffull-record%2FWOS:000378101200001","View Full Record in Web of Science")</f>
        <v>View Full Record in Web of Science</v>
      </c>
    </row>
    <row r="855" spans="1:72" x14ac:dyDescent="0.15">
      <c r="A855" t="s">
        <v>72</v>
      </c>
      <c r="B855" t="s">
        <v>16187</v>
      </c>
      <c r="C855" t="s">
        <v>74</v>
      </c>
      <c r="D855" t="s">
        <v>74</v>
      </c>
      <c r="E855" t="s">
        <v>74</v>
      </c>
      <c r="F855" t="s">
        <v>16188</v>
      </c>
      <c r="G855" t="s">
        <v>74</v>
      </c>
      <c r="H855" t="s">
        <v>74</v>
      </c>
      <c r="I855" t="s">
        <v>16189</v>
      </c>
      <c r="J855" t="s">
        <v>3144</v>
      </c>
      <c r="K855" t="s">
        <v>74</v>
      </c>
      <c r="L855" t="s">
        <v>74</v>
      </c>
      <c r="M855" t="s">
        <v>78</v>
      </c>
      <c r="N855" t="s">
        <v>949</v>
      </c>
      <c r="O855" t="s">
        <v>74</v>
      </c>
      <c r="P855" t="s">
        <v>74</v>
      </c>
      <c r="Q855" t="s">
        <v>74</v>
      </c>
      <c r="R855" t="s">
        <v>74</v>
      </c>
      <c r="S855" t="s">
        <v>74</v>
      </c>
      <c r="T855" t="s">
        <v>74</v>
      </c>
      <c r="U855" t="s">
        <v>16190</v>
      </c>
      <c r="V855" t="s">
        <v>16191</v>
      </c>
      <c r="W855" t="s">
        <v>16192</v>
      </c>
      <c r="X855" t="s">
        <v>16193</v>
      </c>
      <c r="Y855" t="s">
        <v>16194</v>
      </c>
      <c r="Z855" t="s">
        <v>74</v>
      </c>
      <c r="AA855" t="s">
        <v>16195</v>
      </c>
      <c r="AB855" t="s">
        <v>16196</v>
      </c>
      <c r="AC855" t="s">
        <v>16197</v>
      </c>
      <c r="AD855" t="s">
        <v>16198</v>
      </c>
      <c r="AE855" t="s">
        <v>16199</v>
      </c>
      <c r="AF855" t="s">
        <v>74</v>
      </c>
      <c r="AG855">
        <v>76</v>
      </c>
      <c r="AH855">
        <v>954</v>
      </c>
      <c r="AI855">
        <v>1025</v>
      </c>
      <c r="AJ855">
        <v>62</v>
      </c>
      <c r="AK855">
        <v>387</v>
      </c>
      <c r="AL855" t="s">
        <v>1829</v>
      </c>
      <c r="AM855" t="s">
        <v>679</v>
      </c>
      <c r="AN855" t="s">
        <v>1830</v>
      </c>
      <c r="AO855" t="s">
        <v>3155</v>
      </c>
      <c r="AP855" t="s">
        <v>14043</v>
      </c>
      <c r="AQ855" t="s">
        <v>74</v>
      </c>
      <c r="AR855" t="s">
        <v>3156</v>
      </c>
      <c r="AS855" t="s">
        <v>3157</v>
      </c>
      <c r="AT855" t="s">
        <v>14027</v>
      </c>
      <c r="AU855">
        <v>2016</v>
      </c>
      <c r="AV855">
        <v>141</v>
      </c>
      <c r="AW855" t="s">
        <v>74</v>
      </c>
      <c r="AX855" t="s">
        <v>74</v>
      </c>
      <c r="AY855" t="s">
        <v>74</v>
      </c>
      <c r="AZ855" t="s">
        <v>74</v>
      </c>
      <c r="BA855" t="s">
        <v>74</v>
      </c>
      <c r="BB855">
        <v>227</v>
      </c>
      <c r="BC855">
        <v>238</v>
      </c>
      <c r="BD855" t="s">
        <v>74</v>
      </c>
      <c r="BE855" t="s">
        <v>16200</v>
      </c>
      <c r="BF855" t="str">
        <f>HYPERLINK("http://dx.doi.org/10.1016/j.pocean.2015.12.014","http://dx.doi.org/10.1016/j.pocean.2015.12.014")</f>
        <v>http://dx.doi.org/10.1016/j.pocean.2015.12.014</v>
      </c>
      <c r="BG855" t="s">
        <v>74</v>
      </c>
      <c r="BH855" t="s">
        <v>74</v>
      </c>
      <c r="BI855">
        <v>12</v>
      </c>
      <c r="BJ855" t="s">
        <v>361</v>
      </c>
      <c r="BK855" t="s">
        <v>102</v>
      </c>
      <c r="BL855" t="s">
        <v>361</v>
      </c>
      <c r="BM855" t="s">
        <v>14029</v>
      </c>
      <c r="BN855" t="s">
        <v>74</v>
      </c>
      <c r="BO855" t="s">
        <v>15863</v>
      </c>
      <c r="BP855" t="s">
        <v>1046</v>
      </c>
      <c r="BQ855" t="s">
        <v>1047</v>
      </c>
      <c r="BR855" t="s">
        <v>106</v>
      </c>
      <c r="BS855" t="s">
        <v>16201</v>
      </c>
      <c r="BT855" t="str">
        <f>HYPERLINK("https%3A%2F%2Fwww.webofscience.com%2Fwos%2Fwoscc%2Ffull-record%2FWOS:000378101200016","View Full Record in Web of Science")</f>
        <v>View Full Record in Web of Science</v>
      </c>
    </row>
    <row r="856" spans="1:72" x14ac:dyDescent="0.15">
      <c r="A856" t="s">
        <v>72</v>
      </c>
      <c r="B856" t="s">
        <v>16202</v>
      </c>
      <c r="C856" t="s">
        <v>74</v>
      </c>
      <c r="D856" t="s">
        <v>74</v>
      </c>
      <c r="E856" t="s">
        <v>74</v>
      </c>
      <c r="F856" t="s">
        <v>16203</v>
      </c>
      <c r="G856" t="s">
        <v>74</v>
      </c>
      <c r="H856" t="s">
        <v>74</v>
      </c>
      <c r="I856" t="s">
        <v>16204</v>
      </c>
      <c r="J856" t="s">
        <v>16205</v>
      </c>
      <c r="K856" t="s">
        <v>74</v>
      </c>
      <c r="L856" t="s">
        <v>74</v>
      </c>
      <c r="M856" t="s">
        <v>78</v>
      </c>
      <c r="N856" t="s">
        <v>79</v>
      </c>
      <c r="O856" t="s">
        <v>74</v>
      </c>
      <c r="P856" t="s">
        <v>74</v>
      </c>
      <c r="Q856" t="s">
        <v>74</v>
      </c>
      <c r="R856" t="s">
        <v>74</v>
      </c>
      <c r="S856" t="s">
        <v>74</v>
      </c>
      <c r="T856" t="s">
        <v>16206</v>
      </c>
      <c r="U856" t="s">
        <v>16207</v>
      </c>
      <c r="V856" t="s">
        <v>16208</v>
      </c>
      <c r="W856" t="s">
        <v>16209</v>
      </c>
      <c r="X856" t="s">
        <v>16210</v>
      </c>
      <c r="Y856" t="s">
        <v>16211</v>
      </c>
      <c r="Z856" t="s">
        <v>16212</v>
      </c>
      <c r="AA856" t="s">
        <v>16213</v>
      </c>
      <c r="AB856" t="s">
        <v>16214</v>
      </c>
      <c r="AC856" t="s">
        <v>16215</v>
      </c>
      <c r="AD856" t="s">
        <v>16216</v>
      </c>
      <c r="AE856" t="s">
        <v>16217</v>
      </c>
      <c r="AF856" t="s">
        <v>74</v>
      </c>
      <c r="AG856">
        <v>224</v>
      </c>
      <c r="AH856">
        <v>146</v>
      </c>
      <c r="AI856">
        <v>156</v>
      </c>
      <c r="AJ856">
        <v>2</v>
      </c>
      <c r="AK856">
        <v>108</v>
      </c>
      <c r="AL856" t="s">
        <v>11316</v>
      </c>
      <c r="AM856" t="s">
        <v>773</v>
      </c>
      <c r="AN856" t="s">
        <v>11317</v>
      </c>
      <c r="AO856" t="s">
        <v>16218</v>
      </c>
      <c r="AP856" t="s">
        <v>16219</v>
      </c>
      <c r="AQ856" t="s">
        <v>74</v>
      </c>
      <c r="AR856" t="s">
        <v>16220</v>
      </c>
      <c r="AS856" t="s">
        <v>16221</v>
      </c>
      <c r="AT856" t="s">
        <v>14027</v>
      </c>
      <c r="AU856">
        <v>2016</v>
      </c>
      <c r="AV856">
        <v>40</v>
      </c>
      <c r="AW856">
        <v>1</v>
      </c>
      <c r="AX856" t="s">
        <v>74</v>
      </c>
      <c r="AY856" t="s">
        <v>74</v>
      </c>
      <c r="AZ856" t="s">
        <v>74</v>
      </c>
      <c r="BA856" t="s">
        <v>74</v>
      </c>
      <c r="BB856">
        <v>66</v>
      </c>
      <c r="BC856">
        <v>111</v>
      </c>
      <c r="BD856" t="s">
        <v>74</v>
      </c>
      <c r="BE856" t="s">
        <v>16222</v>
      </c>
      <c r="BF856" t="str">
        <f>HYPERLINK("http://dx.doi.org/10.1177/0309133315616574","http://dx.doi.org/10.1177/0309133315616574")</f>
        <v>http://dx.doi.org/10.1177/0309133315616574</v>
      </c>
      <c r="BG856" t="s">
        <v>74</v>
      </c>
      <c r="BH856" t="s">
        <v>74</v>
      </c>
      <c r="BI856">
        <v>46</v>
      </c>
      <c r="BJ856" t="s">
        <v>1904</v>
      </c>
      <c r="BK856" t="s">
        <v>102</v>
      </c>
      <c r="BL856" t="s">
        <v>1905</v>
      </c>
      <c r="BM856" t="s">
        <v>16223</v>
      </c>
      <c r="BN856" t="s">
        <v>74</v>
      </c>
      <c r="BO856" t="s">
        <v>9156</v>
      </c>
      <c r="BP856" t="s">
        <v>74</v>
      </c>
      <c r="BQ856" t="s">
        <v>74</v>
      </c>
      <c r="BR856" t="s">
        <v>106</v>
      </c>
      <c r="BS856" t="s">
        <v>16224</v>
      </c>
      <c r="BT856" t="str">
        <f>HYPERLINK("https%3A%2F%2Fwww.webofscience.com%2Fwos%2Fwoscc%2Ffull-record%2FWOS:000368817500004","View Full Record in Web of Science")</f>
        <v>View Full Record in Web of Science</v>
      </c>
    </row>
    <row r="857" spans="1:72" x14ac:dyDescent="0.15">
      <c r="A857" t="s">
        <v>72</v>
      </c>
      <c r="B857" t="s">
        <v>16225</v>
      </c>
      <c r="C857" t="s">
        <v>74</v>
      </c>
      <c r="D857" t="s">
        <v>74</v>
      </c>
      <c r="E857" t="s">
        <v>74</v>
      </c>
      <c r="F857" t="s">
        <v>16226</v>
      </c>
      <c r="G857" t="s">
        <v>74</v>
      </c>
      <c r="H857" t="s">
        <v>74</v>
      </c>
      <c r="I857" t="s">
        <v>16227</v>
      </c>
      <c r="J857" t="s">
        <v>8672</v>
      </c>
      <c r="K857" t="s">
        <v>74</v>
      </c>
      <c r="L857" t="s">
        <v>74</v>
      </c>
      <c r="M857" t="s">
        <v>78</v>
      </c>
      <c r="N857" t="s">
        <v>79</v>
      </c>
      <c r="O857" t="s">
        <v>74</v>
      </c>
      <c r="P857" t="s">
        <v>74</v>
      </c>
      <c r="Q857" t="s">
        <v>74</v>
      </c>
      <c r="R857" t="s">
        <v>74</v>
      </c>
      <c r="S857" t="s">
        <v>74</v>
      </c>
      <c r="T857" t="s">
        <v>16228</v>
      </c>
      <c r="U857" t="s">
        <v>16229</v>
      </c>
      <c r="V857" t="s">
        <v>16230</v>
      </c>
      <c r="W857" t="s">
        <v>16231</v>
      </c>
      <c r="X857" t="s">
        <v>16232</v>
      </c>
      <c r="Y857" t="s">
        <v>16233</v>
      </c>
      <c r="Z857" t="s">
        <v>16234</v>
      </c>
      <c r="AA857" t="s">
        <v>16235</v>
      </c>
      <c r="AB857" t="s">
        <v>16236</v>
      </c>
      <c r="AC857" t="s">
        <v>16237</v>
      </c>
      <c r="AD857" t="s">
        <v>16238</v>
      </c>
      <c r="AE857" t="s">
        <v>16239</v>
      </c>
      <c r="AF857" t="s">
        <v>74</v>
      </c>
      <c r="AG857">
        <v>21</v>
      </c>
      <c r="AH857">
        <v>303</v>
      </c>
      <c r="AI857">
        <v>360</v>
      </c>
      <c r="AJ857">
        <v>104</v>
      </c>
      <c r="AK857">
        <v>635</v>
      </c>
      <c r="AL857" t="s">
        <v>1829</v>
      </c>
      <c r="AM857" t="s">
        <v>679</v>
      </c>
      <c r="AN857" t="s">
        <v>1830</v>
      </c>
      <c r="AO857" t="s">
        <v>8685</v>
      </c>
      <c r="AP857" t="s">
        <v>74</v>
      </c>
      <c r="AQ857" t="s">
        <v>74</v>
      </c>
      <c r="AR857" t="s">
        <v>8687</v>
      </c>
      <c r="AS857" t="s">
        <v>8688</v>
      </c>
      <c r="AT857" t="s">
        <v>14027</v>
      </c>
      <c r="AU857">
        <v>2016</v>
      </c>
      <c r="AV857">
        <v>93</v>
      </c>
      <c r="AW857" t="s">
        <v>74</v>
      </c>
      <c r="AX857" t="s">
        <v>74</v>
      </c>
      <c r="AY857" t="s">
        <v>74</v>
      </c>
      <c r="AZ857" t="s">
        <v>74</v>
      </c>
      <c r="BA857" t="s">
        <v>74</v>
      </c>
      <c r="BB857">
        <v>1</v>
      </c>
      <c r="BC857">
        <v>7</v>
      </c>
      <c r="BD857" t="s">
        <v>74</v>
      </c>
      <c r="BE857" t="s">
        <v>16240</v>
      </c>
      <c r="BF857" t="str">
        <f>HYPERLINK("http://dx.doi.org/10.1016/j.soilbio.2015.10.019","http://dx.doi.org/10.1016/j.soilbio.2015.10.019")</f>
        <v>http://dx.doi.org/10.1016/j.soilbio.2015.10.019</v>
      </c>
      <c r="BG857" t="s">
        <v>74</v>
      </c>
      <c r="BH857" t="s">
        <v>74</v>
      </c>
      <c r="BI857">
        <v>7</v>
      </c>
      <c r="BJ857" t="s">
        <v>8690</v>
      </c>
      <c r="BK857" t="s">
        <v>102</v>
      </c>
      <c r="BL857" t="s">
        <v>8691</v>
      </c>
      <c r="BM857" t="s">
        <v>16241</v>
      </c>
      <c r="BN857" t="s">
        <v>74</v>
      </c>
      <c r="BO857" t="s">
        <v>74</v>
      </c>
      <c r="BP857" t="s">
        <v>1046</v>
      </c>
      <c r="BQ857" t="s">
        <v>1047</v>
      </c>
      <c r="BR857" t="s">
        <v>106</v>
      </c>
      <c r="BS857" t="s">
        <v>16242</v>
      </c>
      <c r="BT857" t="str">
        <f>HYPERLINK("https%3A%2F%2Fwww.webofscience.com%2Fwos%2Fwoscc%2Ffull-record%2FWOS:000369207200001","View Full Record in Web of Science")</f>
        <v>View Full Record in Web of Science</v>
      </c>
    </row>
    <row r="858" spans="1:72" x14ac:dyDescent="0.15">
      <c r="A858" t="s">
        <v>72</v>
      </c>
      <c r="B858" t="s">
        <v>16243</v>
      </c>
      <c r="C858" t="s">
        <v>74</v>
      </c>
      <c r="D858" t="s">
        <v>74</v>
      </c>
      <c r="E858" t="s">
        <v>74</v>
      </c>
      <c r="F858" t="s">
        <v>16244</v>
      </c>
      <c r="G858" t="s">
        <v>74</v>
      </c>
      <c r="H858" t="s">
        <v>74</v>
      </c>
      <c r="I858" t="s">
        <v>16245</v>
      </c>
      <c r="J858" t="s">
        <v>16246</v>
      </c>
      <c r="K858" t="s">
        <v>74</v>
      </c>
      <c r="L858" t="s">
        <v>74</v>
      </c>
      <c r="M858" t="s">
        <v>78</v>
      </c>
      <c r="N858" t="s">
        <v>79</v>
      </c>
      <c r="O858" t="s">
        <v>74</v>
      </c>
      <c r="P858" t="s">
        <v>74</v>
      </c>
      <c r="Q858" t="s">
        <v>74</v>
      </c>
      <c r="R858" t="s">
        <v>74</v>
      </c>
      <c r="S858" t="s">
        <v>74</v>
      </c>
      <c r="T858" t="s">
        <v>16247</v>
      </c>
      <c r="U858" t="s">
        <v>16248</v>
      </c>
      <c r="V858" t="s">
        <v>16249</v>
      </c>
      <c r="W858" t="s">
        <v>16250</v>
      </c>
      <c r="X858" t="s">
        <v>145</v>
      </c>
      <c r="Y858" t="s">
        <v>16251</v>
      </c>
      <c r="Z858" t="s">
        <v>16252</v>
      </c>
      <c r="AA858" t="s">
        <v>16253</v>
      </c>
      <c r="AB858" t="s">
        <v>16254</v>
      </c>
      <c r="AC858" t="s">
        <v>16255</v>
      </c>
      <c r="AD858" t="s">
        <v>16256</v>
      </c>
      <c r="AE858" t="s">
        <v>16257</v>
      </c>
      <c r="AF858" t="s">
        <v>74</v>
      </c>
      <c r="AG858">
        <v>46</v>
      </c>
      <c r="AH858">
        <v>16</v>
      </c>
      <c r="AI858">
        <v>16</v>
      </c>
      <c r="AJ858">
        <v>0</v>
      </c>
      <c r="AK858">
        <v>1</v>
      </c>
      <c r="AL858" t="s">
        <v>92</v>
      </c>
      <c r="AM858" t="s">
        <v>93</v>
      </c>
      <c r="AN858" t="s">
        <v>94</v>
      </c>
      <c r="AO858" t="s">
        <v>74</v>
      </c>
      <c r="AP858" t="s">
        <v>16258</v>
      </c>
      <c r="AQ858" t="s">
        <v>74</v>
      </c>
      <c r="AR858" t="s">
        <v>16259</v>
      </c>
      <c r="AS858" t="s">
        <v>16260</v>
      </c>
      <c r="AT858" t="s">
        <v>14027</v>
      </c>
      <c r="AU858">
        <v>2016</v>
      </c>
      <c r="AV858">
        <v>14</v>
      </c>
      <c r="AW858">
        <v>2</v>
      </c>
      <c r="AX858" t="s">
        <v>74</v>
      </c>
      <c r="AY858" t="s">
        <v>74</v>
      </c>
      <c r="AZ858" t="s">
        <v>74</v>
      </c>
      <c r="BA858" t="s">
        <v>74</v>
      </c>
      <c r="BB858">
        <v>136</v>
      </c>
      <c r="BC858">
        <v>150</v>
      </c>
      <c r="BD858" t="s">
        <v>74</v>
      </c>
      <c r="BE858" t="s">
        <v>16261</v>
      </c>
      <c r="BF858" t="str">
        <f>HYPERLINK("http://dx.doi.org/10.1002/2015SW001348","http://dx.doi.org/10.1002/2015SW001348")</f>
        <v>http://dx.doi.org/10.1002/2015SW001348</v>
      </c>
      <c r="BG858" t="s">
        <v>74</v>
      </c>
      <c r="BH858" t="s">
        <v>74</v>
      </c>
      <c r="BI858">
        <v>15</v>
      </c>
      <c r="BJ858" t="s">
        <v>16262</v>
      </c>
      <c r="BK858" t="s">
        <v>102</v>
      </c>
      <c r="BL858" t="s">
        <v>16262</v>
      </c>
      <c r="BM858" t="s">
        <v>16263</v>
      </c>
      <c r="BN858" t="s">
        <v>74</v>
      </c>
      <c r="BO858" t="s">
        <v>203</v>
      </c>
      <c r="BP858" t="s">
        <v>74</v>
      </c>
      <c r="BQ858" t="s">
        <v>74</v>
      </c>
      <c r="BR858" t="s">
        <v>106</v>
      </c>
      <c r="BS858" t="s">
        <v>16264</v>
      </c>
      <c r="BT858" t="str">
        <f>HYPERLINK("https%3A%2F%2Fwww.webofscience.com%2Fwos%2Fwoscc%2Ffull-record%2FWOS:000373121400007","View Full Record in Web of Science")</f>
        <v>View Full Record in Web of Science</v>
      </c>
    </row>
    <row r="859" spans="1:72" x14ac:dyDescent="0.15">
      <c r="A859" t="s">
        <v>72</v>
      </c>
      <c r="B859" t="s">
        <v>16265</v>
      </c>
      <c r="C859" t="s">
        <v>74</v>
      </c>
      <c r="D859" t="s">
        <v>74</v>
      </c>
      <c r="E859" t="s">
        <v>74</v>
      </c>
      <c r="F859" t="s">
        <v>16266</v>
      </c>
      <c r="G859" t="s">
        <v>74</v>
      </c>
      <c r="H859" t="s">
        <v>74</v>
      </c>
      <c r="I859" t="s">
        <v>16267</v>
      </c>
      <c r="J859" t="s">
        <v>16268</v>
      </c>
      <c r="K859" t="s">
        <v>74</v>
      </c>
      <c r="L859" t="s">
        <v>74</v>
      </c>
      <c r="M859" t="s">
        <v>78</v>
      </c>
      <c r="N859" t="s">
        <v>79</v>
      </c>
      <c r="O859" t="s">
        <v>74</v>
      </c>
      <c r="P859" t="s">
        <v>74</v>
      </c>
      <c r="Q859" t="s">
        <v>74</v>
      </c>
      <c r="R859" t="s">
        <v>74</v>
      </c>
      <c r="S859" t="s">
        <v>74</v>
      </c>
      <c r="T859" t="s">
        <v>16269</v>
      </c>
      <c r="U859" t="s">
        <v>16270</v>
      </c>
      <c r="V859" t="s">
        <v>16271</v>
      </c>
      <c r="W859" t="s">
        <v>16272</v>
      </c>
      <c r="X859" t="s">
        <v>16273</v>
      </c>
      <c r="Y859" t="s">
        <v>16274</v>
      </c>
      <c r="Z859" t="s">
        <v>12987</v>
      </c>
      <c r="AA859" t="s">
        <v>16275</v>
      </c>
      <c r="AB859" t="s">
        <v>16276</v>
      </c>
      <c r="AC859" t="s">
        <v>16277</v>
      </c>
      <c r="AD859" t="s">
        <v>16278</v>
      </c>
      <c r="AE859" t="s">
        <v>16279</v>
      </c>
      <c r="AF859" t="s">
        <v>74</v>
      </c>
      <c r="AG859">
        <v>133</v>
      </c>
      <c r="AH859">
        <v>32</v>
      </c>
      <c r="AI859">
        <v>38</v>
      </c>
      <c r="AJ859">
        <v>1</v>
      </c>
      <c r="AK859">
        <v>50</v>
      </c>
      <c r="AL859" t="s">
        <v>678</v>
      </c>
      <c r="AM859" t="s">
        <v>679</v>
      </c>
      <c r="AN859" t="s">
        <v>680</v>
      </c>
      <c r="AO859" t="s">
        <v>16280</v>
      </c>
      <c r="AP859" t="s">
        <v>16281</v>
      </c>
      <c r="AQ859" t="s">
        <v>74</v>
      </c>
      <c r="AR859" t="s">
        <v>16282</v>
      </c>
      <c r="AS859" t="s">
        <v>16283</v>
      </c>
      <c r="AT859" t="s">
        <v>14027</v>
      </c>
      <c r="AU859">
        <v>2016</v>
      </c>
      <c r="AV859">
        <v>31</v>
      </c>
      <c r="AW859" t="s">
        <v>74</v>
      </c>
      <c r="AX859" t="s">
        <v>74</v>
      </c>
      <c r="AY859" t="s">
        <v>74</v>
      </c>
      <c r="AZ859" t="s">
        <v>74</v>
      </c>
      <c r="BA859" t="s">
        <v>74</v>
      </c>
      <c r="BB859">
        <v>97</v>
      </c>
      <c r="BC859">
        <v>118</v>
      </c>
      <c r="BD859" t="s">
        <v>74</v>
      </c>
      <c r="BE859" t="s">
        <v>16284</v>
      </c>
      <c r="BF859" t="str">
        <f>HYPERLINK("http://dx.doi.org/10.1016/j.quageo.2015.11.003","http://dx.doi.org/10.1016/j.quageo.2015.11.003")</f>
        <v>http://dx.doi.org/10.1016/j.quageo.2015.11.003</v>
      </c>
      <c r="BG859" t="s">
        <v>74</v>
      </c>
      <c r="BH859" t="s">
        <v>74</v>
      </c>
      <c r="BI859">
        <v>22</v>
      </c>
      <c r="BJ859" t="s">
        <v>1904</v>
      </c>
      <c r="BK859" t="s">
        <v>102</v>
      </c>
      <c r="BL859" t="s">
        <v>1905</v>
      </c>
      <c r="BM859" t="s">
        <v>16285</v>
      </c>
      <c r="BN859" t="s">
        <v>74</v>
      </c>
      <c r="BO859" t="s">
        <v>74</v>
      </c>
      <c r="BP859" t="s">
        <v>74</v>
      </c>
      <c r="BQ859" t="s">
        <v>74</v>
      </c>
      <c r="BR859" t="s">
        <v>106</v>
      </c>
      <c r="BS859" t="s">
        <v>16286</v>
      </c>
      <c r="BT859" t="str">
        <f>HYPERLINK("https%3A%2F%2Fwww.webofscience.com%2Fwos%2Fwoscc%2Ffull-record%2FWOS:000367413400010","View Full Record in Web of Science")</f>
        <v>View Full Record in Web of Science</v>
      </c>
    </row>
    <row r="860" spans="1:72" x14ac:dyDescent="0.15">
      <c r="A860" t="s">
        <v>72</v>
      </c>
      <c r="B860" t="s">
        <v>16287</v>
      </c>
      <c r="C860" t="s">
        <v>74</v>
      </c>
      <c r="D860" t="s">
        <v>74</v>
      </c>
      <c r="E860" t="s">
        <v>74</v>
      </c>
      <c r="F860" t="s">
        <v>16288</v>
      </c>
      <c r="G860" t="s">
        <v>74</v>
      </c>
      <c r="H860" t="s">
        <v>74</v>
      </c>
      <c r="I860" t="s">
        <v>16289</v>
      </c>
      <c r="J860" t="s">
        <v>2199</v>
      </c>
      <c r="K860" t="s">
        <v>74</v>
      </c>
      <c r="L860" t="s">
        <v>74</v>
      </c>
      <c r="M860" t="s">
        <v>78</v>
      </c>
      <c r="N860" t="s">
        <v>79</v>
      </c>
      <c r="O860" t="s">
        <v>74</v>
      </c>
      <c r="P860" t="s">
        <v>74</v>
      </c>
      <c r="Q860" t="s">
        <v>74</v>
      </c>
      <c r="R860" t="s">
        <v>74</v>
      </c>
      <c r="S860" t="s">
        <v>74</v>
      </c>
      <c r="T860" t="s">
        <v>74</v>
      </c>
      <c r="U860" t="s">
        <v>74</v>
      </c>
      <c r="V860" t="s">
        <v>16290</v>
      </c>
      <c r="W860" t="s">
        <v>16291</v>
      </c>
      <c r="X860" t="s">
        <v>16292</v>
      </c>
      <c r="Y860" t="s">
        <v>16293</v>
      </c>
      <c r="Z860" t="s">
        <v>16294</v>
      </c>
      <c r="AA860" t="s">
        <v>16295</v>
      </c>
      <c r="AB860" t="s">
        <v>16296</v>
      </c>
      <c r="AC860" t="s">
        <v>16297</v>
      </c>
      <c r="AD860" t="s">
        <v>16298</v>
      </c>
      <c r="AE860" t="s">
        <v>16299</v>
      </c>
      <c r="AF860" t="s">
        <v>74</v>
      </c>
      <c r="AG860">
        <v>20</v>
      </c>
      <c r="AH860">
        <v>8</v>
      </c>
      <c r="AI860">
        <v>9</v>
      </c>
      <c r="AJ860">
        <v>0</v>
      </c>
      <c r="AK860">
        <v>16</v>
      </c>
      <c r="AL860" t="s">
        <v>454</v>
      </c>
      <c r="AM860" t="s">
        <v>455</v>
      </c>
      <c r="AN860" t="s">
        <v>456</v>
      </c>
      <c r="AO860" t="s">
        <v>2210</v>
      </c>
      <c r="AP860" t="s">
        <v>2211</v>
      </c>
      <c r="AQ860" t="s">
        <v>74</v>
      </c>
      <c r="AR860" t="s">
        <v>2212</v>
      </c>
      <c r="AS860" t="s">
        <v>2213</v>
      </c>
      <c r="AT860" t="s">
        <v>14499</v>
      </c>
      <c r="AU860">
        <v>2016</v>
      </c>
      <c r="AV860">
        <v>7</v>
      </c>
      <c r="AW860">
        <v>2</v>
      </c>
      <c r="AX860" t="s">
        <v>74</v>
      </c>
      <c r="AY860" t="s">
        <v>74</v>
      </c>
      <c r="AZ860" t="s">
        <v>74</v>
      </c>
      <c r="BA860" t="s">
        <v>74</v>
      </c>
      <c r="BB860">
        <v>190</v>
      </c>
      <c r="BC860">
        <v>199</v>
      </c>
      <c r="BD860" t="s">
        <v>74</v>
      </c>
      <c r="BE860" t="s">
        <v>16300</v>
      </c>
      <c r="BF860" t="str">
        <f>HYPERLINK("http://dx.doi.org/10.1080/2150704X.2015.1121300","http://dx.doi.org/10.1080/2150704X.2015.1121300")</f>
        <v>http://dx.doi.org/10.1080/2150704X.2015.1121300</v>
      </c>
      <c r="BG860" t="s">
        <v>74</v>
      </c>
      <c r="BH860" t="s">
        <v>74</v>
      </c>
      <c r="BI860">
        <v>10</v>
      </c>
      <c r="BJ860" t="s">
        <v>2216</v>
      </c>
      <c r="BK860" t="s">
        <v>102</v>
      </c>
      <c r="BL860" t="s">
        <v>2216</v>
      </c>
      <c r="BM860" t="s">
        <v>16301</v>
      </c>
      <c r="BN860" t="s">
        <v>74</v>
      </c>
      <c r="BO860" t="s">
        <v>74</v>
      </c>
      <c r="BP860" t="s">
        <v>74</v>
      </c>
      <c r="BQ860" t="s">
        <v>74</v>
      </c>
      <c r="BR860" t="s">
        <v>106</v>
      </c>
      <c r="BS860" t="s">
        <v>16302</v>
      </c>
      <c r="BT860" t="str">
        <f>HYPERLINK("https%3A%2F%2Fwww.webofscience.com%2Fwos%2Fwoscc%2Ffull-record%2FWOS:000365700600001","View Full Record in Web of Science")</f>
        <v>View Full Record in Web of Science</v>
      </c>
    </row>
    <row r="861" spans="1:72" x14ac:dyDescent="0.15">
      <c r="A861" t="s">
        <v>72</v>
      </c>
      <c r="B861" t="s">
        <v>16303</v>
      </c>
      <c r="C861" t="s">
        <v>74</v>
      </c>
      <c r="D861" t="s">
        <v>74</v>
      </c>
      <c r="E861" t="s">
        <v>74</v>
      </c>
      <c r="F861" t="s">
        <v>16304</v>
      </c>
      <c r="G861" t="s">
        <v>74</v>
      </c>
      <c r="H861" t="s">
        <v>74</v>
      </c>
      <c r="I861" t="s">
        <v>16305</v>
      </c>
      <c r="J861" t="s">
        <v>16306</v>
      </c>
      <c r="K861" t="s">
        <v>74</v>
      </c>
      <c r="L861" t="s">
        <v>74</v>
      </c>
      <c r="M861" t="s">
        <v>78</v>
      </c>
      <c r="N861" t="s">
        <v>79</v>
      </c>
      <c r="O861" t="s">
        <v>74</v>
      </c>
      <c r="P861" t="s">
        <v>74</v>
      </c>
      <c r="Q861" t="s">
        <v>74</v>
      </c>
      <c r="R861" t="s">
        <v>74</v>
      </c>
      <c r="S861" t="s">
        <v>74</v>
      </c>
      <c r="T861" t="s">
        <v>16307</v>
      </c>
      <c r="U861" t="s">
        <v>16308</v>
      </c>
      <c r="V861" t="s">
        <v>16309</v>
      </c>
      <c r="W861" t="s">
        <v>16310</v>
      </c>
      <c r="X861" t="s">
        <v>16311</v>
      </c>
      <c r="Y861" t="s">
        <v>16312</v>
      </c>
      <c r="Z861" t="s">
        <v>16313</v>
      </c>
      <c r="AA861" t="s">
        <v>16314</v>
      </c>
      <c r="AB861" t="s">
        <v>74</v>
      </c>
      <c r="AC861" t="s">
        <v>16315</v>
      </c>
      <c r="AD861" t="s">
        <v>16316</v>
      </c>
      <c r="AE861" t="s">
        <v>16317</v>
      </c>
      <c r="AF861" t="s">
        <v>74</v>
      </c>
      <c r="AG861">
        <v>56</v>
      </c>
      <c r="AH861">
        <v>9</v>
      </c>
      <c r="AI861">
        <v>14</v>
      </c>
      <c r="AJ861">
        <v>1</v>
      </c>
      <c r="AK861">
        <v>46</v>
      </c>
      <c r="AL861" t="s">
        <v>3709</v>
      </c>
      <c r="AM861" t="s">
        <v>3710</v>
      </c>
      <c r="AN861" t="s">
        <v>3711</v>
      </c>
      <c r="AO861" t="s">
        <v>16318</v>
      </c>
      <c r="AP861" t="s">
        <v>16319</v>
      </c>
      <c r="AQ861" t="s">
        <v>74</v>
      </c>
      <c r="AR861" t="s">
        <v>16320</v>
      </c>
      <c r="AS861" t="s">
        <v>16321</v>
      </c>
      <c r="AT861" t="s">
        <v>14027</v>
      </c>
      <c r="AU861">
        <v>2016</v>
      </c>
      <c r="AV861">
        <v>26</v>
      </c>
      <c r="AW861">
        <v>2</v>
      </c>
      <c r="AX861" t="s">
        <v>74</v>
      </c>
      <c r="AY861" t="s">
        <v>74</v>
      </c>
      <c r="AZ861" t="s">
        <v>74</v>
      </c>
      <c r="BA861" t="s">
        <v>74</v>
      </c>
      <c r="BB861">
        <v>243</v>
      </c>
      <c r="BC861">
        <v>256</v>
      </c>
      <c r="BD861" t="s">
        <v>74</v>
      </c>
      <c r="BE861" t="s">
        <v>16322</v>
      </c>
      <c r="BF861" t="str">
        <f>HYPERLINK("http://dx.doi.org/10.1007/s11442-016-1266-3","http://dx.doi.org/10.1007/s11442-016-1266-3")</f>
        <v>http://dx.doi.org/10.1007/s11442-016-1266-3</v>
      </c>
      <c r="BG861" t="s">
        <v>74</v>
      </c>
      <c r="BH861" t="s">
        <v>74</v>
      </c>
      <c r="BI861">
        <v>14</v>
      </c>
      <c r="BJ861" t="s">
        <v>16323</v>
      </c>
      <c r="BK861" t="s">
        <v>102</v>
      </c>
      <c r="BL861" t="s">
        <v>16324</v>
      </c>
      <c r="BM861" t="s">
        <v>16325</v>
      </c>
      <c r="BN861" t="s">
        <v>74</v>
      </c>
      <c r="BO861" t="s">
        <v>420</v>
      </c>
      <c r="BP861" t="s">
        <v>74</v>
      </c>
      <c r="BQ861" t="s">
        <v>74</v>
      </c>
      <c r="BR861" t="s">
        <v>106</v>
      </c>
      <c r="BS861" t="s">
        <v>16326</v>
      </c>
      <c r="BT861" t="str">
        <f>HYPERLINK("https%3A%2F%2Fwww.webofscience.com%2Fwos%2Fwoscc%2Ffull-record%2FWOS:000366624300008","View Full Record in Web of Science")</f>
        <v>View Full Record in Web of Science</v>
      </c>
    </row>
    <row r="862" spans="1:72" x14ac:dyDescent="0.15">
      <c r="A862" t="s">
        <v>72</v>
      </c>
      <c r="B862" t="s">
        <v>16327</v>
      </c>
      <c r="C862" t="s">
        <v>74</v>
      </c>
      <c r="D862" t="s">
        <v>74</v>
      </c>
      <c r="E862" t="s">
        <v>74</v>
      </c>
      <c r="F862" t="s">
        <v>16328</v>
      </c>
      <c r="G862" t="s">
        <v>74</v>
      </c>
      <c r="H862" t="s">
        <v>74</v>
      </c>
      <c r="I862" t="s">
        <v>16329</v>
      </c>
      <c r="J862" t="s">
        <v>16330</v>
      </c>
      <c r="K862" t="s">
        <v>74</v>
      </c>
      <c r="L862" t="s">
        <v>74</v>
      </c>
      <c r="M862" t="s">
        <v>78</v>
      </c>
      <c r="N862" t="s">
        <v>79</v>
      </c>
      <c r="O862" t="s">
        <v>74</v>
      </c>
      <c r="P862" t="s">
        <v>74</v>
      </c>
      <c r="Q862" t="s">
        <v>74</v>
      </c>
      <c r="R862" t="s">
        <v>74</v>
      </c>
      <c r="S862" t="s">
        <v>74</v>
      </c>
      <c r="T862" t="s">
        <v>16331</v>
      </c>
      <c r="U862" t="s">
        <v>16332</v>
      </c>
      <c r="V862" t="s">
        <v>16333</v>
      </c>
      <c r="W862" t="s">
        <v>16334</v>
      </c>
      <c r="X862" t="s">
        <v>11390</v>
      </c>
      <c r="Y862" t="s">
        <v>16335</v>
      </c>
      <c r="Z862" t="s">
        <v>16336</v>
      </c>
      <c r="AA862" t="s">
        <v>74</v>
      </c>
      <c r="AB862" t="s">
        <v>16337</v>
      </c>
      <c r="AC862" t="s">
        <v>16338</v>
      </c>
      <c r="AD862" t="s">
        <v>1398</v>
      </c>
      <c r="AE862" t="s">
        <v>16339</v>
      </c>
      <c r="AF862" t="s">
        <v>74</v>
      </c>
      <c r="AG862">
        <v>46</v>
      </c>
      <c r="AH862">
        <v>23</v>
      </c>
      <c r="AI862">
        <v>23</v>
      </c>
      <c r="AJ862">
        <v>0</v>
      </c>
      <c r="AK862">
        <v>17</v>
      </c>
      <c r="AL862" t="s">
        <v>626</v>
      </c>
      <c r="AM862" t="s">
        <v>583</v>
      </c>
      <c r="AN862" t="s">
        <v>627</v>
      </c>
      <c r="AO862" t="s">
        <v>16340</v>
      </c>
      <c r="AP862" t="s">
        <v>16341</v>
      </c>
      <c r="AQ862" t="s">
        <v>74</v>
      </c>
      <c r="AR862" t="s">
        <v>16330</v>
      </c>
      <c r="AS862" t="s">
        <v>16342</v>
      </c>
      <c r="AT862" t="s">
        <v>14499</v>
      </c>
      <c r="AU862">
        <v>2016</v>
      </c>
      <c r="AV862">
        <v>263</v>
      </c>
      <c r="AW862" t="s">
        <v>74</v>
      </c>
      <c r="AX862" t="s">
        <v>74</v>
      </c>
      <c r="AY862" t="s">
        <v>74</v>
      </c>
      <c r="AZ862" t="s">
        <v>74</v>
      </c>
      <c r="BA862" t="s">
        <v>74</v>
      </c>
      <c r="BB862">
        <v>185</v>
      </c>
      <c r="BC862">
        <v>194</v>
      </c>
      <c r="BD862" t="s">
        <v>74</v>
      </c>
      <c r="BE862" t="s">
        <v>16343</v>
      </c>
      <c r="BF862" t="str">
        <f>HYPERLINK("http://dx.doi.org/10.1016/j.geoderma.2015.09.019","http://dx.doi.org/10.1016/j.geoderma.2015.09.019")</f>
        <v>http://dx.doi.org/10.1016/j.geoderma.2015.09.019</v>
      </c>
      <c r="BG862" t="s">
        <v>74</v>
      </c>
      <c r="BH862" t="s">
        <v>74</v>
      </c>
      <c r="BI862">
        <v>10</v>
      </c>
      <c r="BJ862" t="s">
        <v>8690</v>
      </c>
      <c r="BK862" t="s">
        <v>102</v>
      </c>
      <c r="BL862" t="s">
        <v>8691</v>
      </c>
      <c r="BM862" t="s">
        <v>16344</v>
      </c>
      <c r="BN862" t="s">
        <v>74</v>
      </c>
      <c r="BO862" t="s">
        <v>222</v>
      </c>
      <c r="BP862" t="s">
        <v>74</v>
      </c>
      <c r="BQ862" t="s">
        <v>74</v>
      </c>
      <c r="BR862" t="s">
        <v>106</v>
      </c>
      <c r="BS862" t="s">
        <v>16345</v>
      </c>
      <c r="BT862" t="str">
        <f>HYPERLINK("https%3A%2F%2Fwww.webofscience.com%2Fwos%2Fwoscc%2Ffull-record%2FWOS:000365056700019","View Full Record in Web of Science")</f>
        <v>View Full Record in Web of Science</v>
      </c>
    </row>
    <row r="863" spans="1:72" x14ac:dyDescent="0.15">
      <c r="A863" t="s">
        <v>72</v>
      </c>
      <c r="B863" t="s">
        <v>16346</v>
      </c>
      <c r="C863" t="s">
        <v>74</v>
      </c>
      <c r="D863" t="s">
        <v>74</v>
      </c>
      <c r="E863" t="s">
        <v>74</v>
      </c>
      <c r="F863" t="s">
        <v>16347</v>
      </c>
      <c r="G863" t="s">
        <v>74</v>
      </c>
      <c r="H863" t="s">
        <v>74</v>
      </c>
      <c r="I863" t="s">
        <v>16348</v>
      </c>
      <c r="J863" t="s">
        <v>16349</v>
      </c>
      <c r="K863" t="s">
        <v>74</v>
      </c>
      <c r="L863" t="s">
        <v>74</v>
      </c>
      <c r="M863" t="s">
        <v>78</v>
      </c>
      <c r="N863" t="s">
        <v>79</v>
      </c>
      <c r="O863" t="s">
        <v>74</v>
      </c>
      <c r="P863" t="s">
        <v>74</v>
      </c>
      <c r="Q863" t="s">
        <v>74</v>
      </c>
      <c r="R863" t="s">
        <v>74</v>
      </c>
      <c r="S863" t="s">
        <v>74</v>
      </c>
      <c r="T863" t="s">
        <v>16350</v>
      </c>
      <c r="U863" t="s">
        <v>16351</v>
      </c>
      <c r="V863" t="s">
        <v>16352</v>
      </c>
      <c r="W863" t="s">
        <v>16353</v>
      </c>
      <c r="X863" t="s">
        <v>16354</v>
      </c>
      <c r="Y863" t="s">
        <v>16355</v>
      </c>
      <c r="Z863" t="s">
        <v>16212</v>
      </c>
      <c r="AA863" t="s">
        <v>74</v>
      </c>
      <c r="AB863" t="s">
        <v>16356</v>
      </c>
      <c r="AC863" t="s">
        <v>16357</v>
      </c>
      <c r="AD863" t="s">
        <v>16358</v>
      </c>
      <c r="AE863" t="s">
        <v>16359</v>
      </c>
      <c r="AF863" t="s">
        <v>74</v>
      </c>
      <c r="AG863">
        <v>86</v>
      </c>
      <c r="AH863">
        <v>42</v>
      </c>
      <c r="AI863">
        <v>45</v>
      </c>
      <c r="AJ863">
        <v>2</v>
      </c>
      <c r="AK863">
        <v>40</v>
      </c>
      <c r="AL863" t="s">
        <v>124</v>
      </c>
      <c r="AM863" t="s">
        <v>125</v>
      </c>
      <c r="AN863" t="s">
        <v>126</v>
      </c>
      <c r="AO863" t="s">
        <v>16360</v>
      </c>
      <c r="AP863" t="s">
        <v>16361</v>
      </c>
      <c r="AQ863" t="s">
        <v>74</v>
      </c>
      <c r="AR863" t="s">
        <v>16362</v>
      </c>
      <c r="AS863" t="s">
        <v>16363</v>
      </c>
      <c r="AT863" t="s">
        <v>16364</v>
      </c>
      <c r="AU863">
        <v>2016</v>
      </c>
      <c r="AV863">
        <v>30</v>
      </c>
      <c r="AW863">
        <v>3</v>
      </c>
      <c r="AX863" t="s">
        <v>74</v>
      </c>
      <c r="AY863" t="s">
        <v>74</v>
      </c>
      <c r="AZ863" t="s">
        <v>74</v>
      </c>
      <c r="BA863" t="s">
        <v>74</v>
      </c>
      <c r="BB863">
        <v>433</v>
      </c>
      <c r="BC863">
        <v>446</v>
      </c>
      <c r="BD863" t="s">
        <v>74</v>
      </c>
      <c r="BE863" t="s">
        <v>16365</v>
      </c>
      <c r="BF863" t="str">
        <f>HYPERLINK("http://dx.doi.org/10.1002/hyp.10602","http://dx.doi.org/10.1002/hyp.10602")</f>
        <v>http://dx.doi.org/10.1002/hyp.10602</v>
      </c>
      <c r="BG863" t="s">
        <v>74</v>
      </c>
      <c r="BH863" t="s">
        <v>74</v>
      </c>
      <c r="BI863">
        <v>14</v>
      </c>
      <c r="BJ863" t="s">
        <v>2368</v>
      </c>
      <c r="BK863" t="s">
        <v>102</v>
      </c>
      <c r="BL863" t="s">
        <v>2368</v>
      </c>
      <c r="BM863" t="s">
        <v>16366</v>
      </c>
      <c r="BN863" t="s">
        <v>74</v>
      </c>
      <c r="BO863" t="s">
        <v>7972</v>
      </c>
      <c r="BP863" t="s">
        <v>74</v>
      </c>
      <c r="BQ863" t="s">
        <v>74</v>
      </c>
      <c r="BR863" t="s">
        <v>106</v>
      </c>
      <c r="BS863" t="s">
        <v>16367</v>
      </c>
      <c r="BT863" t="str">
        <f>HYPERLINK("https%3A%2F%2Fwww.webofscience.com%2Fwos%2Fwoscc%2Ffull-record%2FWOS:000369165500007","View Full Record in Web of Science")</f>
        <v>View Full Record in Web of Science</v>
      </c>
    </row>
    <row r="864" spans="1:72" x14ac:dyDescent="0.15">
      <c r="A864" t="s">
        <v>72</v>
      </c>
      <c r="B864" t="s">
        <v>16368</v>
      </c>
      <c r="C864" t="s">
        <v>74</v>
      </c>
      <c r="D864" t="s">
        <v>74</v>
      </c>
      <c r="E864" t="s">
        <v>74</v>
      </c>
      <c r="F864" t="s">
        <v>16369</v>
      </c>
      <c r="G864" t="s">
        <v>74</v>
      </c>
      <c r="H864" t="s">
        <v>74</v>
      </c>
      <c r="I864" t="s">
        <v>16370</v>
      </c>
      <c r="J864" t="s">
        <v>1350</v>
      </c>
      <c r="K864" t="s">
        <v>74</v>
      </c>
      <c r="L864" t="s">
        <v>74</v>
      </c>
      <c r="M864" t="s">
        <v>78</v>
      </c>
      <c r="N864" t="s">
        <v>79</v>
      </c>
      <c r="O864" t="s">
        <v>74</v>
      </c>
      <c r="P864" t="s">
        <v>74</v>
      </c>
      <c r="Q864" t="s">
        <v>74</v>
      </c>
      <c r="R864" t="s">
        <v>74</v>
      </c>
      <c r="S864" t="s">
        <v>74</v>
      </c>
      <c r="T864" t="s">
        <v>74</v>
      </c>
      <c r="U864" t="s">
        <v>16371</v>
      </c>
      <c r="V864" t="s">
        <v>16372</v>
      </c>
      <c r="W864" t="s">
        <v>16373</v>
      </c>
      <c r="X864" t="s">
        <v>16374</v>
      </c>
      <c r="Y864" t="s">
        <v>16375</v>
      </c>
      <c r="Z864" t="s">
        <v>16376</v>
      </c>
      <c r="AA864" t="s">
        <v>16377</v>
      </c>
      <c r="AB864" t="s">
        <v>16378</v>
      </c>
      <c r="AC864" t="s">
        <v>16379</v>
      </c>
      <c r="AD864" t="s">
        <v>16380</v>
      </c>
      <c r="AE864" t="s">
        <v>16381</v>
      </c>
      <c r="AF864" t="s">
        <v>74</v>
      </c>
      <c r="AG864">
        <v>154</v>
      </c>
      <c r="AH864">
        <v>86</v>
      </c>
      <c r="AI864">
        <v>93</v>
      </c>
      <c r="AJ864">
        <v>0</v>
      </c>
      <c r="AK864">
        <v>14</v>
      </c>
      <c r="AL864" t="s">
        <v>746</v>
      </c>
      <c r="AM864" t="s">
        <v>747</v>
      </c>
      <c r="AN864" t="s">
        <v>748</v>
      </c>
      <c r="AO864" t="s">
        <v>1362</v>
      </c>
      <c r="AP864" t="s">
        <v>74</v>
      </c>
      <c r="AQ864" t="s">
        <v>74</v>
      </c>
      <c r="AR864" t="s">
        <v>1363</v>
      </c>
      <c r="AS864" t="s">
        <v>1364</v>
      </c>
      <c r="AT864" t="s">
        <v>16382</v>
      </c>
      <c r="AU864">
        <v>2016</v>
      </c>
      <c r="AV864">
        <v>6</v>
      </c>
      <c r="AW864" t="s">
        <v>74</v>
      </c>
      <c r="AX864" t="s">
        <v>74</v>
      </c>
      <c r="AY864" t="s">
        <v>74</v>
      </c>
      <c r="AZ864" t="s">
        <v>74</v>
      </c>
      <c r="BA864" t="s">
        <v>74</v>
      </c>
      <c r="BB864" t="s">
        <v>74</v>
      </c>
      <c r="BC864" t="s">
        <v>74</v>
      </c>
      <c r="BD864">
        <v>18075</v>
      </c>
      <c r="BE864" t="s">
        <v>16383</v>
      </c>
      <c r="BF864" t="str">
        <f>HYPERLINK("http://dx.doi.org/10.1038/srep18075","http://dx.doi.org/10.1038/srep18075")</f>
        <v>http://dx.doi.org/10.1038/srep18075</v>
      </c>
      <c r="BG864" t="s">
        <v>74</v>
      </c>
      <c r="BH864" t="s">
        <v>74</v>
      </c>
      <c r="BI864">
        <v>23</v>
      </c>
      <c r="BJ864" t="s">
        <v>753</v>
      </c>
      <c r="BK864" t="s">
        <v>102</v>
      </c>
      <c r="BL864" t="s">
        <v>754</v>
      </c>
      <c r="BM864" t="s">
        <v>16384</v>
      </c>
      <c r="BN864">
        <v>26821567</v>
      </c>
      <c r="BO864" t="s">
        <v>2176</v>
      </c>
      <c r="BP864" t="s">
        <v>74</v>
      </c>
      <c r="BQ864" t="s">
        <v>74</v>
      </c>
      <c r="BR864" t="s">
        <v>106</v>
      </c>
      <c r="BS864" t="s">
        <v>16385</v>
      </c>
      <c r="BT864" t="str">
        <f>HYPERLINK("https%3A%2F%2Fwww.webofscience.com%2Fwos%2Fwoscc%2Ffull-record%2FWOS:000368924600001","View Full Record in Web of Science")</f>
        <v>View Full Record in Web of Science</v>
      </c>
    </row>
    <row r="865" spans="1:72" x14ac:dyDescent="0.15">
      <c r="A865" t="s">
        <v>72</v>
      </c>
      <c r="B865" t="s">
        <v>16386</v>
      </c>
      <c r="C865" t="s">
        <v>74</v>
      </c>
      <c r="D865" t="s">
        <v>74</v>
      </c>
      <c r="E865" t="s">
        <v>74</v>
      </c>
      <c r="F865" t="s">
        <v>16387</v>
      </c>
      <c r="G865" t="s">
        <v>74</v>
      </c>
      <c r="H865" t="s">
        <v>74</v>
      </c>
      <c r="I865" t="s">
        <v>16388</v>
      </c>
      <c r="J865" t="s">
        <v>16389</v>
      </c>
      <c r="K865" t="s">
        <v>74</v>
      </c>
      <c r="L865" t="s">
        <v>74</v>
      </c>
      <c r="M865" t="s">
        <v>78</v>
      </c>
      <c r="N865" t="s">
        <v>79</v>
      </c>
      <c r="O865" t="s">
        <v>74</v>
      </c>
      <c r="P865" t="s">
        <v>74</v>
      </c>
      <c r="Q865" t="s">
        <v>74</v>
      </c>
      <c r="R865" t="s">
        <v>74</v>
      </c>
      <c r="S865" t="s">
        <v>74</v>
      </c>
      <c r="T865" t="s">
        <v>16390</v>
      </c>
      <c r="U865" t="s">
        <v>16391</v>
      </c>
      <c r="V865" t="s">
        <v>16392</v>
      </c>
      <c r="W865" t="s">
        <v>16393</v>
      </c>
      <c r="X865" t="s">
        <v>16394</v>
      </c>
      <c r="Y865" t="s">
        <v>16395</v>
      </c>
      <c r="Z865" t="s">
        <v>16396</v>
      </c>
      <c r="AA865" t="s">
        <v>16397</v>
      </c>
      <c r="AB865" t="s">
        <v>16398</v>
      </c>
      <c r="AC865" t="s">
        <v>16399</v>
      </c>
      <c r="AD865" t="s">
        <v>16400</v>
      </c>
      <c r="AE865" t="s">
        <v>16401</v>
      </c>
      <c r="AF865" t="s">
        <v>74</v>
      </c>
      <c r="AG865">
        <v>46</v>
      </c>
      <c r="AH865">
        <v>18</v>
      </c>
      <c r="AI865">
        <v>18</v>
      </c>
      <c r="AJ865">
        <v>5</v>
      </c>
      <c r="AK865">
        <v>38</v>
      </c>
      <c r="AL865" t="s">
        <v>5960</v>
      </c>
      <c r="AM865" t="s">
        <v>5961</v>
      </c>
      <c r="AN865" t="s">
        <v>5962</v>
      </c>
      <c r="AO865" t="s">
        <v>16402</v>
      </c>
      <c r="AP865" t="s">
        <v>16403</v>
      </c>
      <c r="AQ865" t="s">
        <v>74</v>
      </c>
      <c r="AR865" t="s">
        <v>16404</v>
      </c>
      <c r="AS865" t="s">
        <v>16405</v>
      </c>
      <c r="AT865" t="s">
        <v>16406</v>
      </c>
      <c r="AU865">
        <v>2016</v>
      </c>
      <c r="AV865">
        <v>49</v>
      </c>
      <c r="AW865" t="s">
        <v>74</v>
      </c>
      <c r="AX865" t="s">
        <v>74</v>
      </c>
      <c r="AY865" t="s">
        <v>74</v>
      </c>
      <c r="AZ865" t="s">
        <v>74</v>
      </c>
      <c r="BA865" t="s">
        <v>74</v>
      </c>
      <c r="BB865" t="s">
        <v>74</v>
      </c>
      <c r="BC865" t="s">
        <v>74</v>
      </c>
      <c r="BD865">
        <v>6</v>
      </c>
      <c r="BE865" t="s">
        <v>16407</v>
      </c>
      <c r="BF865" t="str">
        <f>HYPERLINK("http://dx.doi.org/10.1186/s40659-015-0058-z","http://dx.doi.org/10.1186/s40659-015-0058-z")</f>
        <v>http://dx.doi.org/10.1186/s40659-015-0058-z</v>
      </c>
      <c r="BG865" t="s">
        <v>74</v>
      </c>
      <c r="BH865" t="s">
        <v>74</v>
      </c>
      <c r="BI865">
        <v>9</v>
      </c>
      <c r="BJ865" t="s">
        <v>3021</v>
      </c>
      <c r="BK865" t="s">
        <v>102</v>
      </c>
      <c r="BL865" t="s">
        <v>3022</v>
      </c>
      <c r="BM865" t="s">
        <v>16408</v>
      </c>
      <c r="BN865">
        <v>26823072</v>
      </c>
      <c r="BO865" t="s">
        <v>1684</v>
      </c>
      <c r="BP865" t="s">
        <v>74</v>
      </c>
      <c r="BQ865" t="s">
        <v>74</v>
      </c>
      <c r="BR865" t="s">
        <v>106</v>
      </c>
      <c r="BS865" t="s">
        <v>16409</v>
      </c>
      <c r="BT865" t="str">
        <f>HYPERLINK("https%3A%2F%2Fwww.webofscience.com%2Fwos%2Fwoscc%2Ffull-record%2FWOS:000368892000001","View Full Record in Web of Science")</f>
        <v>View Full Record in Web of Science</v>
      </c>
    </row>
    <row r="866" spans="1:72" x14ac:dyDescent="0.15">
      <c r="A866" t="s">
        <v>72</v>
      </c>
      <c r="B866" t="s">
        <v>16410</v>
      </c>
      <c r="C866" t="s">
        <v>74</v>
      </c>
      <c r="D866" t="s">
        <v>74</v>
      </c>
      <c r="E866" t="s">
        <v>74</v>
      </c>
      <c r="F866" t="s">
        <v>16411</v>
      </c>
      <c r="G866" t="s">
        <v>74</v>
      </c>
      <c r="H866" t="s">
        <v>74</v>
      </c>
      <c r="I866" t="s">
        <v>16412</v>
      </c>
      <c r="J866" t="s">
        <v>1350</v>
      </c>
      <c r="K866" t="s">
        <v>74</v>
      </c>
      <c r="L866" t="s">
        <v>74</v>
      </c>
      <c r="M866" t="s">
        <v>78</v>
      </c>
      <c r="N866" t="s">
        <v>79</v>
      </c>
      <c r="O866" t="s">
        <v>74</v>
      </c>
      <c r="P866" t="s">
        <v>74</v>
      </c>
      <c r="Q866" t="s">
        <v>74</v>
      </c>
      <c r="R866" t="s">
        <v>74</v>
      </c>
      <c r="S866" t="s">
        <v>74</v>
      </c>
      <c r="T866" t="s">
        <v>74</v>
      </c>
      <c r="U866" t="s">
        <v>16413</v>
      </c>
      <c r="V866" t="s">
        <v>16414</v>
      </c>
      <c r="W866" t="s">
        <v>16415</v>
      </c>
      <c r="X866" t="s">
        <v>16416</v>
      </c>
      <c r="Y866" t="s">
        <v>16417</v>
      </c>
      <c r="Z866" t="s">
        <v>5707</v>
      </c>
      <c r="AA866" t="s">
        <v>16418</v>
      </c>
      <c r="AB866" t="s">
        <v>16419</v>
      </c>
      <c r="AC866" t="s">
        <v>16420</v>
      </c>
      <c r="AD866" t="s">
        <v>16421</v>
      </c>
      <c r="AE866" t="s">
        <v>16422</v>
      </c>
      <c r="AF866" t="s">
        <v>74</v>
      </c>
      <c r="AG866">
        <v>65</v>
      </c>
      <c r="AH866">
        <v>10</v>
      </c>
      <c r="AI866">
        <v>10</v>
      </c>
      <c r="AJ866">
        <v>0</v>
      </c>
      <c r="AK866">
        <v>10</v>
      </c>
      <c r="AL866" t="s">
        <v>746</v>
      </c>
      <c r="AM866" t="s">
        <v>747</v>
      </c>
      <c r="AN866" t="s">
        <v>748</v>
      </c>
      <c r="AO866" t="s">
        <v>1362</v>
      </c>
      <c r="AP866" t="s">
        <v>74</v>
      </c>
      <c r="AQ866" t="s">
        <v>74</v>
      </c>
      <c r="AR866" t="s">
        <v>1363</v>
      </c>
      <c r="AS866" t="s">
        <v>1364</v>
      </c>
      <c r="AT866" t="s">
        <v>16406</v>
      </c>
      <c r="AU866">
        <v>2016</v>
      </c>
      <c r="AV866">
        <v>6</v>
      </c>
      <c r="AW866" t="s">
        <v>74</v>
      </c>
      <c r="AX866" t="s">
        <v>74</v>
      </c>
      <c r="AY866" t="s">
        <v>74</v>
      </c>
      <c r="AZ866" t="s">
        <v>74</v>
      </c>
      <c r="BA866" t="s">
        <v>74</v>
      </c>
      <c r="BB866" t="s">
        <v>74</v>
      </c>
      <c r="BC866" t="s">
        <v>74</v>
      </c>
      <c r="BD866">
        <v>20235</v>
      </c>
      <c r="BE866" t="s">
        <v>16423</v>
      </c>
      <c r="BF866" t="str">
        <f>HYPERLINK("http://dx.doi.org/10.1038/srep20235","http://dx.doi.org/10.1038/srep20235")</f>
        <v>http://dx.doi.org/10.1038/srep20235</v>
      </c>
      <c r="BG866" t="s">
        <v>74</v>
      </c>
      <c r="BH866" t="s">
        <v>74</v>
      </c>
      <c r="BI866">
        <v>10</v>
      </c>
      <c r="BJ866" t="s">
        <v>753</v>
      </c>
      <c r="BK866" t="s">
        <v>102</v>
      </c>
      <c r="BL866" t="s">
        <v>754</v>
      </c>
      <c r="BM866" t="s">
        <v>16424</v>
      </c>
      <c r="BN866">
        <v>26819064</v>
      </c>
      <c r="BO866" t="s">
        <v>993</v>
      </c>
      <c r="BP866" t="s">
        <v>74</v>
      </c>
      <c r="BQ866" t="s">
        <v>74</v>
      </c>
      <c r="BR866" t="s">
        <v>106</v>
      </c>
      <c r="BS866" t="s">
        <v>16425</v>
      </c>
      <c r="BT866" t="str">
        <f>HYPERLINK("https%3A%2F%2Fwww.webofscience.com%2Fwos%2Fwoscc%2Ffull-record%2FWOS:000368789000001","View Full Record in Web of Science")</f>
        <v>View Full Record in Web of Science</v>
      </c>
    </row>
    <row r="867" spans="1:72" x14ac:dyDescent="0.15">
      <c r="A867" t="s">
        <v>72</v>
      </c>
      <c r="B867" t="s">
        <v>16426</v>
      </c>
      <c r="C867" t="s">
        <v>74</v>
      </c>
      <c r="D867" t="s">
        <v>74</v>
      </c>
      <c r="E867" t="s">
        <v>74</v>
      </c>
      <c r="F867" t="s">
        <v>16427</v>
      </c>
      <c r="G867" t="s">
        <v>74</v>
      </c>
      <c r="H867" t="s">
        <v>74</v>
      </c>
      <c r="I867" t="s">
        <v>16428</v>
      </c>
      <c r="J867" t="s">
        <v>1288</v>
      </c>
      <c r="K867" t="s">
        <v>74</v>
      </c>
      <c r="L867" t="s">
        <v>74</v>
      </c>
      <c r="M867" t="s">
        <v>78</v>
      </c>
      <c r="N867" t="s">
        <v>79</v>
      </c>
      <c r="O867" t="s">
        <v>74</v>
      </c>
      <c r="P867" t="s">
        <v>74</v>
      </c>
      <c r="Q867" t="s">
        <v>74</v>
      </c>
      <c r="R867" t="s">
        <v>74</v>
      </c>
      <c r="S867" t="s">
        <v>74</v>
      </c>
      <c r="T867" t="s">
        <v>74</v>
      </c>
      <c r="U867" t="s">
        <v>16429</v>
      </c>
      <c r="V867" t="s">
        <v>16430</v>
      </c>
      <c r="W867" t="s">
        <v>16431</v>
      </c>
      <c r="X867" t="s">
        <v>16432</v>
      </c>
      <c r="Y867" t="s">
        <v>16433</v>
      </c>
      <c r="Z867" t="s">
        <v>16434</v>
      </c>
      <c r="AA867" t="s">
        <v>16435</v>
      </c>
      <c r="AB867" t="s">
        <v>16436</v>
      </c>
      <c r="AC867" t="s">
        <v>16437</v>
      </c>
      <c r="AD867" t="s">
        <v>510</v>
      </c>
      <c r="AE867" t="s">
        <v>74</v>
      </c>
      <c r="AF867" t="s">
        <v>74</v>
      </c>
      <c r="AG867">
        <v>67</v>
      </c>
      <c r="AH867">
        <v>67</v>
      </c>
      <c r="AI867">
        <v>70</v>
      </c>
      <c r="AJ867">
        <v>1</v>
      </c>
      <c r="AK867">
        <v>32</v>
      </c>
      <c r="AL867" t="s">
        <v>92</v>
      </c>
      <c r="AM867" t="s">
        <v>93</v>
      </c>
      <c r="AN867" t="s">
        <v>94</v>
      </c>
      <c r="AO867" t="s">
        <v>1296</v>
      </c>
      <c r="AP867" t="s">
        <v>1297</v>
      </c>
      <c r="AQ867" t="s">
        <v>74</v>
      </c>
      <c r="AR867" t="s">
        <v>1298</v>
      </c>
      <c r="AS867" t="s">
        <v>1299</v>
      </c>
      <c r="AT867" t="s">
        <v>16406</v>
      </c>
      <c r="AU867">
        <v>2016</v>
      </c>
      <c r="AV867">
        <v>43</v>
      </c>
      <c r="AW867">
        <v>2</v>
      </c>
      <c r="AX867" t="s">
        <v>74</v>
      </c>
      <c r="AY867" t="s">
        <v>74</v>
      </c>
      <c r="AZ867" t="s">
        <v>74</v>
      </c>
      <c r="BA867" t="s">
        <v>74</v>
      </c>
      <c r="BB867">
        <v>600</v>
      </c>
      <c r="BC867">
        <v>610</v>
      </c>
      <c r="BD867" t="s">
        <v>74</v>
      </c>
      <c r="BE867" t="s">
        <v>16438</v>
      </c>
      <c r="BF867" t="str">
        <f>HYPERLINK("http://dx.doi.org/10.1002/2015GL067439","http://dx.doi.org/10.1002/2015GL067439")</f>
        <v>http://dx.doi.org/10.1002/2015GL067439</v>
      </c>
      <c r="BG867" t="s">
        <v>74</v>
      </c>
      <c r="BH867" t="s">
        <v>74</v>
      </c>
      <c r="BI867">
        <v>11</v>
      </c>
      <c r="BJ867" t="s">
        <v>269</v>
      </c>
      <c r="BK867" t="s">
        <v>102</v>
      </c>
      <c r="BL867" t="s">
        <v>270</v>
      </c>
      <c r="BM867" t="s">
        <v>16439</v>
      </c>
      <c r="BN867">
        <v>29326484</v>
      </c>
      <c r="BO867" t="s">
        <v>8278</v>
      </c>
      <c r="BP867" t="s">
        <v>74</v>
      </c>
      <c r="BQ867" t="s">
        <v>74</v>
      </c>
      <c r="BR867" t="s">
        <v>106</v>
      </c>
      <c r="BS867" t="s">
        <v>16440</v>
      </c>
      <c r="BT867" t="str">
        <f>HYPERLINK("https%3A%2F%2Fwww.webofscience.com%2Fwos%2Fwoscc%2Ffull-record%2FWOS:000372056400015","View Full Record in Web of Science")</f>
        <v>View Full Record in Web of Science</v>
      </c>
    </row>
    <row r="868" spans="1:72" x14ac:dyDescent="0.15">
      <c r="A868" t="s">
        <v>72</v>
      </c>
      <c r="B868" t="s">
        <v>16441</v>
      </c>
      <c r="C868" t="s">
        <v>74</v>
      </c>
      <c r="D868" t="s">
        <v>74</v>
      </c>
      <c r="E868" t="s">
        <v>74</v>
      </c>
      <c r="F868" t="s">
        <v>16442</v>
      </c>
      <c r="G868" t="s">
        <v>74</v>
      </c>
      <c r="H868" t="s">
        <v>74</v>
      </c>
      <c r="I868" t="s">
        <v>16443</v>
      </c>
      <c r="J868" t="s">
        <v>1288</v>
      </c>
      <c r="K868" t="s">
        <v>74</v>
      </c>
      <c r="L868" t="s">
        <v>74</v>
      </c>
      <c r="M868" t="s">
        <v>78</v>
      </c>
      <c r="N868" t="s">
        <v>79</v>
      </c>
      <c r="O868" t="s">
        <v>74</v>
      </c>
      <c r="P868" t="s">
        <v>74</v>
      </c>
      <c r="Q868" t="s">
        <v>74</v>
      </c>
      <c r="R868" t="s">
        <v>74</v>
      </c>
      <c r="S868" t="s">
        <v>74</v>
      </c>
      <c r="T868" t="s">
        <v>74</v>
      </c>
      <c r="U868" t="s">
        <v>16444</v>
      </c>
      <c r="V868" t="s">
        <v>16445</v>
      </c>
      <c r="W868" t="s">
        <v>16446</v>
      </c>
      <c r="X868" t="s">
        <v>16447</v>
      </c>
      <c r="Y868" t="s">
        <v>16448</v>
      </c>
      <c r="Z868" t="s">
        <v>16449</v>
      </c>
      <c r="AA868" t="s">
        <v>16450</v>
      </c>
      <c r="AB868" t="s">
        <v>16451</v>
      </c>
      <c r="AC868" t="s">
        <v>16452</v>
      </c>
      <c r="AD868" t="s">
        <v>16453</v>
      </c>
      <c r="AE868" t="s">
        <v>16454</v>
      </c>
      <c r="AF868" t="s">
        <v>74</v>
      </c>
      <c r="AG868">
        <v>27</v>
      </c>
      <c r="AH868">
        <v>18</v>
      </c>
      <c r="AI868">
        <v>20</v>
      </c>
      <c r="AJ868">
        <v>2</v>
      </c>
      <c r="AK868">
        <v>20</v>
      </c>
      <c r="AL868" t="s">
        <v>92</v>
      </c>
      <c r="AM868" t="s">
        <v>93</v>
      </c>
      <c r="AN868" t="s">
        <v>94</v>
      </c>
      <c r="AO868" t="s">
        <v>1296</v>
      </c>
      <c r="AP868" t="s">
        <v>1297</v>
      </c>
      <c r="AQ868" t="s">
        <v>74</v>
      </c>
      <c r="AR868" t="s">
        <v>1298</v>
      </c>
      <c r="AS868" t="s">
        <v>1299</v>
      </c>
      <c r="AT868" t="s">
        <v>16406</v>
      </c>
      <c r="AU868">
        <v>2016</v>
      </c>
      <c r="AV868">
        <v>43</v>
      </c>
      <c r="AW868">
        <v>2</v>
      </c>
      <c r="AX868" t="s">
        <v>74</v>
      </c>
      <c r="AY868" t="s">
        <v>74</v>
      </c>
      <c r="AZ868" t="s">
        <v>74</v>
      </c>
      <c r="BA868" t="s">
        <v>74</v>
      </c>
      <c r="BB868">
        <v>743</v>
      </c>
      <c r="BC868">
        <v>751</v>
      </c>
      <c r="BD868" t="s">
        <v>74</v>
      </c>
      <c r="BE868" t="s">
        <v>16455</v>
      </c>
      <c r="BF868" t="str">
        <f>HYPERLINK("http://dx.doi.org/10.1002/2015GL067384","http://dx.doi.org/10.1002/2015GL067384")</f>
        <v>http://dx.doi.org/10.1002/2015GL067384</v>
      </c>
      <c r="BG868" t="s">
        <v>74</v>
      </c>
      <c r="BH868" t="s">
        <v>74</v>
      </c>
      <c r="BI868">
        <v>9</v>
      </c>
      <c r="BJ868" t="s">
        <v>269</v>
      </c>
      <c r="BK868" t="s">
        <v>102</v>
      </c>
      <c r="BL868" t="s">
        <v>270</v>
      </c>
      <c r="BM868" t="s">
        <v>16439</v>
      </c>
      <c r="BN868" t="s">
        <v>74</v>
      </c>
      <c r="BO868" t="s">
        <v>420</v>
      </c>
      <c r="BP868" t="s">
        <v>74</v>
      </c>
      <c r="BQ868" t="s">
        <v>74</v>
      </c>
      <c r="BR868" t="s">
        <v>106</v>
      </c>
      <c r="BS868" t="s">
        <v>16456</v>
      </c>
      <c r="BT868" t="str">
        <f>HYPERLINK("https%3A%2F%2Fwww.webofscience.com%2Fwos%2Fwoscc%2Ffull-record%2FWOS:000372056400032","View Full Record in Web of Science")</f>
        <v>View Full Record in Web of Science</v>
      </c>
    </row>
    <row r="869" spans="1:72" x14ac:dyDescent="0.15">
      <c r="A869" t="s">
        <v>72</v>
      </c>
      <c r="B869" t="s">
        <v>16457</v>
      </c>
      <c r="C869" t="s">
        <v>74</v>
      </c>
      <c r="D869" t="s">
        <v>74</v>
      </c>
      <c r="E869" t="s">
        <v>74</v>
      </c>
      <c r="F869" t="s">
        <v>16458</v>
      </c>
      <c r="G869" t="s">
        <v>74</v>
      </c>
      <c r="H869" t="s">
        <v>74</v>
      </c>
      <c r="I869" t="s">
        <v>16459</v>
      </c>
      <c r="J869" t="s">
        <v>16460</v>
      </c>
      <c r="K869" t="s">
        <v>74</v>
      </c>
      <c r="L869" t="s">
        <v>74</v>
      </c>
      <c r="M869" t="s">
        <v>78</v>
      </c>
      <c r="N869" t="s">
        <v>949</v>
      </c>
      <c r="O869" t="s">
        <v>74</v>
      </c>
      <c r="P869" t="s">
        <v>74</v>
      </c>
      <c r="Q869" t="s">
        <v>74</v>
      </c>
      <c r="R869" t="s">
        <v>74</v>
      </c>
      <c r="S869" t="s">
        <v>74</v>
      </c>
      <c r="T869" t="s">
        <v>16461</v>
      </c>
      <c r="U869" t="s">
        <v>16462</v>
      </c>
      <c r="V869" t="s">
        <v>16463</v>
      </c>
      <c r="W869" t="s">
        <v>16464</v>
      </c>
      <c r="X869" t="s">
        <v>16465</v>
      </c>
      <c r="Y869" t="s">
        <v>16466</v>
      </c>
      <c r="Z869" t="s">
        <v>8202</v>
      </c>
      <c r="AA869" t="s">
        <v>16467</v>
      </c>
      <c r="AB869" t="s">
        <v>16468</v>
      </c>
      <c r="AC869" t="s">
        <v>16469</v>
      </c>
      <c r="AD869" t="s">
        <v>16470</v>
      </c>
      <c r="AE869" t="s">
        <v>16471</v>
      </c>
      <c r="AF869" t="s">
        <v>74</v>
      </c>
      <c r="AG869">
        <v>69</v>
      </c>
      <c r="AH869">
        <v>24</v>
      </c>
      <c r="AI869">
        <v>29</v>
      </c>
      <c r="AJ869">
        <v>3</v>
      </c>
      <c r="AK869">
        <v>29</v>
      </c>
      <c r="AL869" t="s">
        <v>2709</v>
      </c>
      <c r="AM869" t="s">
        <v>773</v>
      </c>
      <c r="AN869" t="s">
        <v>2710</v>
      </c>
      <c r="AO869" t="s">
        <v>16472</v>
      </c>
      <c r="AP869" t="s">
        <v>16473</v>
      </c>
      <c r="AQ869" t="s">
        <v>74</v>
      </c>
      <c r="AR869" t="s">
        <v>16474</v>
      </c>
      <c r="AS869" t="s">
        <v>16475</v>
      </c>
      <c r="AT869" t="s">
        <v>16406</v>
      </c>
      <c r="AU869">
        <v>2016</v>
      </c>
      <c r="AV869">
        <v>374</v>
      </c>
      <c r="AW869">
        <v>2059</v>
      </c>
      <c r="AX869" t="s">
        <v>74</v>
      </c>
      <c r="AY869" t="s">
        <v>74</v>
      </c>
      <c r="AZ869" t="s">
        <v>74</v>
      </c>
      <c r="BA869" t="s">
        <v>74</v>
      </c>
      <c r="BB869" t="s">
        <v>74</v>
      </c>
      <c r="BC869" t="s">
        <v>74</v>
      </c>
      <c r="BD869">
        <v>20150056</v>
      </c>
      <c r="BE869" t="s">
        <v>16476</v>
      </c>
      <c r="BF869" t="str">
        <f>HYPERLINK("http://dx.doi.org/10.1098/rsta.2015.0056","http://dx.doi.org/10.1098/rsta.2015.0056")</f>
        <v>http://dx.doi.org/10.1098/rsta.2015.0056</v>
      </c>
      <c r="BG869" t="s">
        <v>74</v>
      </c>
      <c r="BH869" t="s">
        <v>74</v>
      </c>
      <c r="BI869">
        <v>22</v>
      </c>
      <c r="BJ869" t="s">
        <v>753</v>
      </c>
      <c r="BK869" t="s">
        <v>102</v>
      </c>
      <c r="BL869" t="s">
        <v>754</v>
      </c>
      <c r="BM869" t="s">
        <v>16477</v>
      </c>
      <c r="BN869">
        <v>26667918</v>
      </c>
      <c r="BO869" t="s">
        <v>1745</v>
      </c>
      <c r="BP869" t="s">
        <v>74</v>
      </c>
      <c r="BQ869" t="s">
        <v>74</v>
      </c>
      <c r="BR869" t="s">
        <v>106</v>
      </c>
      <c r="BS869" t="s">
        <v>16478</v>
      </c>
      <c r="BT869" t="str">
        <f>HYPERLINK("https%3A%2F%2Fwww.webofscience.com%2Fwos%2Fwoscc%2Ffull-record%2FWOS:000367471500015","View Full Record in Web of Science")</f>
        <v>View Full Record in Web of Science</v>
      </c>
    </row>
    <row r="870" spans="1:72" x14ac:dyDescent="0.15">
      <c r="A870" t="s">
        <v>72</v>
      </c>
      <c r="B870" t="s">
        <v>16479</v>
      </c>
      <c r="C870" t="s">
        <v>74</v>
      </c>
      <c r="D870" t="s">
        <v>74</v>
      </c>
      <c r="E870" t="s">
        <v>74</v>
      </c>
      <c r="F870" t="s">
        <v>16480</v>
      </c>
      <c r="G870" t="s">
        <v>74</v>
      </c>
      <c r="H870" t="s">
        <v>74</v>
      </c>
      <c r="I870" t="s">
        <v>16481</v>
      </c>
      <c r="J870" t="s">
        <v>16460</v>
      </c>
      <c r="K870" t="s">
        <v>74</v>
      </c>
      <c r="L870" t="s">
        <v>74</v>
      </c>
      <c r="M870" t="s">
        <v>78</v>
      </c>
      <c r="N870" t="s">
        <v>79</v>
      </c>
      <c r="O870" t="s">
        <v>74</v>
      </c>
      <c r="P870" t="s">
        <v>74</v>
      </c>
      <c r="Q870" t="s">
        <v>74</v>
      </c>
      <c r="R870" t="s">
        <v>74</v>
      </c>
      <c r="S870" t="s">
        <v>74</v>
      </c>
      <c r="T870" t="s">
        <v>16482</v>
      </c>
      <c r="U870" t="s">
        <v>16483</v>
      </c>
      <c r="V870" t="s">
        <v>16484</v>
      </c>
      <c r="W870" t="s">
        <v>16485</v>
      </c>
      <c r="X870" t="s">
        <v>16486</v>
      </c>
      <c r="Y870" t="s">
        <v>16487</v>
      </c>
      <c r="Z870" t="s">
        <v>16488</v>
      </c>
      <c r="AA870" t="s">
        <v>16489</v>
      </c>
      <c r="AB870" t="s">
        <v>16490</v>
      </c>
      <c r="AC870" t="s">
        <v>16491</v>
      </c>
      <c r="AD870" t="s">
        <v>16492</v>
      </c>
      <c r="AE870" t="s">
        <v>16493</v>
      </c>
      <c r="AF870" t="s">
        <v>74</v>
      </c>
      <c r="AG870">
        <v>33</v>
      </c>
      <c r="AH870">
        <v>13</v>
      </c>
      <c r="AI870">
        <v>19</v>
      </c>
      <c r="AJ870">
        <v>0</v>
      </c>
      <c r="AK870">
        <v>35</v>
      </c>
      <c r="AL870" t="s">
        <v>2709</v>
      </c>
      <c r="AM870" t="s">
        <v>773</v>
      </c>
      <c r="AN870" t="s">
        <v>2710</v>
      </c>
      <c r="AO870" t="s">
        <v>16472</v>
      </c>
      <c r="AP870" t="s">
        <v>16473</v>
      </c>
      <c r="AQ870" t="s">
        <v>74</v>
      </c>
      <c r="AR870" t="s">
        <v>16474</v>
      </c>
      <c r="AS870" t="s">
        <v>16475</v>
      </c>
      <c r="AT870" t="s">
        <v>16406</v>
      </c>
      <c r="AU870">
        <v>2016</v>
      </c>
      <c r="AV870">
        <v>374</v>
      </c>
      <c r="AW870">
        <v>2059</v>
      </c>
      <c r="AX870" t="s">
        <v>74</v>
      </c>
      <c r="AY870" t="s">
        <v>74</v>
      </c>
      <c r="AZ870" t="s">
        <v>74</v>
      </c>
      <c r="BA870" t="s">
        <v>74</v>
      </c>
      <c r="BB870" t="s">
        <v>74</v>
      </c>
      <c r="BC870" t="s">
        <v>74</v>
      </c>
      <c r="BD870">
        <v>20140304</v>
      </c>
      <c r="BE870" t="s">
        <v>16494</v>
      </c>
      <c r="BF870" t="str">
        <f>HYPERLINK("http://dx.doi.org/10.1098/rsta.2014.0304","http://dx.doi.org/10.1098/rsta.2014.0304")</f>
        <v>http://dx.doi.org/10.1098/rsta.2014.0304</v>
      </c>
      <c r="BG870" t="s">
        <v>74</v>
      </c>
      <c r="BH870" t="s">
        <v>74</v>
      </c>
      <c r="BI870">
        <v>14</v>
      </c>
      <c r="BJ870" t="s">
        <v>753</v>
      </c>
      <c r="BK870" t="s">
        <v>102</v>
      </c>
      <c r="BL870" t="s">
        <v>754</v>
      </c>
      <c r="BM870" t="s">
        <v>16477</v>
      </c>
      <c r="BN870">
        <v>26667913</v>
      </c>
      <c r="BO870" t="s">
        <v>10943</v>
      </c>
      <c r="BP870" t="s">
        <v>74</v>
      </c>
      <c r="BQ870" t="s">
        <v>74</v>
      </c>
      <c r="BR870" t="s">
        <v>106</v>
      </c>
      <c r="BS870" t="s">
        <v>16495</v>
      </c>
      <c r="BT870" t="str">
        <f>HYPERLINK("https%3A%2F%2Fwww.webofscience.com%2Fwos%2Fwoscc%2Ffull-record%2FWOS:000367471500011","View Full Record in Web of Science")</f>
        <v>View Full Record in Web of Science</v>
      </c>
    </row>
    <row r="871" spans="1:72" x14ac:dyDescent="0.15">
      <c r="A871" t="s">
        <v>72</v>
      </c>
      <c r="B871" t="s">
        <v>16496</v>
      </c>
      <c r="C871" t="s">
        <v>74</v>
      </c>
      <c r="D871" t="s">
        <v>74</v>
      </c>
      <c r="E871" t="s">
        <v>74</v>
      </c>
      <c r="F871" t="s">
        <v>16497</v>
      </c>
      <c r="G871" t="s">
        <v>74</v>
      </c>
      <c r="H871" t="s">
        <v>16498</v>
      </c>
      <c r="I871" t="s">
        <v>16499</v>
      </c>
      <c r="J871" t="s">
        <v>16460</v>
      </c>
      <c r="K871" t="s">
        <v>74</v>
      </c>
      <c r="L871" t="s">
        <v>74</v>
      </c>
      <c r="M871" t="s">
        <v>78</v>
      </c>
      <c r="N871" t="s">
        <v>573</v>
      </c>
      <c r="O871" t="s">
        <v>74</v>
      </c>
      <c r="P871" t="s">
        <v>74</v>
      </c>
      <c r="Q871" t="s">
        <v>74</v>
      </c>
      <c r="R871" t="s">
        <v>74</v>
      </c>
      <c r="S871" t="s">
        <v>74</v>
      </c>
      <c r="T871" t="s">
        <v>16500</v>
      </c>
      <c r="U871" t="s">
        <v>16501</v>
      </c>
      <c r="V871" t="s">
        <v>16502</v>
      </c>
      <c r="W871" t="s">
        <v>16503</v>
      </c>
      <c r="X871" t="s">
        <v>16504</v>
      </c>
      <c r="Y871" t="s">
        <v>16505</v>
      </c>
      <c r="Z871" t="s">
        <v>16506</v>
      </c>
      <c r="AA871" t="s">
        <v>16507</v>
      </c>
      <c r="AB871" t="s">
        <v>16508</v>
      </c>
      <c r="AC871" t="s">
        <v>16509</v>
      </c>
      <c r="AD871" t="s">
        <v>16510</v>
      </c>
      <c r="AE871" t="s">
        <v>74</v>
      </c>
      <c r="AF871" t="s">
        <v>74</v>
      </c>
      <c r="AG871">
        <v>110</v>
      </c>
      <c r="AH871">
        <v>36</v>
      </c>
      <c r="AI871">
        <v>44</v>
      </c>
      <c r="AJ871">
        <v>3</v>
      </c>
      <c r="AK871">
        <v>127</v>
      </c>
      <c r="AL871" t="s">
        <v>2709</v>
      </c>
      <c r="AM871" t="s">
        <v>773</v>
      </c>
      <c r="AN871" t="s">
        <v>2710</v>
      </c>
      <c r="AO871" t="s">
        <v>16472</v>
      </c>
      <c r="AP871" t="s">
        <v>16473</v>
      </c>
      <c r="AQ871" t="s">
        <v>74</v>
      </c>
      <c r="AR871" t="s">
        <v>16474</v>
      </c>
      <c r="AS871" t="s">
        <v>16475</v>
      </c>
      <c r="AT871" t="s">
        <v>16406</v>
      </c>
      <c r="AU871">
        <v>2016</v>
      </c>
      <c r="AV871">
        <v>374</v>
      </c>
      <c r="AW871">
        <v>2059</v>
      </c>
      <c r="AX871" t="s">
        <v>74</v>
      </c>
      <c r="AY871" t="s">
        <v>74</v>
      </c>
      <c r="AZ871" t="s">
        <v>74</v>
      </c>
      <c r="BA871" t="s">
        <v>74</v>
      </c>
      <c r="BB871" t="s">
        <v>74</v>
      </c>
      <c r="BC871" t="s">
        <v>74</v>
      </c>
      <c r="BD871">
        <v>20140290</v>
      </c>
      <c r="BE871" t="s">
        <v>16511</v>
      </c>
      <c r="BF871" t="str">
        <f>HYPERLINK("http://dx.doi.org/10.1098/rsta.2014.0290","http://dx.doi.org/10.1098/rsta.2014.0290")</f>
        <v>http://dx.doi.org/10.1098/rsta.2014.0290</v>
      </c>
      <c r="BG871" t="s">
        <v>74</v>
      </c>
      <c r="BH871" t="s">
        <v>74</v>
      </c>
      <c r="BI871">
        <v>22</v>
      </c>
      <c r="BJ871" t="s">
        <v>753</v>
      </c>
      <c r="BK871" t="s">
        <v>102</v>
      </c>
      <c r="BL871" t="s">
        <v>754</v>
      </c>
      <c r="BM871" t="s">
        <v>16477</v>
      </c>
      <c r="BN871">
        <v>26667908</v>
      </c>
      <c r="BO871" t="s">
        <v>16512</v>
      </c>
      <c r="BP871" t="s">
        <v>74</v>
      </c>
      <c r="BQ871" t="s">
        <v>74</v>
      </c>
      <c r="BR871" t="s">
        <v>106</v>
      </c>
      <c r="BS871" t="s">
        <v>16513</v>
      </c>
      <c r="BT871" t="str">
        <f>HYPERLINK("https%3A%2F%2Fwww.webofscience.com%2Fwos%2Fwoscc%2Ffull-record%2FWOS:000367471500001","View Full Record in Web of Science")</f>
        <v>View Full Record in Web of Science</v>
      </c>
    </row>
    <row r="872" spans="1:72" x14ac:dyDescent="0.15">
      <c r="A872" t="s">
        <v>72</v>
      </c>
      <c r="B872" t="s">
        <v>16514</v>
      </c>
      <c r="C872" t="s">
        <v>74</v>
      </c>
      <c r="D872" t="s">
        <v>74</v>
      </c>
      <c r="E872" t="s">
        <v>74</v>
      </c>
      <c r="F872" t="s">
        <v>16515</v>
      </c>
      <c r="G872" t="s">
        <v>74</v>
      </c>
      <c r="H872" t="s">
        <v>74</v>
      </c>
      <c r="I872" t="s">
        <v>16516</v>
      </c>
      <c r="J872" t="s">
        <v>16460</v>
      </c>
      <c r="K872" t="s">
        <v>74</v>
      </c>
      <c r="L872" t="s">
        <v>74</v>
      </c>
      <c r="M872" t="s">
        <v>78</v>
      </c>
      <c r="N872" t="s">
        <v>949</v>
      </c>
      <c r="O872" t="s">
        <v>74</v>
      </c>
      <c r="P872" t="s">
        <v>74</v>
      </c>
      <c r="Q872" t="s">
        <v>74</v>
      </c>
      <c r="R872" t="s">
        <v>74</v>
      </c>
      <c r="S872" t="s">
        <v>74</v>
      </c>
      <c r="T872" t="s">
        <v>16517</v>
      </c>
      <c r="U872" t="s">
        <v>16518</v>
      </c>
      <c r="V872" t="s">
        <v>16519</v>
      </c>
      <c r="W872" t="s">
        <v>16520</v>
      </c>
      <c r="X872" t="s">
        <v>16521</v>
      </c>
      <c r="Y872" t="s">
        <v>16522</v>
      </c>
      <c r="Z872" t="s">
        <v>16523</v>
      </c>
      <c r="AA872" t="s">
        <v>74</v>
      </c>
      <c r="AB872" t="s">
        <v>16524</v>
      </c>
      <c r="AC872" t="s">
        <v>16525</v>
      </c>
      <c r="AD872" t="s">
        <v>16526</v>
      </c>
      <c r="AE872" t="s">
        <v>16527</v>
      </c>
      <c r="AF872" t="s">
        <v>74</v>
      </c>
      <c r="AG872">
        <v>83</v>
      </c>
      <c r="AH872">
        <v>25</v>
      </c>
      <c r="AI872">
        <v>28</v>
      </c>
      <c r="AJ872">
        <v>1</v>
      </c>
      <c r="AK872">
        <v>53</v>
      </c>
      <c r="AL872" t="s">
        <v>2709</v>
      </c>
      <c r="AM872" t="s">
        <v>773</v>
      </c>
      <c r="AN872" t="s">
        <v>2710</v>
      </c>
      <c r="AO872" t="s">
        <v>16472</v>
      </c>
      <c r="AP872" t="s">
        <v>16473</v>
      </c>
      <c r="AQ872" t="s">
        <v>74</v>
      </c>
      <c r="AR872" t="s">
        <v>16474</v>
      </c>
      <c r="AS872" t="s">
        <v>16475</v>
      </c>
      <c r="AT872" t="s">
        <v>16406</v>
      </c>
      <c r="AU872">
        <v>2016</v>
      </c>
      <c r="AV872">
        <v>374</v>
      </c>
      <c r="AW872">
        <v>2059</v>
      </c>
      <c r="AX872" t="s">
        <v>74</v>
      </c>
      <c r="AY872" t="s">
        <v>74</v>
      </c>
      <c r="AZ872" t="s">
        <v>74</v>
      </c>
      <c r="BA872" t="s">
        <v>74</v>
      </c>
      <c r="BB872" t="s">
        <v>74</v>
      </c>
      <c r="BC872" t="s">
        <v>74</v>
      </c>
      <c r="BD872">
        <v>20140293</v>
      </c>
      <c r="BE872" t="s">
        <v>16528</v>
      </c>
      <c r="BF872" t="str">
        <f>HYPERLINK("http://dx.doi.org/10.1098/rsta.2014.0293","http://dx.doi.org/10.1098/rsta.2014.0293")</f>
        <v>http://dx.doi.org/10.1098/rsta.2014.0293</v>
      </c>
      <c r="BG872" t="s">
        <v>74</v>
      </c>
      <c r="BH872" t="s">
        <v>74</v>
      </c>
      <c r="BI872">
        <v>13</v>
      </c>
      <c r="BJ872" t="s">
        <v>753</v>
      </c>
      <c r="BK872" t="s">
        <v>102</v>
      </c>
      <c r="BL872" t="s">
        <v>754</v>
      </c>
      <c r="BM872" t="s">
        <v>16477</v>
      </c>
      <c r="BN872">
        <v>26667907</v>
      </c>
      <c r="BO872" t="s">
        <v>1191</v>
      </c>
      <c r="BP872" t="s">
        <v>74</v>
      </c>
      <c r="BQ872" t="s">
        <v>74</v>
      </c>
      <c r="BR872" t="s">
        <v>106</v>
      </c>
      <c r="BS872" t="s">
        <v>16529</v>
      </c>
      <c r="BT872" t="str">
        <f>HYPERLINK("https%3A%2F%2Fwww.webofscience.com%2Fwos%2Fwoscc%2Ffull-record%2FWOS:000367471500004","View Full Record in Web of Science")</f>
        <v>View Full Record in Web of Science</v>
      </c>
    </row>
    <row r="873" spans="1:72" x14ac:dyDescent="0.15">
      <c r="A873" t="s">
        <v>72</v>
      </c>
      <c r="B873" t="s">
        <v>16530</v>
      </c>
      <c r="C873" t="s">
        <v>74</v>
      </c>
      <c r="D873" t="s">
        <v>74</v>
      </c>
      <c r="E873" t="s">
        <v>74</v>
      </c>
      <c r="F873" t="s">
        <v>16531</v>
      </c>
      <c r="G873" t="s">
        <v>74</v>
      </c>
      <c r="H873" t="s">
        <v>74</v>
      </c>
      <c r="I873" t="s">
        <v>16532</v>
      </c>
      <c r="J873" t="s">
        <v>16460</v>
      </c>
      <c r="K873" t="s">
        <v>74</v>
      </c>
      <c r="L873" t="s">
        <v>74</v>
      </c>
      <c r="M873" t="s">
        <v>78</v>
      </c>
      <c r="N873" t="s">
        <v>949</v>
      </c>
      <c r="O873" t="s">
        <v>74</v>
      </c>
      <c r="P873" t="s">
        <v>74</v>
      </c>
      <c r="Q873" t="s">
        <v>74</v>
      </c>
      <c r="R873" t="s">
        <v>74</v>
      </c>
      <c r="S873" t="s">
        <v>74</v>
      </c>
      <c r="T873" t="s">
        <v>16533</v>
      </c>
      <c r="U873" t="s">
        <v>16534</v>
      </c>
      <c r="V873" t="s">
        <v>16535</v>
      </c>
      <c r="W873" t="s">
        <v>16536</v>
      </c>
      <c r="X873" t="s">
        <v>16537</v>
      </c>
      <c r="Y873" t="s">
        <v>16538</v>
      </c>
      <c r="Z873" t="s">
        <v>16539</v>
      </c>
      <c r="AA873" t="s">
        <v>16540</v>
      </c>
      <c r="AB873" t="s">
        <v>16541</v>
      </c>
      <c r="AC873" t="s">
        <v>74</v>
      </c>
      <c r="AD873" t="s">
        <v>74</v>
      </c>
      <c r="AE873" t="s">
        <v>74</v>
      </c>
      <c r="AF873" t="s">
        <v>74</v>
      </c>
      <c r="AG873">
        <v>86</v>
      </c>
      <c r="AH873">
        <v>17</v>
      </c>
      <c r="AI873">
        <v>20</v>
      </c>
      <c r="AJ873">
        <v>2</v>
      </c>
      <c r="AK873">
        <v>38</v>
      </c>
      <c r="AL873" t="s">
        <v>2709</v>
      </c>
      <c r="AM873" t="s">
        <v>773</v>
      </c>
      <c r="AN873" t="s">
        <v>2710</v>
      </c>
      <c r="AO873" t="s">
        <v>16472</v>
      </c>
      <c r="AP873" t="s">
        <v>16473</v>
      </c>
      <c r="AQ873" t="s">
        <v>74</v>
      </c>
      <c r="AR873" t="s">
        <v>16474</v>
      </c>
      <c r="AS873" t="s">
        <v>16475</v>
      </c>
      <c r="AT873" t="s">
        <v>16406</v>
      </c>
      <c r="AU873">
        <v>2016</v>
      </c>
      <c r="AV873">
        <v>374</v>
      </c>
      <c r="AW873">
        <v>2059</v>
      </c>
      <c r="AX873" t="s">
        <v>74</v>
      </c>
      <c r="AY873" t="s">
        <v>74</v>
      </c>
      <c r="AZ873" t="s">
        <v>74</v>
      </c>
      <c r="BA873" t="s">
        <v>74</v>
      </c>
      <c r="BB873" t="s">
        <v>74</v>
      </c>
      <c r="BC873" t="s">
        <v>74</v>
      </c>
      <c r="BD873">
        <v>20140296</v>
      </c>
      <c r="BE873" t="s">
        <v>16542</v>
      </c>
      <c r="BF873" t="str">
        <f>HYPERLINK("http://dx.doi.org/10.1098/rsta.2014.0296","http://dx.doi.org/10.1098/rsta.2014.0296")</f>
        <v>http://dx.doi.org/10.1098/rsta.2014.0296</v>
      </c>
      <c r="BG873" t="s">
        <v>74</v>
      </c>
      <c r="BH873" t="s">
        <v>74</v>
      </c>
      <c r="BI873">
        <v>14</v>
      </c>
      <c r="BJ873" t="s">
        <v>753</v>
      </c>
      <c r="BK873" t="s">
        <v>102</v>
      </c>
      <c r="BL873" t="s">
        <v>754</v>
      </c>
      <c r="BM873" t="s">
        <v>16477</v>
      </c>
      <c r="BN873">
        <v>26667909</v>
      </c>
      <c r="BO873" t="s">
        <v>842</v>
      </c>
      <c r="BP873" t="s">
        <v>74</v>
      </c>
      <c r="BQ873" t="s">
        <v>74</v>
      </c>
      <c r="BR873" t="s">
        <v>106</v>
      </c>
      <c r="BS873" t="s">
        <v>16543</v>
      </c>
      <c r="BT873" t="str">
        <f>HYPERLINK("https%3A%2F%2Fwww.webofscience.com%2Fwos%2Fwoscc%2Ffull-record%2FWOS:000367471500006","View Full Record in Web of Science")</f>
        <v>View Full Record in Web of Science</v>
      </c>
    </row>
    <row r="874" spans="1:72" x14ac:dyDescent="0.15">
      <c r="A874" t="s">
        <v>72</v>
      </c>
      <c r="B874" t="s">
        <v>16544</v>
      </c>
      <c r="C874" t="s">
        <v>74</v>
      </c>
      <c r="D874" t="s">
        <v>74</v>
      </c>
      <c r="E874" t="s">
        <v>74</v>
      </c>
      <c r="F874" t="s">
        <v>16545</v>
      </c>
      <c r="G874" t="s">
        <v>74</v>
      </c>
      <c r="H874" t="s">
        <v>74</v>
      </c>
      <c r="I874" t="s">
        <v>16546</v>
      </c>
      <c r="J874" t="s">
        <v>16460</v>
      </c>
      <c r="K874" t="s">
        <v>74</v>
      </c>
      <c r="L874" t="s">
        <v>74</v>
      </c>
      <c r="M874" t="s">
        <v>78</v>
      </c>
      <c r="N874" t="s">
        <v>79</v>
      </c>
      <c r="O874" t="s">
        <v>74</v>
      </c>
      <c r="P874" t="s">
        <v>74</v>
      </c>
      <c r="Q874" t="s">
        <v>74</v>
      </c>
      <c r="R874" t="s">
        <v>74</v>
      </c>
      <c r="S874" t="s">
        <v>74</v>
      </c>
      <c r="T874" t="s">
        <v>16547</v>
      </c>
      <c r="U874" t="s">
        <v>16548</v>
      </c>
      <c r="V874" t="s">
        <v>16549</v>
      </c>
      <c r="W874" t="s">
        <v>16550</v>
      </c>
      <c r="X874" t="s">
        <v>16551</v>
      </c>
      <c r="Y874" t="s">
        <v>16552</v>
      </c>
      <c r="Z874" t="s">
        <v>13596</v>
      </c>
      <c r="AA874" t="s">
        <v>16553</v>
      </c>
      <c r="AB874" t="s">
        <v>16554</v>
      </c>
      <c r="AC874" t="s">
        <v>16555</v>
      </c>
      <c r="AD874" t="s">
        <v>16556</v>
      </c>
      <c r="AE874" t="s">
        <v>16557</v>
      </c>
      <c r="AF874" t="s">
        <v>74</v>
      </c>
      <c r="AG874">
        <v>59</v>
      </c>
      <c r="AH874">
        <v>11</v>
      </c>
      <c r="AI874">
        <v>12</v>
      </c>
      <c r="AJ874">
        <v>1</v>
      </c>
      <c r="AK874">
        <v>61</v>
      </c>
      <c r="AL874" t="s">
        <v>2709</v>
      </c>
      <c r="AM874" t="s">
        <v>773</v>
      </c>
      <c r="AN874" t="s">
        <v>2710</v>
      </c>
      <c r="AO874" t="s">
        <v>16472</v>
      </c>
      <c r="AP874" t="s">
        <v>16473</v>
      </c>
      <c r="AQ874" t="s">
        <v>74</v>
      </c>
      <c r="AR874" t="s">
        <v>16474</v>
      </c>
      <c r="AS874" t="s">
        <v>16475</v>
      </c>
      <c r="AT874" t="s">
        <v>16406</v>
      </c>
      <c r="AU874">
        <v>2016</v>
      </c>
      <c r="AV874">
        <v>374</v>
      </c>
      <c r="AW874">
        <v>2059</v>
      </c>
      <c r="AX874" t="s">
        <v>74</v>
      </c>
      <c r="AY874" t="s">
        <v>74</v>
      </c>
      <c r="AZ874" t="s">
        <v>74</v>
      </c>
      <c r="BA874" t="s">
        <v>74</v>
      </c>
      <c r="BB874" t="s">
        <v>74</v>
      </c>
      <c r="BC874" t="s">
        <v>74</v>
      </c>
      <c r="BD874">
        <v>20140291</v>
      </c>
      <c r="BE874" t="s">
        <v>16558</v>
      </c>
      <c r="BF874" t="str">
        <f>HYPERLINK("http://dx.doi.org/10.1098/rsta.2014.0291","http://dx.doi.org/10.1098/rsta.2014.0291")</f>
        <v>http://dx.doi.org/10.1098/rsta.2014.0291</v>
      </c>
      <c r="BG874" t="s">
        <v>74</v>
      </c>
      <c r="BH874" t="s">
        <v>74</v>
      </c>
      <c r="BI874">
        <v>25</v>
      </c>
      <c r="BJ874" t="s">
        <v>753</v>
      </c>
      <c r="BK874" t="s">
        <v>102</v>
      </c>
      <c r="BL874" t="s">
        <v>754</v>
      </c>
      <c r="BM874" t="s">
        <v>16477</v>
      </c>
      <c r="BN874">
        <v>26667906</v>
      </c>
      <c r="BO874" t="s">
        <v>10943</v>
      </c>
      <c r="BP874" t="s">
        <v>74</v>
      </c>
      <c r="BQ874" t="s">
        <v>74</v>
      </c>
      <c r="BR874" t="s">
        <v>106</v>
      </c>
      <c r="BS874" t="s">
        <v>16559</v>
      </c>
      <c r="BT874" t="str">
        <f>HYPERLINK("https%3A%2F%2Fwww.webofscience.com%2Fwos%2Fwoscc%2Ffull-record%2FWOS:000367471500002","View Full Record in Web of Science")</f>
        <v>View Full Record in Web of Science</v>
      </c>
    </row>
    <row r="875" spans="1:72" x14ac:dyDescent="0.15">
      <c r="A875" t="s">
        <v>72</v>
      </c>
      <c r="B875" t="s">
        <v>16560</v>
      </c>
      <c r="C875" t="s">
        <v>74</v>
      </c>
      <c r="D875" t="s">
        <v>74</v>
      </c>
      <c r="E875" t="s">
        <v>74</v>
      </c>
      <c r="F875" t="s">
        <v>16561</v>
      </c>
      <c r="G875" t="s">
        <v>74</v>
      </c>
      <c r="H875" t="s">
        <v>74</v>
      </c>
      <c r="I875" t="s">
        <v>16562</v>
      </c>
      <c r="J875" t="s">
        <v>16460</v>
      </c>
      <c r="K875" t="s">
        <v>74</v>
      </c>
      <c r="L875" t="s">
        <v>74</v>
      </c>
      <c r="M875" t="s">
        <v>78</v>
      </c>
      <c r="N875" t="s">
        <v>573</v>
      </c>
      <c r="O875" t="s">
        <v>74</v>
      </c>
      <c r="P875" t="s">
        <v>74</v>
      </c>
      <c r="Q875" t="s">
        <v>74</v>
      </c>
      <c r="R875" t="s">
        <v>74</v>
      </c>
      <c r="S875" t="s">
        <v>74</v>
      </c>
      <c r="T875" t="s">
        <v>16563</v>
      </c>
      <c r="U875" t="s">
        <v>74</v>
      </c>
      <c r="V875" t="s">
        <v>74</v>
      </c>
      <c r="W875" t="s">
        <v>16564</v>
      </c>
      <c r="X875" t="s">
        <v>16565</v>
      </c>
      <c r="Y875" t="s">
        <v>16566</v>
      </c>
      <c r="Z875" t="s">
        <v>16567</v>
      </c>
      <c r="AA875" t="s">
        <v>16568</v>
      </c>
      <c r="AB875" t="s">
        <v>16569</v>
      </c>
      <c r="AC875" t="s">
        <v>16570</v>
      </c>
      <c r="AD875" t="s">
        <v>510</v>
      </c>
      <c r="AE875" t="s">
        <v>74</v>
      </c>
      <c r="AF875" t="s">
        <v>74</v>
      </c>
      <c r="AG875">
        <v>0</v>
      </c>
      <c r="AH875">
        <v>0</v>
      </c>
      <c r="AI875">
        <v>0</v>
      </c>
      <c r="AJ875">
        <v>0</v>
      </c>
      <c r="AK875">
        <v>5</v>
      </c>
      <c r="AL875" t="s">
        <v>2709</v>
      </c>
      <c r="AM875" t="s">
        <v>773</v>
      </c>
      <c r="AN875" t="s">
        <v>2710</v>
      </c>
      <c r="AO875" t="s">
        <v>16472</v>
      </c>
      <c r="AP875" t="s">
        <v>16473</v>
      </c>
      <c r="AQ875" t="s">
        <v>74</v>
      </c>
      <c r="AR875" t="s">
        <v>16474</v>
      </c>
      <c r="AS875" t="s">
        <v>16475</v>
      </c>
      <c r="AT875" t="s">
        <v>16406</v>
      </c>
      <c r="AU875">
        <v>2016</v>
      </c>
      <c r="AV875">
        <v>374</v>
      </c>
      <c r="AW875">
        <v>2059</v>
      </c>
      <c r="AX875" t="s">
        <v>74</v>
      </c>
      <c r="AY875" t="s">
        <v>74</v>
      </c>
      <c r="AZ875" t="s">
        <v>74</v>
      </c>
      <c r="BA875" t="s">
        <v>74</v>
      </c>
      <c r="BB875" t="s">
        <v>74</v>
      </c>
      <c r="BC875" t="s">
        <v>74</v>
      </c>
      <c r="BD875">
        <v>20150145</v>
      </c>
      <c r="BE875" t="s">
        <v>16571</v>
      </c>
      <c r="BF875" t="str">
        <f>HYPERLINK("http://dx.doi.org/10.1098/rsta.2015.0145","http://dx.doi.org/10.1098/rsta.2015.0145")</f>
        <v>http://dx.doi.org/10.1098/rsta.2015.0145</v>
      </c>
      <c r="BG875" t="s">
        <v>74</v>
      </c>
      <c r="BH875" t="s">
        <v>74</v>
      </c>
      <c r="BI875">
        <v>2</v>
      </c>
      <c r="BJ875" t="s">
        <v>753</v>
      </c>
      <c r="BK875" t="s">
        <v>102</v>
      </c>
      <c r="BL875" t="s">
        <v>754</v>
      </c>
      <c r="BM875" t="s">
        <v>16477</v>
      </c>
      <c r="BN875">
        <v>26667919</v>
      </c>
      <c r="BO875" t="s">
        <v>842</v>
      </c>
      <c r="BP875" t="s">
        <v>74</v>
      </c>
      <c r="BQ875" t="s">
        <v>74</v>
      </c>
      <c r="BR875" t="s">
        <v>106</v>
      </c>
      <c r="BS875" t="s">
        <v>16572</v>
      </c>
      <c r="BT875" t="str">
        <f>HYPERLINK("https%3A%2F%2Fwww.webofscience.com%2Fwos%2Fwoscc%2Ffull-record%2FWOS:000367471500016","View Full Record in Web of Science")</f>
        <v>View Full Record in Web of Science</v>
      </c>
    </row>
    <row r="876" spans="1:72" x14ac:dyDescent="0.15">
      <c r="A876" t="s">
        <v>72</v>
      </c>
      <c r="B876" t="s">
        <v>16573</v>
      </c>
      <c r="C876" t="s">
        <v>74</v>
      </c>
      <c r="D876" t="s">
        <v>74</v>
      </c>
      <c r="E876" t="s">
        <v>74</v>
      </c>
      <c r="F876" t="s">
        <v>16561</v>
      </c>
      <c r="G876" t="s">
        <v>74</v>
      </c>
      <c r="H876" t="s">
        <v>74</v>
      </c>
      <c r="I876" t="s">
        <v>16574</v>
      </c>
      <c r="J876" t="s">
        <v>16460</v>
      </c>
      <c r="K876" t="s">
        <v>74</v>
      </c>
      <c r="L876" t="s">
        <v>74</v>
      </c>
      <c r="M876" t="s">
        <v>78</v>
      </c>
      <c r="N876" t="s">
        <v>573</v>
      </c>
      <c r="O876" t="s">
        <v>74</v>
      </c>
      <c r="P876" t="s">
        <v>74</v>
      </c>
      <c r="Q876" t="s">
        <v>74</v>
      </c>
      <c r="R876" t="s">
        <v>74</v>
      </c>
      <c r="S876" t="s">
        <v>74</v>
      </c>
      <c r="T876" t="s">
        <v>16575</v>
      </c>
      <c r="U876" t="s">
        <v>16576</v>
      </c>
      <c r="V876" t="s">
        <v>16577</v>
      </c>
      <c r="W876" t="s">
        <v>16578</v>
      </c>
      <c r="X876" t="s">
        <v>16579</v>
      </c>
      <c r="Y876" t="s">
        <v>16580</v>
      </c>
      <c r="Z876" t="s">
        <v>16567</v>
      </c>
      <c r="AA876" t="s">
        <v>16581</v>
      </c>
      <c r="AB876" t="s">
        <v>16582</v>
      </c>
      <c r="AC876" t="s">
        <v>16583</v>
      </c>
      <c r="AD876" t="s">
        <v>510</v>
      </c>
      <c r="AE876" t="s">
        <v>74</v>
      </c>
      <c r="AF876" t="s">
        <v>74</v>
      </c>
      <c r="AG876">
        <v>29</v>
      </c>
      <c r="AH876">
        <v>20</v>
      </c>
      <c r="AI876">
        <v>22</v>
      </c>
      <c r="AJ876">
        <v>1</v>
      </c>
      <c r="AK876">
        <v>80</v>
      </c>
      <c r="AL876" t="s">
        <v>2709</v>
      </c>
      <c r="AM876" t="s">
        <v>773</v>
      </c>
      <c r="AN876" t="s">
        <v>2710</v>
      </c>
      <c r="AO876" t="s">
        <v>16472</v>
      </c>
      <c r="AP876" t="s">
        <v>16473</v>
      </c>
      <c r="AQ876" t="s">
        <v>74</v>
      </c>
      <c r="AR876" t="s">
        <v>16474</v>
      </c>
      <c r="AS876" t="s">
        <v>16475</v>
      </c>
      <c r="AT876" t="s">
        <v>16406</v>
      </c>
      <c r="AU876">
        <v>2016</v>
      </c>
      <c r="AV876">
        <v>374</v>
      </c>
      <c r="AW876">
        <v>2059</v>
      </c>
      <c r="AX876" t="s">
        <v>74</v>
      </c>
      <c r="AY876" t="s">
        <v>74</v>
      </c>
      <c r="AZ876" t="s">
        <v>74</v>
      </c>
      <c r="BA876" t="s">
        <v>74</v>
      </c>
      <c r="BB876" t="s">
        <v>74</v>
      </c>
      <c r="BC876" t="s">
        <v>74</v>
      </c>
      <c r="BD876">
        <v>20140466</v>
      </c>
      <c r="BE876" t="s">
        <v>16584</v>
      </c>
      <c r="BF876" t="str">
        <f>HYPERLINK("http://dx.doi.org/10.1098/rsta.2014.0466","http://dx.doi.org/10.1098/rsta.2014.0466")</f>
        <v>http://dx.doi.org/10.1098/rsta.2014.0466</v>
      </c>
      <c r="BG876" t="s">
        <v>74</v>
      </c>
      <c r="BH876" t="s">
        <v>74</v>
      </c>
      <c r="BI876">
        <v>6</v>
      </c>
      <c r="BJ876" t="s">
        <v>753</v>
      </c>
      <c r="BK876" t="s">
        <v>102</v>
      </c>
      <c r="BL876" t="s">
        <v>754</v>
      </c>
      <c r="BM876" t="s">
        <v>16477</v>
      </c>
      <c r="BN876">
        <v>26667917</v>
      </c>
      <c r="BO876" t="s">
        <v>293</v>
      </c>
      <c r="BP876" t="s">
        <v>74</v>
      </c>
      <c r="BQ876" t="s">
        <v>74</v>
      </c>
      <c r="BR876" t="s">
        <v>106</v>
      </c>
      <c r="BS876" t="s">
        <v>16585</v>
      </c>
      <c r="BT876" t="str">
        <f>HYPERLINK("https%3A%2F%2Fwww.webofscience.com%2Fwos%2Fwoscc%2Ffull-record%2FWOS:000367471500014","View Full Record in Web of Science")</f>
        <v>View Full Record in Web of Science</v>
      </c>
    </row>
    <row r="877" spans="1:72" x14ac:dyDescent="0.15">
      <c r="A877" t="s">
        <v>72</v>
      </c>
      <c r="B877" t="s">
        <v>16586</v>
      </c>
      <c r="C877" t="s">
        <v>74</v>
      </c>
      <c r="D877" t="s">
        <v>74</v>
      </c>
      <c r="E877" t="s">
        <v>74</v>
      </c>
      <c r="F877" t="s">
        <v>16587</v>
      </c>
      <c r="G877" t="s">
        <v>74</v>
      </c>
      <c r="H877" t="s">
        <v>74</v>
      </c>
      <c r="I877" t="s">
        <v>16588</v>
      </c>
      <c r="J877" t="s">
        <v>16460</v>
      </c>
      <c r="K877" t="s">
        <v>74</v>
      </c>
      <c r="L877" t="s">
        <v>74</v>
      </c>
      <c r="M877" t="s">
        <v>78</v>
      </c>
      <c r="N877" t="s">
        <v>949</v>
      </c>
      <c r="O877" t="s">
        <v>74</v>
      </c>
      <c r="P877" t="s">
        <v>74</v>
      </c>
      <c r="Q877" t="s">
        <v>74</v>
      </c>
      <c r="R877" t="s">
        <v>74</v>
      </c>
      <c r="S877" t="s">
        <v>74</v>
      </c>
      <c r="T877" t="s">
        <v>16589</v>
      </c>
      <c r="U877" t="s">
        <v>16590</v>
      </c>
      <c r="V877" t="s">
        <v>16591</v>
      </c>
      <c r="W877" t="s">
        <v>16592</v>
      </c>
      <c r="X877" t="s">
        <v>16593</v>
      </c>
      <c r="Y877" t="s">
        <v>16594</v>
      </c>
      <c r="Z877" t="s">
        <v>16567</v>
      </c>
      <c r="AA877" t="s">
        <v>16595</v>
      </c>
      <c r="AB877" t="s">
        <v>16596</v>
      </c>
      <c r="AC877" t="s">
        <v>16597</v>
      </c>
      <c r="AD877" t="s">
        <v>16598</v>
      </c>
      <c r="AE877" t="s">
        <v>16599</v>
      </c>
      <c r="AF877" t="s">
        <v>74</v>
      </c>
      <c r="AG877">
        <v>52</v>
      </c>
      <c r="AH877">
        <v>62</v>
      </c>
      <c r="AI877">
        <v>73</v>
      </c>
      <c r="AJ877">
        <v>1</v>
      </c>
      <c r="AK877">
        <v>70</v>
      </c>
      <c r="AL877" t="s">
        <v>2709</v>
      </c>
      <c r="AM877" t="s">
        <v>773</v>
      </c>
      <c r="AN877" t="s">
        <v>2710</v>
      </c>
      <c r="AO877" t="s">
        <v>16472</v>
      </c>
      <c r="AP877" t="s">
        <v>16473</v>
      </c>
      <c r="AQ877" t="s">
        <v>74</v>
      </c>
      <c r="AR877" t="s">
        <v>16474</v>
      </c>
      <c r="AS877" t="s">
        <v>16475</v>
      </c>
      <c r="AT877" t="s">
        <v>16406</v>
      </c>
      <c r="AU877">
        <v>2016</v>
      </c>
      <c r="AV877">
        <v>374</v>
      </c>
      <c r="AW877">
        <v>2059</v>
      </c>
      <c r="AX877" t="s">
        <v>74</v>
      </c>
      <c r="AY877" t="s">
        <v>74</v>
      </c>
      <c r="AZ877" t="s">
        <v>74</v>
      </c>
      <c r="BA877" t="s">
        <v>74</v>
      </c>
      <c r="BB877" t="s">
        <v>74</v>
      </c>
      <c r="BC877" t="s">
        <v>74</v>
      </c>
      <c r="BD877">
        <v>20140306</v>
      </c>
      <c r="BE877" t="s">
        <v>16600</v>
      </c>
      <c r="BF877" t="str">
        <f>HYPERLINK("http://dx.doi.org/10.1098/rsta.2014.0306","http://dx.doi.org/10.1098/rsta.2014.0306")</f>
        <v>http://dx.doi.org/10.1098/rsta.2014.0306</v>
      </c>
      <c r="BG877" t="s">
        <v>74</v>
      </c>
      <c r="BH877" t="s">
        <v>74</v>
      </c>
      <c r="BI877">
        <v>12</v>
      </c>
      <c r="BJ877" t="s">
        <v>753</v>
      </c>
      <c r="BK877" t="s">
        <v>102</v>
      </c>
      <c r="BL877" t="s">
        <v>754</v>
      </c>
      <c r="BM877" t="s">
        <v>16477</v>
      </c>
      <c r="BN877">
        <v>26667914</v>
      </c>
      <c r="BO877" t="s">
        <v>1191</v>
      </c>
      <c r="BP877" t="s">
        <v>74</v>
      </c>
      <c r="BQ877" t="s">
        <v>74</v>
      </c>
      <c r="BR877" t="s">
        <v>106</v>
      </c>
      <c r="BS877" t="s">
        <v>16601</v>
      </c>
      <c r="BT877" t="str">
        <f>HYPERLINK("https%3A%2F%2Fwww.webofscience.com%2Fwos%2Fwoscc%2Ffull-record%2FWOS:000367471500013","View Full Record in Web of Science")</f>
        <v>View Full Record in Web of Science</v>
      </c>
    </row>
    <row r="878" spans="1:72" x14ac:dyDescent="0.15">
      <c r="A878" t="s">
        <v>72</v>
      </c>
      <c r="B878" t="s">
        <v>16602</v>
      </c>
      <c r="C878" t="s">
        <v>74</v>
      </c>
      <c r="D878" t="s">
        <v>74</v>
      </c>
      <c r="E878" t="s">
        <v>74</v>
      </c>
      <c r="F878" t="s">
        <v>16603</v>
      </c>
      <c r="G878" t="s">
        <v>74</v>
      </c>
      <c r="H878" t="s">
        <v>74</v>
      </c>
      <c r="I878" t="s">
        <v>16604</v>
      </c>
      <c r="J878" t="s">
        <v>16460</v>
      </c>
      <c r="K878" t="s">
        <v>74</v>
      </c>
      <c r="L878" t="s">
        <v>74</v>
      </c>
      <c r="M878" t="s">
        <v>78</v>
      </c>
      <c r="N878" t="s">
        <v>79</v>
      </c>
      <c r="O878" t="s">
        <v>74</v>
      </c>
      <c r="P878" t="s">
        <v>74</v>
      </c>
      <c r="Q878" t="s">
        <v>74</v>
      </c>
      <c r="R878" t="s">
        <v>74</v>
      </c>
      <c r="S878" t="s">
        <v>74</v>
      </c>
      <c r="T878" t="s">
        <v>16605</v>
      </c>
      <c r="U878" t="s">
        <v>16606</v>
      </c>
      <c r="V878" t="s">
        <v>16607</v>
      </c>
      <c r="W878" t="s">
        <v>16608</v>
      </c>
      <c r="X878" t="s">
        <v>16609</v>
      </c>
      <c r="Y878" t="s">
        <v>16610</v>
      </c>
      <c r="Z878" t="s">
        <v>16611</v>
      </c>
      <c r="AA878" t="s">
        <v>74</v>
      </c>
      <c r="AB878" t="s">
        <v>16612</v>
      </c>
      <c r="AC878" t="s">
        <v>16613</v>
      </c>
      <c r="AD878" t="s">
        <v>16614</v>
      </c>
      <c r="AE878" t="s">
        <v>16615</v>
      </c>
      <c r="AF878" t="s">
        <v>74</v>
      </c>
      <c r="AG878">
        <v>25</v>
      </c>
      <c r="AH878">
        <v>30</v>
      </c>
      <c r="AI878">
        <v>36</v>
      </c>
      <c r="AJ878">
        <v>2</v>
      </c>
      <c r="AK878">
        <v>102</v>
      </c>
      <c r="AL878" t="s">
        <v>2709</v>
      </c>
      <c r="AM878" t="s">
        <v>773</v>
      </c>
      <c r="AN878" t="s">
        <v>2710</v>
      </c>
      <c r="AO878" t="s">
        <v>16472</v>
      </c>
      <c r="AP878" t="s">
        <v>16473</v>
      </c>
      <c r="AQ878" t="s">
        <v>74</v>
      </c>
      <c r="AR878" t="s">
        <v>16474</v>
      </c>
      <c r="AS878" t="s">
        <v>16475</v>
      </c>
      <c r="AT878" t="s">
        <v>16406</v>
      </c>
      <c r="AU878">
        <v>2016</v>
      </c>
      <c r="AV878">
        <v>374</v>
      </c>
      <c r="AW878">
        <v>2059</v>
      </c>
      <c r="AX878" t="s">
        <v>74</v>
      </c>
      <c r="AY878" t="s">
        <v>74</v>
      </c>
      <c r="AZ878" t="s">
        <v>74</v>
      </c>
      <c r="BA878" t="s">
        <v>74</v>
      </c>
      <c r="BB878" t="s">
        <v>74</v>
      </c>
      <c r="BC878" t="s">
        <v>74</v>
      </c>
      <c r="BD878">
        <v>20140292</v>
      </c>
      <c r="BE878" t="s">
        <v>16616</v>
      </c>
      <c r="BF878" t="str">
        <f>HYPERLINK("http://dx.doi.org/10.1098/rsta.2014.0292","http://dx.doi.org/10.1098/rsta.2014.0292")</f>
        <v>http://dx.doi.org/10.1098/rsta.2014.0292</v>
      </c>
      <c r="BG878" t="s">
        <v>74</v>
      </c>
      <c r="BH878" t="s">
        <v>74</v>
      </c>
      <c r="BI878">
        <v>6</v>
      </c>
      <c r="BJ878" t="s">
        <v>753</v>
      </c>
      <c r="BK878" t="s">
        <v>102</v>
      </c>
      <c r="BL878" t="s">
        <v>754</v>
      </c>
      <c r="BM878" t="s">
        <v>16477</v>
      </c>
      <c r="BN878">
        <v>26667905</v>
      </c>
      <c r="BO878" t="s">
        <v>842</v>
      </c>
      <c r="BP878" t="s">
        <v>74</v>
      </c>
      <c r="BQ878" t="s">
        <v>74</v>
      </c>
      <c r="BR878" t="s">
        <v>106</v>
      </c>
      <c r="BS878" t="s">
        <v>16617</v>
      </c>
      <c r="BT878" t="str">
        <f>HYPERLINK("https%3A%2F%2Fwww.webofscience.com%2Fwos%2Fwoscc%2Ffull-record%2FWOS:000367471500003","View Full Record in Web of Science")</f>
        <v>View Full Record in Web of Science</v>
      </c>
    </row>
    <row r="879" spans="1:72" x14ac:dyDescent="0.15">
      <c r="A879" t="s">
        <v>72</v>
      </c>
      <c r="B879" t="s">
        <v>16618</v>
      </c>
      <c r="C879" t="s">
        <v>74</v>
      </c>
      <c r="D879" t="s">
        <v>74</v>
      </c>
      <c r="E879" t="s">
        <v>74</v>
      </c>
      <c r="F879" t="s">
        <v>16619</v>
      </c>
      <c r="G879" t="s">
        <v>74</v>
      </c>
      <c r="H879" t="s">
        <v>74</v>
      </c>
      <c r="I879" t="s">
        <v>16620</v>
      </c>
      <c r="J879" t="s">
        <v>16460</v>
      </c>
      <c r="K879" t="s">
        <v>74</v>
      </c>
      <c r="L879" t="s">
        <v>74</v>
      </c>
      <c r="M879" t="s">
        <v>78</v>
      </c>
      <c r="N879" t="s">
        <v>949</v>
      </c>
      <c r="O879" t="s">
        <v>74</v>
      </c>
      <c r="P879" t="s">
        <v>74</v>
      </c>
      <c r="Q879" t="s">
        <v>74</v>
      </c>
      <c r="R879" t="s">
        <v>74</v>
      </c>
      <c r="S879" t="s">
        <v>74</v>
      </c>
      <c r="T879" t="s">
        <v>16621</v>
      </c>
      <c r="U879" t="s">
        <v>16622</v>
      </c>
      <c r="V879" t="s">
        <v>16623</v>
      </c>
      <c r="W879" t="s">
        <v>16624</v>
      </c>
      <c r="X879" t="s">
        <v>16625</v>
      </c>
      <c r="Y879" t="s">
        <v>16626</v>
      </c>
      <c r="Z879" t="s">
        <v>16627</v>
      </c>
      <c r="AA879" t="s">
        <v>14160</v>
      </c>
      <c r="AB879" t="s">
        <v>16628</v>
      </c>
      <c r="AC879" t="s">
        <v>16629</v>
      </c>
      <c r="AD879" t="s">
        <v>16630</v>
      </c>
      <c r="AE879" t="s">
        <v>16631</v>
      </c>
      <c r="AF879" t="s">
        <v>74</v>
      </c>
      <c r="AG879">
        <v>78</v>
      </c>
      <c r="AH879">
        <v>39</v>
      </c>
      <c r="AI879">
        <v>45</v>
      </c>
      <c r="AJ879">
        <v>2</v>
      </c>
      <c r="AK879">
        <v>76</v>
      </c>
      <c r="AL879" t="s">
        <v>2709</v>
      </c>
      <c r="AM879" t="s">
        <v>773</v>
      </c>
      <c r="AN879" t="s">
        <v>2710</v>
      </c>
      <c r="AO879" t="s">
        <v>16472</v>
      </c>
      <c r="AP879" t="s">
        <v>16473</v>
      </c>
      <c r="AQ879" t="s">
        <v>74</v>
      </c>
      <c r="AR879" t="s">
        <v>16474</v>
      </c>
      <c r="AS879" t="s">
        <v>16475</v>
      </c>
      <c r="AT879" t="s">
        <v>16406</v>
      </c>
      <c r="AU879">
        <v>2016</v>
      </c>
      <c r="AV879">
        <v>374</v>
      </c>
      <c r="AW879">
        <v>2059</v>
      </c>
      <c r="AX879" t="s">
        <v>74</v>
      </c>
      <c r="AY879" t="s">
        <v>74</v>
      </c>
      <c r="AZ879" t="s">
        <v>74</v>
      </c>
      <c r="BA879" t="s">
        <v>74</v>
      </c>
      <c r="BB879" t="s">
        <v>74</v>
      </c>
      <c r="BC879" t="s">
        <v>74</v>
      </c>
      <c r="BD879">
        <v>20140294</v>
      </c>
      <c r="BE879" t="s">
        <v>16632</v>
      </c>
      <c r="BF879" t="str">
        <f>HYPERLINK("http://dx.doi.org/10.1098/rsta.2014.0294","http://dx.doi.org/10.1098/rsta.2014.0294")</f>
        <v>http://dx.doi.org/10.1098/rsta.2014.0294</v>
      </c>
      <c r="BG879" t="s">
        <v>74</v>
      </c>
      <c r="BH879" t="s">
        <v>74</v>
      </c>
      <c r="BI879">
        <v>20</v>
      </c>
      <c r="BJ879" t="s">
        <v>753</v>
      </c>
      <c r="BK879" t="s">
        <v>102</v>
      </c>
      <c r="BL879" t="s">
        <v>754</v>
      </c>
      <c r="BM879" t="s">
        <v>16477</v>
      </c>
      <c r="BN879">
        <v>26667904</v>
      </c>
      <c r="BO879" t="s">
        <v>420</v>
      </c>
      <c r="BP879" t="s">
        <v>74</v>
      </c>
      <c r="BQ879" t="s">
        <v>74</v>
      </c>
      <c r="BR879" t="s">
        <v>106</v>
      </c>
      <c r="BS879" t="s">
        <v>16633</v>
      </c>
      <c r="BT879" t="str">
        <f>HYPERLINK("https%3A%2F%2Fwww.webofscience.com%2Fwos%2Fwoscc%2Ffull-record%2FWOS:000367471500005","View Full Record in Web of Science")</f>
        <v>View Full Record in Web of Science</v>
      </c>
    </row>
    <row r="880" spans="1:72" x14ac:dyDescent="0.15">
      <c r="A880" t="s">
        <v>72</v>
      </c>
      <c r="B880" t="s">
        <v>16634</v>
      </c>
      <c r="C880" t="s">
        <v>74</v>
      </c>
      <c r="D880" t="s">
        <v>74</v>
      </c>
      <c r="E880" t="s">
        <v>74</v>
      </c>
      <c r="F880" t="s">
        <v>16635</v>
      </c>
      <c r="G880" t="s">
        <v>74</v>
      </c>
      <c r="H880" t="s">
        <v>74</v>
      </c>
      <c r="I880" t="s">
        <v>16636</v>
      </c>
      <c r="J880" t="s">
        <v>16460</v>
      </c>
      <c r="K880" t="s">
        <v>74</v>
      </c>
      <c r="L880" t="s">
        <v>74</v>
      </c>
      <c r="M880" t="s">
        <v>78</v>
      </c>
      <c r="N880" t="s">
        <v>949</v>
      </c>
      <c r="O880" t="s">
        <v>74</v>
      </c>
      <c r="P880" t="s">
        <v>74</v>
      </c>
      <c r="Q880" t="s">
        <v>74</v>
      </c>
      <c r="R880" t="s">
        <v>74</v>
      </c>
      <c r="S880" t="s">
        <v>74</v>
      </c>
      <c r="T880" t="s">
        <v>16637</v>
      </c>
      <c r="U880" t="s">
        <v>16638</v>
      </c>
      <c r="V880" t="s">
        <v>16639</v>
      </c>
      <c r="W880" t="s">
        <v>16640</v>
      </c>
      <c r="X880" t="s">
        <v>16641</v>
      </c>
      <c r="Y880" t="s">
        <v>16642</v>
      </c>
      <c r="Z880" t="s">
        <v>16643</v>
      </c>
      <c r="AA880" t="s">
        <v>16644</v>
      </c>
      <c r="AB880" t="s">
        <v>16645</v>
      </c>
      <c r="AC880" t="s">
        <v>16646</v>
      </c>
      <c r="AD880" t="s">
        <v>16647</v>
      </c>
      <c r="AE880" t="s">
        <v>16648</v>
      </c>
      <c r="AF880" t="s">
        <v>74</v>
      </c>
      <c r="AG880">
        <v>85</v>
      </c>
      <c r="AH880">
        <v>36</v>
      </c>
      <c r="AI880">
        <v>37</v>
      </c>
      <c r="AJ880">
        <v>5</v>
      </c>
      <c r="AK880">
        <v>54</v>
      </c>
      <c r="AL880" t="s">
        <v>2709</v>
      </c>
      <c r="AM880" t="s">
        <v>773</v>
      </c>
      <c r="AN880" t="s">
        <v>2710</v>
      </c>
      <c r="AO880" t="s">
        <v>16472</v>
      </c>
      <c r="AP880" t="s">
        <v>16473</v>
      </c>
      <c r="AQ880" t="s">
        <v>74</v>
      </c>
      <c r="AR880" t="s">
        <v>16474</v>
      </c>
      <c r="AS880" t="s">
        <v>16475</v>
      </c>
      <c r="AT880" t="s">
        <v>16406</v>
      </c>
      <c r="AU880">
        <v>2016</v>
      </c>
      <c r="AV880">
        <v>374</v>
      </c>
      <c r="AW880">
        <v>2059</v>
      </c>
      <c r="AX880" t="s">
        <v>74</v>
      </c>
      <c r="AY880" t="s">
        <v>74</v>
      </c>
      <c r="AZ880" t="s">
        <v>74</v>
      </c>
      <c r="BA880" t="s">
        <v>74</v>
      </c>
      <c r="BB880" t="s">
        <v>74</v>
      </c>
      <c r="BC880" t="s">
        <v>74</v>
      </c>
      <c r="BD880">
        <v>20140301</v>
      </c>
      <c r="BE880" t="s">
        <v>16649</v>
      </c>
      <c r="BF880" t="str">
        <f>HYPERLINK("http://dx.doi.org/10.1098/rsta.2014.0301","http://dx.doi.org/10.1098/rsta.2014.0301")</f>
        <v>http://dx.doi.org/10.1098/rsta.2014.0301</v>
      </c>
      <c r="BG880" t="s">
        <v>74</v>
      </c>
      <c r="BH880" t="s">
        <v>74</v>
      </c>
      <c r="BI880">
        <v>18</v>
      </c>
      <c r="BJ880" t="s">
        <v>753</v>
      </c>
      <c r="BK880" t="s">
        <v>102</v>
      </c>
      <c r="BL880" t="s">
        <v>754</v>
      </c>
      <c r="BM880" t="s">
        <v>16477</v>
      </c>
      <c r="BN880">
        <v>26667911</v>
      </c>
      <c r="BO880" t="s">
        <v>420</v>
      </c>
      <c r="BP880" t="s">
        <v>74</v>
      </c>
      <c r="BQ880" t="s">
        <v>74</v>
      </c>
      <c r="BR880" t="s">
        <v>106</v>
      </c>
      <c r="BS880" t="s">
        <v>16650</v>
      </c>
      <c r="BT880" t="str">
        <f>HYPERLINK("https%3A%2F%2Fwww.webofscience.com%2Fwos%2Fwoscc%2Ffull-record%2FWOS:000367471500008","View Full Record in Web of Science")</f>
        <v>View Full Record in Web of Science</v>
      </c>
    </row>
    <row r="881" spans="1:72" x14ac:dyDescent="0.15">
      <c r="A881" t="s">
        <v>72</v>
      </c>
      <c r="B881" t="s">
        <v>16651</v>
      </c>
      <c r="C881" t="s">
        <v>74</v>
      </c>
      <c r="D881" t="s">
        <v>74</v>
      </c>
      <c r="E881" t="s">
        <v>74</v>
      </c>
      <c r="F881" t="s">
        <v>16652</v>
      </c>
      <c r="G881" t="s">
        <v>74</v>
      </c>
      <c r="H881" t="s">
        <v>74</v>
      </c>
      <c r="I881" t="s">
        <v>16653</v>
      </c>
      <c r="J881" t="s">
        <v>16460</v>
      </c>
      <c r="K881" t="s">
        <v>74</v>
      </c>
      <c r="L881" t="s">
        <v>74</v>
      </c>
      <c r="M881" t="s">
        <v>78</v>
      </c>
      <c r="N881" t="s">
        <v>79</v>
      </c>
      <c r="O881" t="s">
        <v>74</v>
      </c>
      <c r="P881" t="s">
        <v>74</v>
      </c>
      <c r="Q881" t="s">
        <v>74</v>
      </c>
      <c r="R881" t="s">
        <v>74</v>
      </c>
      <c r="S881" t="s">
        <v>74</v>
      </c>
      <c r="T881" t="s">
        <v>16654</v>
      </c>
      <c r="U881" t="s">
        <v>16655</v>
      </c>
      <c r="V881" t="s">
        <v>16656</v>
      </c>
      <c r="W881" t="s">
        <v>16657</v>
      </c>
      <c r="X881" t="s">
        <v>16658</v>
      </c>
      <c r="Y881" t="s">
        <v>16659</v>
      </c>
      <c r="Z881" t="s">
        <v>16660</v>
      </c>
      <c r="AA881" t="s">
        <v>16661</v>
      </c>
      <c r="AB881" t="s">
        <v>16662</v>
      </c>
      <c r="AC881" t="s">
        <v>16663</v>
      </c>
      <c r="AD881" t="s">
        <v>16664</v>
      </c>
      <c r="AE881" t="s">
        <v>16665</v>
      </c>
      <c r="AF881" t="s">
        <v>74</v>
      </c>
      <c r="AG881">
        <v>24</v>
      </c>
      <c r="AH881">
        <v>9</v>
      </c>
      <c r="AI881">
        <v>9</v>
      </c>
      <c r="AJ881">
        <v>1</v>
      </c>
      <c r="AK881">
        <v>49</v>
      </c>
      <c r="AL881" t="s">
        <v>2709</v>
      </c>
      <c r="AM881" t="s">
        <v>773</v>
      </c>
      <c r="AN881" t="s">
        <v>2710</v>
      </c>
      <c r="AO881" t="s">
        <v>16472</v>
      </c>
      <c r="AP881" t="s">
        <v>16473</v>
      </c>
      <c r="AQ881" t="s">
        <v>74</v>
      </c>
      <c r="AR881" t="s">
        <v>16474</v>
      </c>
      <c r="AS881" t="s">
        <v>16475</v>
      </c>
      <c r="AT881" t="s">
        <v>16406</v>
      </c>
      <c r="AU881">
        <v>2016</v>
      </c>
      <c r="AV881">
        <v>374</v>
      </c>
      <c r="AW881">
        <v>2059</v>
      </c>
      <c r="AX881" t="s">
        <v>74</v>
      </c>
      <c r="AY881" t="s">
        <v>74</v>
      </c>
      <c r="AZ881" t="s">
        <v>74</v>
      </c>
      <c r="BA881" t="s">
        <v>74</v>
      </c>
      <c r="BB881" t="s">
        <v>74</v>
      </c>
      <c r="BC881" t="s">
        <v>74</v>
      </c>
      <c r="BD881">
        <v>20150267</v>
      </c>
      <c r="BE881" t="s">
        <v>16666</v>
      </c>
      <c r="BF881" t="str">
        <f>HYPERLINK("http://dx.doi.org/10.1098/rsta.2015.0267","http://dx.doi.org/10.1098/rsta.2015.0267")</f>
        <v>http://dx.doi.org/10.1098/rsta.2015.0267</v>
      </c>
      <c r="BG881" t="s">
        <v>74</v>
      </c>
      <c r="BH881" t="s">
        <v>74</v>
      </c>
      <c r="BI881">
        <v>18</v>
      </c>
      <c r="BJ881" t="s">
        <v>753</v>
      </c>
      <c r="BK881" t="s">
        <v>102</v>
      </c>
      <c r="BL881" t="s">
        <v>754</v>
      </c>
      <c r="BM881" t="s">
        <v>16477</v>
      </c>
      <c r="BN881">
        <v>26667920</v>
      </c>
      <c r="BO881" t="s">
        <v>363</v>
      </c>
      <c r="BP881" t="s">
        <v>74</v>
      </c>
      <c r="BQ881" t="s">
        <v>74</v>
      </c>
      <c r="BR881" t="s">
        <v>106</v>
      </c>
      <c r="BS881" t="s">
        <v>16667</v>
      </c>
      <c r="BT881" t="str">
        <f>HYPERLINK("https%3A%2F%2Fwww.webofscience.com%2Fwos%2Fwoscc%2Ffull-record%2FWOS:000367471500017","View Full Record in Web of Science")</f>
        <v>View Full Record in Web of Science</v>
      </c>
    </row>
    <row r="882" spans="1:72" x14ac:dyDescent="0.15">
      <c r="A882" t="s">
        <v>72</v>
      </c>
      <c r="B882" t="s">
        <v>16668</v>
      </c>
      <c r="C882" t="s">
        <v>74</v>
      </c>
      <c r="D882" t="s">
        <v>74</v>
      </c>
      <c r="E882" t="s">
        <v>74</v>
      </c>
      <c r="F882" t="s">
        <v>16669</v>
      </c>
      <c r="G882" t="s">
        <v>74</v>
      </c>
      <c r="H882" t="s">
        <v>74</v>
      </c>
      <c r="I882" t="s">
        <v>16670</v>
      </c>
      <c r="J882" t="s">
        <v>16460</v>
      </c>
      <c r="K882" t="s">
        <v>74</v>
      </c>
      <c r="L882" t="s">
        <v>74</v>
      </c>
      <c r="M882" t="s">
        <v>78</v>
      </c>
      <c r="N882" t="s">
        <v>79</v>
      </c>
      <c r="O882" t="s">
        <v>74</v>
      </c>
      <c r="P882" t="s">
        <v>74</v>
      </c>
      <c r="Q882" t="s">
        <v>74</v>
      </c>
      <c r="R882" t="s">
        <v>74</v>
      </c>
      <c r="S882" t="s">
        <v>74</v>
      </c>
      <c r="T882" t="s">
        <v>16671</v>
      </c>
      <c r="U882" t="s">
        <v>16672</v>
      </c>
      <c r="V882" t="s">
        <v>16673</v>
      </c>
      <c r="W882" t="s">
        <v>16674</v>
      </c>
      <c r="X882" t="s">
        <v>16675</v>
      </c>
      <c r="Y882" t="s">
        <v>16676</v>
      </c>
      <c r="Z882" t="s">
        <v>16677</v>
      </c>
      <c r="AA882" t="s">
        <v>74</v>
      </c>
      <c r="AB882" t="s">
        <v>74</v>
      </c>
      <c r="AC882" t="s">
        <v>16678</v>
      </c>
      <c r="AD882" t="s">
        <v>16679</v>
      </c>
      <c r="AE882" t="s">
        <v>16680</v>
      </c>
      <c r="AF882" t="s">
        <v>74</v>
      </c>
      <c r="AG882">
        <v>58</v>
      </c>
      <c r="AH882">
        <v>19</v>
      </c>
      <c r="AI882">
        <v>22</v>
      </c>
      <c r="AJ882">
        <v>2</v>
      </c>
      <c r="AK882">
        <v>27</v>
      </c>
      <c r="AL882" t="s">
        <v>2709</v>
      </c>
      <c r="AM882" t="s">
        <v>773</v>
      </c>
      <c r="AN882" t="s">
        <v>2710</v>
      </c>
      <c r="AO882" t="s">
        <v>16472</v>
      </c>
      <c r="AP882" t="s">
        <v>16473</v>
      </c>
      <c r="AQ882" t="s">
        <v>74</v>
      </c>
      <c r="AR882" t="s">
        <v>16474</v>
      </c>
      <c r="AS882" t="s">
        <v>16475</v>
      </c>
      <c r="AT882" t="s">
        <v>16406</v>
      </c>
      <c r="AU882">
        <v>2016</v>
      </c>
      <c r="AV882">
        <v>374</v>
      </c>
      <c r="AW882">
        <v>2059</v>
      </c>
      <c r="AX882" t="s">
        <v>74</v>
      </c>
      <c r="AY882" t="s">
        <v>74</v>
      </c>
      <c r="AZ882" t="s">
        <v>74</v>
      </c>
      <c r="BA882" t="s">
        <v>74</v>
      </c>
      <c r="BB882" t="s">
        <v>74</v>
      </c>
      <c r="BC882" t="s">
        <v>74</v>
      </c>
      <c r="BD882">
        <v>20140305</v>
      </c>
      <c r="BE882" t="s">
        <v>16681</v>
      </c>
      <c r="BF882" t="str">
        <f>HYPERLINK("http://dx.doi.org/10.1098/rsta.2014.0305","http://dx.doi.org/10.1098/rsta.2014.0305")</f>
        <v>http://dx.doi.org/10.1098/rsta.2014.0305</v>
      </c>
      <c r="BG882" t="s">
        <v>74</v>
      </c>
      <c r="BH882" t="s">
        <v>74</v>
      </c>
      <c r="BI882">
        <v>16</v>
      </c>
      <c r="BJ882" t="s">
        <v>753</v>
      </c>
      <c r="BK882" t="s">
        <v>102</v>
      </c>
      <c r="BL882" t="s">
        <v>754</v>
      </c>
      <c r="BM882" t="s">
        <v>16477</v>
      </c>
      <c r="BN882">
        <v>26667915</v>
      </c>
      <c r="BO882" t="s">
        <v>420</v>
      </c>
      <c r="BP882" t="s">
        <v>74</v>
      </c>
      <c r="BQ882" t="s">
        <v>74</v>
      </c>
      <c r="BR882" t="s">
        <v>106</v>
      </c>
      <c r="BS882" t="s">
        <v>16682</v>
      </c>
      <c r="BT882" t="str">
        <f>HYPERLINK("https%3A%2F%2Fwww.webofscience.com%2Fwos%2Fwoscc%2Ffull-record%2FWOS:000367471500012","View Full Record in Web of Science")</f>
        <v>View Full Record in Web of Science</v>
      </c>
    </row>
    <row r="883" spans="1:72" x14ac:dyDescent="0.15">
      <c r="A883" t="s">
        <v>72</v>
      </c>
      <c r="B883" t="s">
        <v>16683</v>
      </c>
      <c r="C883" t="s">
        <v>74</v>
      </c>
      <c r="D883" t="s">
        <v>74</v>
      </c>
      <c r="E883" t="s">
        <v>74</v>
      </c>
      <c r="F883" t="s">
        <v>16684</v>
      </c>
      <c r="G883" t="s">
        <v>74</v>
      </c>
      <c r="H883" t="s">
        <v>74</v>
      </c>
      <c r="I883" t="s">
        <v>16685</v>
      </c>
      <c r="J883" t="s">
        <v>16460</v>
      </c>
      <c r="K883" t="s">
        <v>74</v>
      </c>
      <c r="L883" t="s">
        <v>74</v>
      </c>
      <c r="M883" t="s">
        <v>78</v>
      </c>
      <c r="N883" t="s">
        <v>79</v>
      </c>
      <c r="O883" t="s">
        <v>74</v>
      </c>
      <c r="P883" t="s">
        <v>74</v>
      </c>
      <c r="Q883" t="s">
        <v>74</v>
      </c>
      <c r="R883" t="s">
        <v>74</v>
      </c>
      <c r="S883" t="s">
        <v>74</v>
      </c>
      <c r="T883" t="s">
        <v>16686</v>
      </c>
      <c r="U883" t="s">
        <v>16687</v>
      </c>
      <c r="V883" t="s">
        <v>16688</v>
      </c>
      <c r="W883" t="s">
        <v>16689</v>
      </c>
      <c r="X883" t="s">
        <v>16690</v>
      </c>
      <c r="Y883" t="s">
        <v>16691</v>
      </c>
      <c r="Z883" t="s">
        <v>16692</v>
      </c>
      <c r="AA883" t="s">
        <v>16693</v>
      </c>
      <c r="AB883" t="s">
        <v>16694</v>
      </c>
      <c r="AC883" t="s">
        <v>16695</v>
      </c>
      <c r="AD883" t="s">
        <v>16696</v>
      </c>
      <c r="AE883" t="s">
        <v>16697</v>
      </c>
      <c r="AF883" t="s">
        <v>74</v>
      </c>
      <c r="AG883">
        <v>84</v>
      </c>
      <c r="AH883">
        <v>50</v>
      </c>
      <c r="AI883">
        <v>60</v>
      </c>
      <c r="AJ883">
        <v>6</v>
      </c>
      <c r="AK883">
        <v>30</v>
      </c>
      <c r="AL883" t="s">
        <v>2709</v>
      </c>
      <c r="AM883" t="s">
        <v>773</v>
      </c>
      <c r="AN883" t="s">
        <v>2710</v>
      </c>
      <c r="AO883" t="s">
        <v>16472</v>
      </c>
      <c r="AP883" t="s">
        <v>16473</v>
      </c>
      <c r="AQ883" t="s">
        <v>74</v>
      </c>
      <c r="AR883" t="s">
        <v>16474</v>
      </c>
      <c r="AS883" t="s">
        <v>16475</v>
      </c>
      <c r="AT883" t="s">
        <v>16406</v>
      </c>
      <c r="AU883">
        <v>2016</v>
      </c>
      <c r="AV883">
        <v>374</v>
      </c>
      <c r="AW883">
        <v>2059</v>
      </c>
      <c r="AX883" t="s">
        <v>74</v>
      </c>
      <c r="AY883" t="s">
        <v>74</v>
      </c>
      <c r="AZ883" t="s">
        <v>74</v>
      </c>
      <c r="BA883" t="s">
        <v>74</v>
      </c>
      <c r="BB883" t="s">
        <v>74</v>
      </c>
      <c r="BC883" t="s">
        <v>74</v>
      </c>
      <c r="BD883">
        <v>20140297</v>
      </c>
      <c r="BE883" t="s">
        <v>16698</v>
      </c>
      <c r="BF883" t="str">
        <f>HYPERLINK("http://dx.doi.org/10.1098/rsta.2014.0297","http://dx.doi.org/10.1098/rsta.2014.0297")</f>
        <v>http://dx.doi.org/10.1098/rsta.2014.0297</v>
      </c>
      <c r="BG883" t="s">
        <v>74</v>
      </c>
      <c r="BH883" t="s">
        <v>74</v>
      </c>
      <c r="BI883">
        <v>21</v>
      </c>
      <c r="BJ883" t="s">
        <v>753</v>
      </c>
      <c r="BK883" t="s">
        <v>102</v>
      </c>
      <c r="BL883" t="s">
        <v>754</v>
      </c>
      <c r="BM883" t="s">
        <v>16477</v>
      </c>
      <c r="BN883">
        <v>26667910</v>
      </c>
      <c r="BO883" t="s">
        <v>420</v>
      </c>
      <c r="BP883" t="s">
        <v>74</v>
      </c>
      <c r="BQ883" t="s">
        <v>74</v>
      </c>
      <c r="BR883" t="s">
        <v>106</v>
      </c>
      <c r="BS883" t="s">
        <v>16699</v>
      </c>
      <c r="BT883" t="str">
        <f>HYPERLINK("https%3A%2F%2Fwww.webofscience.com%2Fwos%2Fwoscc%2Ffull-record%2FWOS:000367471500007","View Full Record in Web of Science")</f>
        <v>View Full Record in Web of Science</v>
      </c>
    </row>
    <row r="884" spans="1:72" x14ac:dyDescent="0.15">
      <c r="A884" t="s">
        <v>72</v>
      </c>
      <c r="B884" t="s">
        <v>16700</v>
      </c>
      <c r="C884" t="s">
        <v>74</v>
      </c>
      <c r="D884" t="s">
        <v>74</v>
      </c>
      <c r="E884" t="s">
        <v>74</v>
      </c>
      <c r="F884" t="s">
        <v>16701</v>
      </c>
      <c r="G884" t="s">
        <v>74</v>
      </c>
      <c r="H884" t="s">
        <v>74</v>
      </c>
      <c r="I884" t="s">
        <v>16702</v>
      </c>
      <c r="J884" t="s">
        <v>1196</v>
      </c>
      <c r="K884" t="s">
        <v>74</v>
      </c>
      <c r="L884" t="s">
        <v>74</v>
      </c>
      <c r="M884" t="s">
        <v>78</v>
      </c>
      <c r="N884" t="s">
        <v>79</v>
      </c>
      <c r="O884" t="s">
        <v>74</v>
      </c>
      <c r="P884" t="s">
        <v>74</v>
      </c>
      <c r="Q884" t="s">
        <v>74</v>
      </c>
      <c r="R884" t="s">
        <v>74</v>
      </c>
      <c r="S884" t="s">
        <v>74</v>
      </c>
      <c r="T884" t="s">
        <v>74</v>
      </c>
      <c r="U884" t="s">
        <v>16703</v>
      </c>
      <c r="V884" t="s">
        <v>16704</v>
      </c>
      <c r="W884" t="s">
        <v>16705</v>
      </c>
      <c r="X884" t="s">
        <v>16706</v>
      </c>
      <c r="Y884" t="s">
        <v>16707</v>
      </c>
      <c r="Z884" t="s">
        <v>16708</v>
      </c>
      <c r="AA884" t="s">
        <v>16709</v>
      </c>
      <c r="AB884" t="s">
        <v>16710</v>
      </c>
      <c r="AC884" t="s">
        <v>16711</v>
      </c>
      <c r="AD884" t="s">
        <v>16712</v>
      </c>
      <c r="AE884" t="s">
        <v>16713</v>
      </c>
      <c r="AF884" t="s">
        <v>74</v>
      </c>
      <c r="AG884">
        <v>63</v>
      </c>
      <c r="AH884">
        <v>16</v>
      </c>
      <c r="AI884">
        <v>17</v>
      </c>
      <c r="AJ884">
        <v>2</v>
      </c>
      <c r="AK884">
        <v>17</v>
      </c>
      <c r="AL884" t="s">
        <v>1207</v>
      </c>
      <c r="AM884" t="s">
        <v>1208</v>
      </c>
      <c r="AN884" t="s">
        <v>1209</v>
      </c>
      <c r="AO884" t="s">
        <v>1210</v>
      </c>
      <c r="AP884" t="s">
        <v>74</v>
      </c>
      <c r="AQ884" t="s">
        <v>74</v>
      </c>
      <c r="AR884" t="s">
        <v>1196</v>
      </c>
      <c r="AS884" t="s">
        <v>1211</v>
      </c>
      <c r="AT884" t="s">
        <v>16714</v>
      </c>
      <c r="AU884">
        <v>2016</v>
      </c>
      <c r="AV884">
        <v>11</v>
      </c>
      <c r="AW884">
        <v>1</v>
      </c>
      <c r="AX884" t="s">
        <v>74</v>
      </c>
      <c r="AY884" t="s">
        <v>74</v>
      </c>
      <c r="AZ884" t="s">
        <v>74</v>
      </c>
      <c r="BA884" t="s">
        <v>74</v>
      </c>
      <c r="BB884" t="s">
        <v>74</v>
      </c>
      <c r="BC884" t="s">
        <v>74</v>
      </c>
      <c r="BD884" t="s">
        <v>16715</v>
      </c>
      <c r="BE884" t="s">
        <v>16716</v>
      </c>
      <c r="BF884" t="str">
        <f>HYPERLINK("http://dx.doi.org/10.1371/journal.pone.0146578","http://dx.doi.org/10.1371/journal.pone.0146578")</f>
        <v>http://dx.doi.org/10.1371/journal.pone.0146578</v>
      </c>
      <c r="BG884" t="s">
        <v>74</v>
      </c>
      <c r="BH884" t="s">
        <v>74</v>
      </c>
      <c r="BI884">
        <v>24</v>
      </c>
      <c r="BJ884" t="s">
        <v>753</v>
      </c>
      <c r="BK884" t="s">
        <v>102</v>
      </c>
      <c r="BL884" t="s">
        <v>754</v>
      </c>
      <c r="BM884" t="s">
        <v>16717</v>
      </c>
      <c r="BN884">
        <v>26815202</v>
      </c>
      <c r="BO884" t="s">
        <v>993</v>
      </c>
      <c r="BP884" t="s">
        <v>74</v>
      </c>
      <c r="BQ884" t="s">
        <v>74</v>
      </c>
      <c r="BR884" t="s">
        <v>106</v>
      </c>
      <c r="BS884" t="s">
        <v>16718</v>
      </c>
      <c r="BT884" t="str">
        <f>HYPERLINK("https%3A%2F%2Fwww.webofscience.com%2Fwos%2Fwoscc%2Ffull-record%2FWOS:000369528200017","View Full Record in Web of Science")</f>
        <v>View Full Record in Web of Science</v>
      </c>
    </row>
    <row r="885" spans="1:72" x14ac:dyDescent="0.15">
      <c r="A885" t="s">
        <v>72</v>
      </c>
      <c r="B885" t="s">
        <v>16719</v>
      </c>
      <c r="C885" t="s">
        <v>74</v>
      </c>
      <c r="D885" t="s">
        <v>74</v>
      </c>
      <c r="E885" t="s">
        <v>74</v>
      </c>
      <c r="F885" t="s">
        <v>16720</v>
      </c>
      <c r="G885" t="s">
        <v>74</v>
      </c>
      <c r="H885" t="s">
        <v>74</v>
      </c>
      <c r="I885" t="s">
        <v>16721</v>
      </c>
      <c r="J885" t="s">
        <v>1196</v>
      </c>
      <c r="K885" t="s">
        <v>74</v>
      </c>
      <c r="L885" t="s">
        <v>74</v>
      </c>
      <c r="M885" t="s">
        <v>78</v>
      </c>
      <c r="N885" t="s">
        <v>79</v>
      </c>
      <c r="O885" t="s">
        <v>74</v>
      </c>
      <c r="P885" t="s">
        <v>74</v>
      </c>
      <c r="Q885" t="s">
        <v>74</v>
      </c>
      <c r="R885" t="s">
        <v>74</v>
      </c>
      <c r="S885" t="s">
        <v>74</v>
      </c>
      <c r="T885" t="s">
        <v>74</v>
      </c>
      <c r="U885" t="s">
        <v>16722</v>
      </c>
      <c r="V885" t="s">
        <v>16723</v>
      </c>
      <c r="W885" t="s">
        <v>16724</v>
      </c>
      <c r="X885" t="s">
        <v>16725</v>
      </c>
      <c r="Y885" t="s">
        <v>16726</v>
      </c>
      <c r="Z885" t="s">
        <v>16727</v>
      </c>
      <c r="AA885" t="s">
        <v>16728</v>
      </c>
      <c r="AB885" t="s">
        <v>16729</v>
      </c>
      <c r="AC885" t="s">
        <v>16730</v>
      </c>
      <c r="AD885" t="s">
        <v>16731</v>
      </c>
      <c r="AE885" t="s">
        <v>16732</v>
      </c>
      <c r="AF885" t="s">
        <v>74</v>
      </c>
      <c r="AG885">
        <v>108</v>
      </c>
      <c r="AH885">
        <v>57</v>
      </c>
      <c r="AI885">
        <v>59</v>
      </c>
      <c r="AJ885">
        <v>1</v>
      </c>
      <c r="AK885">
        <v>58</v>
      </c>
      <c r="AL885" t="s">
        <v>1207</v>
      </c>
      <c r="AM885" t="s">
        <v>1208</v>
      </c>
      <c r="AN885" t="s">
        <v>1209</v>
      </c>
      <c r="AO885" t="s">
        <v>1210</v>
      </c>
      <c r="AP885" t="s">
        <v>74</v>
      </c>
      <c r="AQ885" t="s">
        <v>74</v>
      </c>
      <c r="AR885" t="s">
        <v>1196</v>
      </c>
      <c r="AS885" t="s">
        <v>1211</v>
      </c>
      <c r="AT885" t="s">
        <v>16714</v>
      </c>
      <c r="AU885">
        <v>2016</v>
      </c>
      <c r="AV885">
        <v>11</v>
      </c>
      <c r="AW885">
        <v>1</v>
      </c>
      <c r="AX885" t="s">
        <v>74</v>
      </c>
      <c r="AY885" t="s">
        <v>74</v>
      </c>
      <c r="AZ885" t="s">
        <v>74</v>
      </c>
      <c r="BA885" t="s">
        <v>74</v>
      </c>
      <c r="BB885" t="s">
        <v>74</v>
      </c>
      <c r="BC885" t="s">
        <v>74</v>
      </c>
      <c r="BD885" t="s">
        <v>16733</v>
      </c>
      <c r="BE885" t="s">
        <v>16734</v>
      </c>
      <c r="BF885" t="str">
        <f>HYPERLINK("http://dx.doi.org/10.1371/journal.pone.0146339","http://dx.doi.org/10.1371/journal.pone.0146339")</f>
        <v>http://dx.doi.org/10.1371/journal.pone.0146339</v>
      </c>
      <c r="BG885" t="s">
        <v>74</v>
      </c>
      <c r="BH885" t="s">
        <v>74</v>
      </c>
      <c r="BI885">
        <v>23</v>
      </c>
      <c r="BJ885" t="s">
        <v>753</v>
      </c>
      <c r="BK885" t="s">
        <v>102</v>
      </c>
      <c r="BL885" t="s">
        <v>754</v>
      </c>
      <c r="BM885" t="s">
        <v>16717</v>
      </c>
      <c r="BN885">
        <v>26814667</v>
      </c>
      <c r="BO885" t="s">
        <v>10031</v>
      </c>
      <c r="BP885" t="s">
        <v>74</v>
      </c>
      <c r="BQ885" t="s">
        <v>74</v>
      </c>
      <c r="BR885" t="s">
        <v>106</v>
      </c>
      <c r="BS885" t="s">
        <v>16735</v>
      </c>
      <c r="BT885" t="str">
        <f>HYPERLINK("https%3A%2F%2Fwww.webofscience.com%2Fwos%2Fwoscc%2Ffull-record%2FWOS:000369528200013","View Full Record in Web of Science")</f>
        <v>View Full Record in Web of Science</v>
      </c>
    </row>
    <row r="886" spans="1:72" x14ac:dyDescent="0.15">
      <c r="A886" t="s">
        <v>72</v>
      </c>
      <c r="B886" t="s">
        <v>16736</v>
      </c>
      <c r="C886" t="s">
        <v>74</v>
      </c>
      <c r="D886" t="s">
        <v>74</v>
      </c>
      <c r="E886" t="s">
        <v>74</v>
      </c>
      <c r="F886" t="s">
        <v>16737</v>
      </c>
      <c r="G886" t="s">
        <v>74</v>
      </c>
      <c r="H886" t="s">
        <v>74</v>
      </c>
      <c r="I886" t="s">
        <v>16738</v>
      </c>
      <c r="J886" t="s">
        <v>16739</v>
      </c>
      <c r="K886" t="s">
        <v>74</v>
      </c>
      <c r="L886" t="s">
        <v>74</v>
      </c>
      <c r="M886" t="s">
        <v>78</v>
      </c>
      <c r="N886" t="s">
        <v>79</v>
      </c>
      <c r="O886" t="s">
        <v>74</v>
      </c>
      <c r="P886" t="s">
        <v>74</v>
      </c>
      <c r="Q886" t="s">
        <v>74</v>
      </c>
      <c r="R886" t="s">
        <v>74</v>
      </c>
      <c r="S886" t="s">
        <v>74</v>
      </c>
      <c r="T886" t="s">
        <v>16740</v>
      </c>
      <c r="U886" t="s">
        <v>16741</v>
      </c>
      <c r="V886" t="s">
        <v>16742</v>
      </c>
      <c r="W886" t="s">
        <v>16743</v>
      </c>
      <c r="X886" t="s">
        <v>1057</v>
      </c>
      <c r="Y886" t="s">
        <v>16744</v>
      </c>
      <c r="Z886" t="s">
        <v>16745</v>
      </c>
      <c r="AA886" t="s">
        <v>16746</v>
      </c>
      <c r="AB886" t="s">
        <v>16747</v>
      </c>
      <c r="AC886" t="s">
        <v>74</v>
      </c>
      <c r="AD886" t="s">
        <v>74</v>
      </c>
      <c r="AE886" t="s">
        <v>74</v>
      </c>
      <c r="AF886" t="s">
        <v>74</v>
      </c>
      <c r="AG886">
        <v>82</v>
      </c>
      <c r="AH886">
        <v>23</v>
      </c>
      <c r="AI886">
        <v>24</v>
      </c>
      <c r="AJ886">
        <v>0</v>
      </c>
      <c r="AK886">
        <v>33</v>
      </c>
      <c r="AL886" t="s">
        <v>678</v>
      </c>
      <c r="AM886" t="s">
        <v>679</v>
      </c>
      <c r="AN886" t="s">
        <v>680</v>
      </c>
      <c r="AO886" t="s">
        <v>16748</v>
      </c>
      <c r="AP886" t="s">
        <v>16749</v>
      </c>
      <c r="AQ886" t="s">
        <v>74</v>
      </c>
      <c r="AR886" t="s">
        <v>16739</v>
      </c>
      <c r="AS886" t="s">
        <v>16750</v>
      </c>
      <c r="AT886" t="s">
        <v>16714</v>
      </c>
      <c r="AU886">
        <v>2016</v>
      </c>
      <c r="AV886">
        <v>34</v>
      </c>
      <c r="AW886">
        <v>5</v>
      </c>
      <c r="AX886" t="s">
        <v>74</v>
      </c>
      <c r="AY886" t="s">
        <v>74</v>
      </c>
      <c r="AZ886" t="s">
        <v>74</v>
      </c>
      <c r="BA886" t="s">
        <v>74</v>
      </c>
      <c r="BB886">
        <v>599</v>
      </c>
      <c r="BC886">
        <v>608</v>
      </c>
      <c r="BD886" t="s">
        <v>74</v>
      </c>
      <c r="BE886" t="s">
        <v>16751</v>
      </c>
      <c r="BF886" t="str">
        <f>HYPERLINK("http://dx.doi.org/10.1016/j.vaccine.2015.12.044","http://dx.doi.org/10.1016/j.vaccine.2015.12.044")</f>
        <v>http://dx.doi.org/10.1016/j.vaccine.2015.12.044</v>
      </c>
      <c r="BG886" t="s">
        <v>74</v>
      </c>
      <c r="BH886" t="s">
        <v>74</v>
      </c>
      <c r="BI886">
        <v>10</v>
      </c>
      <c r="BJ886" t="s">
        <v>16752</v>
      </c>
      <c r="BK886" t="s">
        <v>102</v>
      </c>
      <c r="BL886" t="s">
        <v>16753</v>
      </c>
      <c r="BM886" t="s">
        <v>16754</v>
      </c>
      <c r="BN886">
        <v>26724544</v>
      </c>
      <c r="BO886" t="s">
        <v>74</v>
      </c>
      <c r="BP886" t="s">
        <v>74</v>
      </c>
      <c r="BQ886" t="s">
        <v>74</v>
      </c>
      <c r="BR886" t="s">
        <v>106</v>
      </c>
      <c r="BS886" t="s">
        <v>16755</v>
      </c>
      <c r="BT886" t="str">
        <f>HYPERLINK("https%3A%2F%2Fwww.webofscience.com%2Fwos%2Fwoscc%2Ffull-record%2FWOS:000369203700002","View Full Record in Web of Science")</f>
        <v>View Full Record in Web of Science</v>
      </c>
    </row>
    <row r="887" spans="1:72" x14ac:dyDescent="0.15">
      <c r="A887" t="s">
        <v>72</v>
      </c>
      <c r="B887" t="s">
        <v>16756</v>
      </c>
      <c r="C887" t="s">
        <v>74</v>
      </c>
      <c r="D887" t="s">
        <v>74</v>
      </c>
      <c r="E887" t="s">
        <v>74</v>
      </c>
      <c r="F887" t="s">
        <v>16757</v>
      </c>
      <c r="G887" t="s">
        <v>74</v>
      </c>
      <c r="H887" t="s">
        <v>74</v>
      </c>
      <c r="I887" t="s">
        <v>16758</v>
      </c>
      <c r="J887" t="s">
        <v>1708</v>
      </c>
      <c r="K887" t="s">
        <v>74</v>
      </c>
      <c r="L887" t="s">
        <v>74</v>
      </c>
      <c r="M887" t="s">
        <v>78</v>
      </c>
      <c r="N887" t="s">
        <v>79</v>
      </c>
      <c r="O887" t="s">
        <v>74</v>
      </c>
      <c r="P887" t="s">
        <v>74</v>
      </c>
      <c r="Q887" t="s">
        <v>74</v>
      </c>
      <c r="R887" t="s">
        <v>74</v>
      </c>
      <c r="S887" t="s">
        <v>74</v>
      </c>
      <c r="T887" t="s">
        <v>16759</v>
      </c>
      <c r="U887" t="s">
        <v>16760</v>
      </c>
      <c r="V887" t="s">
        <v>16761</v>
      </c>
      <c r="W887" t="s">
        <v>16762</v>
      </c>
      <c r="X887" t="s">
        <v>16763</v>
      </c>
      <c r="Y887" t="s">
        <v>16764</v>
      </c>
      <c r="Z887" t="s">
        <v>16765</v>
      </c>
      <c r="AA887" t="s">
        <v>16766</v>
      </c>
      <c r="AB887" t="s">
        <v>16767</v>
      </c>
      <c r="AC887" t="s">
        <v>16768</v>
      </c>
      <c r="AD887" t="s">
        <v>16769</v>
      </c>
      <c r="AE887" t="s">
        <v>16770</v>
      </c>
      <c r="AF887" t="s">
        <v>74</v>
      </c>
      <c r="AG887">
        <v>63</v>
      </c>
      <c r="AH887">
        <v>54</v>
      </c>
      <c r="AI887">
        <v>58</v>
      </c>
      <c r="AJ887">
        <v>2</v>
      </c>
      <c r="AK887">
        <v>40</v>
      </c>
      <c r="AL887" t="s">
        <v>92</v>
      </c>
      <c r="AM887" t="s">
        <v>93</v>
      </c>
      <c r="AN887" t="s">
        <v>94</v>
      </c>
      <c r="AO887" t="s">
        <v>1720</v>
      </c>
      <c r="AP887" t="s">
        <v>1721</v>
      </c>
      <c r="AQ887" t="s">
        <v>74</v>
      </c>
      <c r="AR887" t="s">
        <v>1722</v>
      </c>
      <c r="AS887" t="s">
        <v>1723</v>
      </c>
      <c r="AT887" t="s">
        <v>16714</v>
      </c>
      <c r="AU887">
        <v>2016</v>
      </c>
      <c r="AV887">
        <v>121</v>
      </c>
      <c r="AW887">
        <v>2</v>
      </c>
      <c r="AX887" t="s">
        <v>74</v>
      </c>
      <c r="AY887" t="s">
        <v>74</v>
      </c>
      <c r="AZ887" t="s">
        <v>74</v>
      </c>
      <c r="BA887" t="s">
        <v>74</v>
      </c>
      <c r="BB887">
        <v>997</v>
      </c>
      <c r="BC887">
        <v>1023</v>
      </c>
      <c r="BD887" t="s">
        <v>74</v>
      </c>
      <c r="BE887" t="s">
        <v>16771</v>
      </c>
      <c r="BF887" t="str">
        <f>HYPERLINK("http://dx.doi.org/10.1002/2015JD024066","http://dx.doi.org/10.1002/2015JD024066")</f>
        <v>http://dx.doi.org/10.1002/2015JD024066</v>
      </c>
      <c r="BG887" t="s">
        <v>74</v>
      </c>
      <c r="BH887" t="s">
        <v>74</v>
      </c>
      <c r="BI887">
        <v>27</v>
      </c>
      <c r="BJ887" t="s">
        <v>1726</v>
      </c>
      <c r="BK887" t="s">
        <v>102</v>
      </c>
      <c r="BL887" t="s">
        <v>1726</v>
      </c>
      <c r="BM887" t="s">
        <v>16772</v>
      </c>
      <c r="BN887" t="s">
        <v>74</v>
      </c>
      <c r="BO887" t="s">
        <v>105</v>
      </c>
      <c r="BP887" t="s">
        <v>74</v>
      </c>
      <c r="BQ887" t="s">
        <v>74</v>
      </c>
      <c r="BR887" t="s">
        <v>106</v>
      </c>
      <c r="BS887" t="s">
        <v>16773</v>
      </c>
      <c r="BT887" t="str">
        <f>HYPERLINK("https%3A%2F%2Fwww.webofscience.com%2Fwos%2Fwoscc%2Ffull-record%2FWOS:000370471800026","View Full Record in Web of Science")</f>
        <v>View Full Record in Web of Science</v>
      </c>
    </row>
    <row r="888" spans="1:72" x14ac:dyDescent="0.15">
      <c r="A888" t="s">
        <v>72</v>
      </c>
      <c r="B888" t="s">
        <v>16774</v>
      </c>
      <c r="C888" t="s">
        <v>74</v>
      </c>
      <c r="D888" t="s">
        <v>74</v>
      </c>
      <c r="E888" t="s">
        <v>74</v>
      </c>
      <c r="F888" t="s">
        <v>16775</v>
      </c>
      <c r="G888" t="s">
        <v>74</v>
      </c>
      <c r="H888" t="s">
        <v>74</v>
      </c>
      <c r="I888" t="s">
        <v>16776</v>
      </c>
      <c r="J888" t="s">
        <v>1196</v>
      </c>
      <c r="K888" t="s">
        <v>74</v>
      </c>
      <c r="L888" t="s">
        <v>74</v>
      </c>
      <c r="M888" t="s">
        <v>78</v>
      </c>
      <c r="N888" t="s">
        <v>79</v>
      </c>
      <c r="O888" t="s">
        <v>74</v>
      </c>
      <c r="P888" t="s">
        <v>74</v>
      </c>
      <c r="Q888" t="s">
        <v>74</v>
      </c>
      <c r="R888" t="s">
        <v>74</v>
      </c>
      <c r="S888" t="s">
        <v>74</v>
      </c>
      <c r="T888" t="s">
        <v>74</v>
      </c>
      <c r="U888" t="s">
        <v>16777</v>
      </c>
      <c r="V888" t="s">
        <v>16778</v>
      </c>
      <c r="W888" t="s">
        <v>16779</v>
      </c>
      <c r="X888" t="s">
        <v>16780</v>
      </c>
      <c r="Y888" t="s">
        <v>16781</v>
      </c>
      <c r="Z888" t="s">
        <v>16782</v>
      </c>
      <c r="AA888" t="s">
        <v>16783</v>
      </c>
      <c r="AB888" t="s">
        <v>16784</v>
      </c>
      <c r="AC888" t="s">
        <v>16785</v>
      </c>
      <c r="AD888" t="s">
        <v>16786</v>
      </c>
      <c r="AE888" t="s">
        <v>16787</v>
      </c>
      <c r="AF888" t="s">
        <v>74</v>
      </c>
      <c r="AG888">
        <v>59</v>
      </c>
      <c r="AH888">
        <v>22</v>
      </c>
      <c r="AI888">
        <v>23</v>
      </c>
      <c r="AJ888">
        <v>0</v>
      </c>
      <c r="AK888">
        <v>18</v>
      </c>
      <c r="AL888" t="s">
        <v>1207</v>
      </c>
      <c r="AM888" t="s">
        <v>1208</v>
      </c>
      <c r="AN888" t="s">
        <v>1209</v>
      </c>
      <c r="AO888" t="s">
        <v>1210</v>
      </c>
      <c r="AP888" t="s">
        <v>74</v>
      </c>
      <c r="AQ888" t="s">
        <v>74</v>
      </c>
      <c r="AR888" t="s">
        <v>1196</v>
      </c>
      <c r="AS888" t="s">
        <v>1211</v>
      </c>
      <c r="AT888" t="s">
        <v>16788</v>
      </c>
      <c r="AU888">
        <v>2016</v>
      </c>
      <c r="AV888">
        <v>11</v>
      </c>
      <c r="AW888">
        <v>1</v>
      </c>
      <c r="AX888" t="s">
        <v>74</v>
      </c>
      <c r="AY888" t="s">
        <v>74</v>
      </c>
      <c r="AZ888" t="s">
        <v>74</v>
      </c>
      <c r="BA888" t="s">
        <v>74</v>
      </c>
      <c r="BB888" t="s">
        <v>74</v>
      </c>
      <c r="BC888" t="s">
        <v>74</v>
      </c>
      <c r="BD888" t="s">
        <v>16789</v>
      </c>
      <c r="BE888" t="s">
        <v>16790</v>
      </c>
      <c r="BF888" t="str">
        <f>HYPERLINK("http://dx.doi.org/10.1371/journal.pone.0147711","http://dx.doi.org/10.1371/journal.pone.0147711")</f>
        <v>http://dx.doi.org/10.1371/journal.pone.0147711</v>
      </c>
      <c r="BG888" t="s">
        <v>74</v>
      </c>
      <c r="BH888" t="s">
        <v>74</v>
      </c>
      <c r="BI888">
        <v>18</v>
      </c>
      <c r="BJ888" t="s">
        <v>753</v>
      </c>
      <c r="BK888" t="s">
        <v>102</v>
      </c>
      <c r="BL888" t="s">
        <v>754</v>
      </c>
      <c r="BM888" t="s">
        <v>16791</v>
      </c>
      <c r="BN888">
        <v>26808521</v>
      </c>
      <c r="BO888" t="s">
        <v>8448</v>
      </c>
      <c r="BP888" t="s">
        <v>74</v>
      </c>
      <c r="BQ888" t="s">
        <v>74</v>
      </c>
      <c r="BR888" t="s">
        <v>106</v>
      </c>
      <c r="BS888" t="s">
        <v>16792</v>
      </c>
      <c r="BT888" t="str">
        <f>HYPERLINK("https%3A%2F%2Fwww.webofscience.com%2Fwos%2Fwoscc%2Ffull-record%2FWOS:000369527800190","View Full Record in Web of Science")</f>
        <v>View Full Record in Web of Science</v>
      </c>
    </row>
    <row r="889" spans="1:72" x14ac:dyDescent="0.15">
      <c r="A889" t="s">
        <v>72</v>
      </c>
      <c r="B889" t="s">
        <v>16793</v>
      </c>
      <c r="C889" t="s">
        <v>74</v>
      </c>
      <c r="D889" t="s">
        <v>74</v>
      </c>
      <c r="E889" t="s">
        <v>74</v>
      </c>
      <c r="F889" t="s">
        <v>16794</v>
      </c>
      <c r="G889" t="s">
        <v>74</v>
      </c>
      <c r="H889" t="s">
        <v>74</v>
      </c>
      <c r="I889" t="s">
        <v>16795</v>
      </c>
      <c r="J889" t="s">
        <v>1196</v>
      </c>
      <c r="K889" t="s">
        <v>74</v>
      </c>
      <c r="L889" t="s">
        <v>74</v>
      </c>
      <c r="M889" t="s">
        <v>78</v>
      </c>
      <c r="N889" t="s">
        <v>79</v>
      </c>
      <c r="O889" t="s">
        <v>74</v>
      </c>
      <c r="P889" t="s">
        <v>74</v>
      </c>
      <c r="Q889" t="s">
        <v>74</v>
      </c>
      <c r="R889" t="s">
        <v>74</v>
      </c>
      <c r="S889" t="s">
        <v>74</v>
      </c>
      <c r="T889" t="s">
        <v>74</v>
      </c>
      <c r="U889" t="s">
        <v>16796</v>
      </c>
      <c r="V889" t="s">
        <v>16797</v>
      </c>
      <c r="W889" t="s">
        <v>16798</v>
      </c>
      <c r="X889" t="s">
        <v>16799</v>
      </c>
      <c r="Y889" t="s">
        <v>16800</v>
      </c>
      <c r="Z889" t="s">
        <v>16801</v>
      </c>
      <c r="AA889" t="s">
        <v>16802</v>
      </c>
      <c r="AB889" t="s">
        <v>16803</v>
      </c>
      <c r="AC889" t="s">
        <v>16804</v>
      </c>
      <c r="AD889" t="s">
        <v>16804</v>
      </c>
      <c r="AE889" t="s">
        <v>16805</v>
      </c>
      <c r="AF889" t="s">
        <v>74</v>
      </c>
      <c r="AG889">
        <v>91</v>
      </c>
      <c r="AH889">
        <v>18</v>
      </c>
      <c r="AI889">
        <v>20</v>
      </c>
      <c r="AJ889">
        <v>0</v>
      </c>
      <c r="AK889">
        <v>27</v>
      </c>
      <c r="AL889" t="s">
        <v>1207</v>
      </c>
      <c r="AM889" t="s">
        <v>1208</v>
      </c>
      <c r="AN889" t="s">
        <v>1209</v>
      </c>
      <c r="AO889" t="s">
        <v>1210</v>
      </c>
      <c r="AP889" t="s">
        <v>74</v>
      </c>
      <c r="AQ889" t="s">
        <v>74</v>
      </c>
      <c r="AR889" t="s">
        <v>1196</v>
      </c>
      <c r="AS889" t="s">
        <v>1211</v>
      </c>
      <c r="AT889" t="s">
        <v>16788</v>
      </c>
      <c r="AU889">
        <v>2016</v>
      </c>
      <c r="AV889">
        <v>11</v>
      </c>
      <c r="AW889">
        <v>1</v>
      </c>
      <c r="AX889" t="s">
        <v>74</v>
      </c>
      <c r="AY889" t="s">
        <v>74</v>
      </c>
      <c r="AZ889" t="s">
        <v>74</v>
      </c>
      <c r="BA889" t="s">
        <v>74</v>
      </c>
      <c r="BB889" t="s">
        <v>74</v>
      </c>
      <c r="BC889" t="s">
        <v>74</v>
      </c>
      <c r="BD889" t="s">
        <v>16806</v>
      </c>
      <c r="BE889" t="s">
        <v>16807</v>
      </c>
      <c r="BF889" t="str">
        <f>HYPERLINK("http://dx.doi.org/10.1371/journal.pone.0147857","http://dx.doi.org/10.1371/journal.pone.0147857")</f>
        <v>http://dx.doi.org/10.1371/journal.pone.0147857</v>
      </c>
      <c r="BG889" t="s">
        <v>74</v>
      </c>
      <c r="BH889" t="s">
        <v>74</v>
      </c>
      <c r="BI889">
        <v>16</v>
      </c>
      <c r="BJ889" t="s">
        <v>753</v>
      </c>
      <c r="BK889" t="s">
        <v>102</v>
      </c>
      <c r="BL889" t="s">
        <v>754</v>
      </c>
      <c r="BM889" t="s">
        <v>16791</v>
      </c>
      <c r="BN889">
        <v>26808381</v>
      </c>
      <c r="BO889" t="s">
        <v>10031</v>
      </c>
      <c r="BP889" t="s">
        <v>74</v>
      </c>
      <c r="BQ889" t="s">
        <v>74</v>
      </c>
      <c r="BR889" t="s">
        <v>106</v>
      </c>
      <c r="BS889" t="s">
        <v>16808</v>
      </c>
      <c r="BT889" t="str">
        <f>HYPERLINK("https%3A%2F%2Fwww.webofscience.com%2Fwos%2Fwoscc%2Ffull-record%2FWOS:000369527800231","View Full Record in Web of Science")</f>
        <v>View Full Record in Web of Science</v>
      </c>
    </row>
    <row r="890" spans="1:72" x14ac:dyDescent="0.15">
      <c r="A890" t="s">
        <v>72</v>
      </c>
      <c r="B890" t="s">
        <v>16809</v>
      </c>
      <c r="C890" t="s">
        <v>74</v>
      </c>
      <c r="D890" t="s">
        <v>74</v>
      </c>
      <c r="E890" t="s">
        <v>74</v>
      </c>
      <c r="F890" t="s">
        <v>16810</v>
      </c>
      <c r="G890" t="s">
        <v>74</v>
      </c>
      <c r="H890" t="s">
        <v>74</v>
      </c>
      <c r="I890" t="s">
        <v>16811</v>
      </c>
      <c r="J890" t="s">
        <v>5802</v>
      </c>
      <c r="K890" t="s">
        <v>74</v>
      </c>
      <c r="L890" t="s">
        <v>74</v>
      </c>
      <c r="M890" t="s">
        <v>78</v>
      </c>
      <c r="N890" t="s">
        <v>79</v>
      </c>
      <c r="O890" t="s">
        <v>74</v>
      </c>
      <c r="P890" t="s">
        <v>74</v>
      </c>
      <c r="Q890" t="s">
        <v>74</v>
      </c>
      <c r="R890" t="s">
        <v>74</v>
      </c>
      <c r="S890" t="s">
        <v>74</v>
      </c>
      <c r="T890" t="s">
        <v>16812</v>
      </c>
      <c r="U890" t="s">
        <v>16813</v>
      </c>
      <c r="V890" t="s">
        <v>16814</v>
      </c>
      <c r="W890" t="s">
        <v>16815</v>
      </c>
      <c r="X890" t="s">
        <v>16816</v>
      </c>
      <c r="Y890" t="s">
        <v>16817</v>
      </c>
      <c r="Z890" t="s">
        <v>16818</v>
      </c>
      <c r="AA890" t="s">
        <v>16819</v>
      </c>
      <c r="AB890" t="s">
        <v>16820</v>
      </c>
      <c r="AC890" t="s">
        <v>16821</v>
      </c>
      <c r="AD890" t="s">
        <v>16822</v>
      </c>
      <c r="AE890" t="s">
        <v>16823</v>
      </c>
      <c r="AF890" t="s">
        <v>74</v>
      </c>
      <c r="AG890">
        <v>103</v>
      </c>
      <c r="AH890">
        <v>34</v>
      </c>
      <c r="AI890">
        <v>35</v>
      </c>
      <c r="AJ890">
        <v>3</v>
      </c>
      <c r="AK890">
        <v>75</v>
      </c>
      <c r="AL890" t="s">
        <v>626</v>
      </c>
      <c r="AM890" t="s">
        <v>583</v>
      </c>
      <c r="AN890" t="s">
        <v>627</v>
      </c>
      <c r="AO890" t="s">
        <v>5814</v>
      </c>
      <c r="AP890" t="s">
        <v>5815</v>
      </c>
      <c r="AQ890" t="s">
        <v>74</v>
      </c>
      <c r="AR890" t="s">
        <v>5816</v>
      </c>
      <c r="AS890" t="s">
        <v>5817</v>
      </c>
      <c r="AT890" t="s">
        <v>16824</v>
      </c>
      <c r="AU890">
        <v>2016</v>
      </c>
      <c r="AV890">
        <v>320</v>
      </c>
      <c r="AW890" t="s">
        <v>74</v>
      </c>
      <c r="AX890" t="s">
        <v>74</v>
      </c>
      <c r="AY890" t="s">
        <v>74</v>
      </c>
      <c r="AZ890" t="s">
        <v>74</v>
      </c>
      <c r="BA890" t="s">
        <v>74</v>
      </c>
      <c r="BB890">
        <v>203</v>
      </c>
      <c r="BC890">
        <v>212</v>
      </c>
      <c r="BD890" t="s">
        <v>74</v>
      </c>
      <c r="BE890" t="s">
        <v>16825</v>
      </c>
      <c r="BF890" t="str">
        <f>HYPERLINK("http://dx.doi.org/10.1016/j.ecolmodel.2015.10.007","http://dx.doi.org/10.1016/j.ecolmodel.2015.10.007")</f>
        <v>http://dx.doi.org/10.1016/j.ecolmodel.2015.10.007</v>
      </c>
      <c r="BG890" t="s">
        <v>74</v>
      </c>
      <c r="BH890" t="s">
        <v>74</v>
      </c>
      <c r="BI890">
        <v>10</v>
      </c>
      <c r="BJ890" t="s">
        <v>4041</v>
      </c>
      <c r="BK890" t="s">
        <v>102</v>
      </c>
      <c r="BL890" t="s">
        <v>465</v>
      </c>
      <c r="BM890" t="s">
        <v>16826</v>
      </c>
      <c r="BN890" t="s">
        <v>74</v>
      </c>
      <c r="BO890" t="s">
        <v>74</v>
      </c>
      <c r="BP890" t="s">
        <v>74</v>
      </c>
      <c r="BQ890" t="s">
        <v>74</v>
      </c>
      <c r="BR890" t="s">
        <v>106</v>
      </c>
      <c r="BS890" t="s">
        <v>16827</v>
      </c>
      <c r="BT890" t="str">
        <f>HYPERLINK("https%3A%2F%2Fwww.webofscience.com%2Fwos%2Fwoscc%2Ffull-record%2FWOS:000368313300019","View Full Record in Web of Science")</f>
        <v>View Full Record in Web of Science</v>
      </c>
    </row>
    <row r="891" spans="1:72" x14ac:dyDescent="0.15">
      <c r="A891" t="s">
        <v>72</v>
      </c>
      <c r="B891" t="s">
        <v>16828</v>
      </c>
      <c r="C891" t="s">
        <v>74</v>
      </c>
      <c r="D891" t="s">
        <v>74</v>
      </c>
      <c r="E891" t="s">
        <v>74</v>
      </c>
      <c r="F891" t="s">
        <v>16829</v>
      </c>
      <c r="G891" t="s">
        <v>74</v>
      </c>
      <c r="H891" t="s">
        <v>74</v>
      </c>
      <c r="I891" t="s">
        <v>16830</v>
      </c>
      <c r="J891" t="s">
        <v>16831</v>
      </c>
      <c r="K891" t="s">
        <v>74</v>
      </c>
      <c r="L891" t="s">
        <v>74</v>
      </c>
      <c r="M891" t="s">
        <v>78</v>
      </c>
      <c r="N891" t="s">
        <v>79</v>
      </c>
      <c r="O891" t="s">
        <v>74</v>
      </c>
      <c r="P891" t="s">
        <v>74</v>
      </c>
      <c r="Q891" t="s">
        <v>74</v>
      </c>
      <c r="R891" t="s">
        <v>74</v>
      </c>
      <c r="S891" t="s">
        <v>74</v>
      </c>
      <c r="T891" t="s">
        <v>16832</v>
      </c>
      <c r="U891" t="s">
        <v>16833</v>
      </c>
      <c r="V891" t="s">
        <v>16834</v>
      </c>
      <c r="W891" t="s">
        <v>16835</v>
      </c>
      <c r="X891" t="s">
        <v>16836</v>
      </c>
      <c r="Y891" t="s">
        <v>16837</v>
      </c>
      <c r="Z891" t="s">
        <v>16838</v>
      </c>
      <c r="AA891" t="s">
        <v>16839</v>
      </c>
      <c r="AB891" t="s">
        <v>16840</v>
      </c>
      <c r="AC891" t="s">
        <v>16841</v>
      </c>
      <c r="AD891" t="s">
        <v>16842</v>
      </c>
      <c r="AE891" t="s">
        <v>16843</v>
      </c>
      <c r="AF891" t="s">
        <v>74</v>
      </c>
      <c r="AG891">
        <v>70</v>
      </c>
      <c r="AH891">
        <v>23</v>
      </c>
      <c r="AI891">
        <v>24</v>
      </c>
      <c r="AJ891">
        <v>0</v>
      </c>
      <c r="AK891">
        <v>30</v>
      </c>
      <c r="AL891" t="s">
        <v>16844</v>
      </c>
      <c r="AM891" t="s">
        <v>773</v>
      </c>
      <c r="AN891" t="s">
        <v>16845</v>
      </c>
      <c r="AO891" t="s">
        <v>16846</v>
      </c>
      <c r="AP891" t="s">
        <v>74</v>
      </c>
      <c r="AQ891" t="s">
        <v>74</v>
      </c>
      <c r="AR891" t="s">
        <v>16847</v>
      </c>
      <c r="AS891" t="s">
        <v>16848</v>
      </c>
      <c r="AT891" t="s">
        <v>16849</v>
      </c>
      <c r="AU891">
        <v>2016</v>
      </c>
      <c r="AV891">
        <v>68</v>
      </c>
      <c r="AW891" t="s">
        <v>74</v>
      </c>
      <c r="AX891" t="s">
        <v>74</v>
      </c>
      <c r="AY891" t="s">
        <v>74</v>
      </c>
      <c r="AZ891" t="s">
        <v>74</v>
      </c>
      <c r="BA891" t="s">
        <v>74</v>
      </c>
      <c r="BB891" t="s">
        <v>74</v>
      </c>
      <c r="BC891" t="s">
        <v>74</v>
      </c>
      <c r="BD891">
        <v>7</v>
      </c>
      <c r="BE891" t="s">
        <v>16850</v>
      </c>
      <c r="BF891" t="str">
        <f>HYPERLINK("http://dx.doi.org/10.1186/s40623-016-0382-8","http://dx.doi.org/10.1186/s40623-016-0382-8")</f>
        <v>http://dx.doi.org/10.1186/s40623-016-0382-8</v>
      </c>
      <c r="BG891" t="s">
        <v>74</v>
      </c>
      <c r="BH891" t="s">
        <v>74</v>
      </c>
      <c r="BI891">
        <v>13</v>
      </c>
      <c r="BJ891" t="s">
        <v>269</v>
      </c>
      <c r="BK891" t="s">
        <v>102</v>
      </c>
      <c r="BL891" t="s">
        <v>270</v>
      </c>
      <c r="BM891" t="s">
        <v>16851</v>
      </c>
      <c r="BN891" t="s">
        <v>74</v>
      </c>
      <c r="BO891" t="s">
        <v>2587</v>
      </c>
      <c r="BP891" t="s">
        <v>74</v>
      </c>
      <c r="BQ891" t="s">
        <v>74</v>
      </c>
      <c r="BR891" t="s">
        <v>106</v>
      </c>
      <c r="BS891" t="s">
        <v>16852</v>
      </c>
      <c r="BT891" t="str">
        <f>HYPERLINK("https%3A%2F%2Fwww.webofscience.com%2Fwos%2Fwoscc%2Ffull-record%2FWOS:000368387600001","View Full Record in Web of Science")</f>
        <v>View Full Record in Web of Science</v>
      </c>
    </row>
    <row r="892" spans="1:72" x14ac:dyDescent="0.15">
      <c r="A892" t="s">
        <v>72</v>
      </c>
      <c r="B892" t="s">
        <v>16853</v>
      </c>
      <c r="C892" t="s">
        <v>74</v>
      </c>
      <c r="D892" t="s">
        <v>74</v>
      </c>
      <c r="E892" t="s">
        <v>74</v>
      </c>
      <c r="F892" t="s">
        <v>16854</v>
      </c>
      <c r="G892" t="s">
        <v>74</v>
      </c>
      <c r="H892" t="s">
        <v>16855</v>
      </c>
      <c r="I892" t="s">
        <v>16856</v>
      </c>
      <c r="J892" t="s">
        <v>16857</v>
      </c>
      <c r="K892" t="s">
        <v>74</v>
      </c>
      <c r="L892" t="s">
        <v>74</v>
      </c>
      <c r="M892" t="s">
        <v>78</v>
      </c>
      <c r="N892" t="s">
        <v>79</v>
      </c>
      <c r="O892" t="s">
        <v>74</v>
      </c>
      <c r="P892" t="s">
        <v>74</v>
      </c>
      <c r="Q892" t="s">
        <v>74</v>
      </c>
      <c r="R892" t="s">
        <v>74</v>
      </c>
      <c r="S892" t="s">
        <v>74</v>
      </c>
      <c r="T892" t="s">
        <v>74</v>
      </c>
      <c r="U892" t="s">
        <v>16858</v>
      </c>
      <c r="V892" t="s">
        <v>16859</v>
      </c>
      <c r="W892" t="s">
        <v>16860</v>
      </c>
      <c r="X892" t="s">
        <v>16861</v>
      </c>
      <c r="Y892" t="s">
        <v>16862</v>
      </c>
      <c r="Z892" t="s">
        <v>16863</v>
      </c>
      <c r="AA892" t="s">
        <v>16864</v>
      </c>
      <c r="AB892" t="s">
        <v>16865</v>
      </c>
      <c r="AC892" t="s">
        <v>16866</v>
      </c>
      <c r="AD892" t="s">
        <v>16867</v>
      </c>
      <c r="AE892" t="s">
        <v>16868</v>
      </c>
      <c r="AF892" t="s">
        <v>74</v>
      </c>
      <c r="AG892">
        <v>27</v>
      </c>
      <c r="AH892">
        <v>554</v>
      </c>
      <c r="AI892">
        <v>594</v>
      </c>
      <c r="AJ892">
        <v>2</v>
      </c>
      <c r="AK892">
        <v>38</v>
      </c>
      <c r="AL892" t="s">
        <v>5321</v>
      </c>
      <c r="AM892" t="s">
        <v>5322</v>
      </c>
      <c r="AN892" t="s">
        <v>5323</v>
      </c>
      <c r="AO892" t="s">
        <v>16869</v>
      </c>
      <c r="AP892" t="s">
        <v>16870</v>
      </c>
      <c r="AQ892" t="s">
        <v>74</v>
      </c>
      <c r="AR892" t="s">
        <v>16871</v>
      </c>
      <c r="AS892" t="s">
        <v>16872</v>
      </c>
      <c r="AT892" t="s">
        <v>16873</v>
      </c>
      <c r="AU892">
        <v>2016</v>
      </c>
      <c r="AV892">
        <v>116</v>
      </c>
      <c r="AW892">
        <v>3</v>
      </c>
      <c r="AX892" t="s">
        <v>74</v>
      </c>
      <c r="AY892" t="s">
        <v>74</v>
      </c>
      <c r="AZ892" t="s">
        <v>74</v>
      </c>
      <c r="BA892" t="s">
        <v>74</v>
      </c>
      <c r="BB892" t="s">
        <v>74</v>
      </c>
      <c r="BC892" t="s">
        <v>74</v>
      </c>
      <c r="BD892">
        <v>31302</v>
      </c>
      <c r="BE892" t="s">
        <v>16874</v>
      </c>
      <c r="BF892" t="str">
        <f>HYPERLINK("http://dx.doi.org/10.1103/PhysRevLett.116.031302","http://dx.doi.org/10.1103/PhysRevLett.116.031302")</f>
        <v>http://dx.doi.org/10.1103/PhysRevLett.116.031302</v>
      </c>
      <c r="BG892" t="s">
        <v>74</v>
      </c>
      <c r="BH892" t="s">
        <v>74</v>
      </c>
      <c r="BI892">
        <v>9</v>
      </c>
      <c r="BJ892" t="s">
        <v>14077</v>
      </c>
      <c r="BK892" t="s">
        <v>102</v>
      </c>
      <c r="BL892" t="s">
        <v>14078</v>
      </c>
      <c r="BM892" t="s">
        <v>16875</v>
      </c>
      <c r="BN892">
        <v>26849583</v>
      </c>
      <c r="BO892" t="s">
        <v>403</v>
      </c>
      <c r="BP892" t="s">
        <v>1046</v>
      </c>
      <c r="BQ892" t="s">
        <v>1047</v>
      </c>
      <c r="BR892" t="s">
        <v>106</v>
      </c>
      <c r="BS892" t="s">
        <v>16876</v>
      </c>
      <c r="BT892" t="str">
        <f>HYPERLINK("https%3A%2F%2Fwww.webofscience.com%2Fwos%2Fwoscc%2Ffull-record%2FWOS:000368523400001","View Full Record in Web of Science")</f>
        <v>View Full Record in Web of Science</v>
      </c>
    </row>
    <row r="893" spans="1:72" x14ac:dyDescent="0.15">
      <c r="A893" t="s">
        <v>72</v>
      </c>
      <c r="B893" t="s">
        <v>16877</v>
      </c>
      <c r="C893" t="s">
        <v>74</v>
      </c>
      <c r="D893" t="s">
        <v>74</v>
      </c>
      <c r="E893" t="s">
        <v>74</v>
      </c>
      <c r="F893" t="s">
        <v>16878</v>
      </c>
      <c r="G893" t="s">
        <v>74</v>
      </c>
      <c r="H893" t="s">
        <v>74</v>
      </c>
      <c r="I893" t="s">
        <v>16879</v>
      </c>
      <c r="J893" t="s">
        <v>1387</v>
      </c>
      <c r="K893" t="s">
        <v>74</v>
      </c>
      <c r="L893" t="s">
        <v>74</v>
      </c>
      <c r="M893" t="s">
        <v>78</v>
      </c>
      <c r="N893" t="s">
        <v>79</v>
      </c>
      <c r="O893" t="s">
        <v>74</v>
      </c>
      <c r="P893" t="s">
        <v>74</v>
      </c>
      <c r="Q893" t="s">
        <v>74</v>
      </c>
      <c r="R893" t="s">
        <v>74</v>
      </c>
      <c r="S893" t="s">
        <v>74</v>
      </c>
      <c r="T893" t="s">
        <v>16880</v>
      </c>
      <c r="U893" t="s">
        <v>16881</v>
      </c>
      <c r="V893" t="s">
        <v>16882</v>
      </c>
      <c r="W893" t="s">
        <v>16883</v>
      </c>
      <c r="X893" t="s">
        <v>16884</v>
      </c>
      <c r="Y893" t="s">
        <v>16885</v>
      </c>
      <c r="Z893" t="s">
        <v>16886</v>
      </c>
      <c r="AA893" t="s">
        <v>74</v>
      </c>
      <c r="AB893" t="s">
        <v>16887</v>
      </c>
      <c r="AC893" t="s">
        <v>16888</v>
      </c>
      <c r="AD893" t="s">
        <v>16889</v>
      </c>
      <c r="AE893" t="s">
        <v>16890</v>
      </c>
      <c r="AF893" t="s">
        <v>74</v>
      </c>
      <c r="AG893">
        <v>60</v>
      </c>
      <c r="AH893">
        <v>6</v>
      </c>
      <c r="AI893">
        <v>7</v>
      </c>
      <c r="AJ893">
        <v>0</v>
      </c>
      <c r="AK893">
        <v>46</v>
      </c>
      <c r="AL893" t="s">
        <v>1400</v>
      </c>
      <c r="AM893" t="s">
        <v>1401</v>
      </c>
      <c r="AN893" t="s">
        <v>1402</v>
      </c>
      <c r="AO893" t="s">
        <v>1403</v>
      </c>
      <c r="AP893" t="s">
        <v>1404</v>
      </c>
      <c r="AQ893" t="s">
        <v>74</v>
      </c>
      <c r="AR893" t="s">
        <v>1405</v>
      </c>
      <c r="AS893" t="s">
        <v>1406</v>
      </c>
      <c r="AT893" t="s">
        <v>16891</v>
      </c>
      <c r="AU893">
        <v>2016</v>
      </c>
      <c r="AV893">
        <v>542</v>
      </c>
      <c r="AW893" t="s">
        <v>74</v>
      </c>
      <c r="AX893" t="s">
        <v>74</v>
      </c>
      <c r="AY893" t="s">
        <v>74</v>
      </c>
      <c r="AZ893" t="s">
        <v>74</v>
      </c>
      <c r="BA893" t="s">
        <v>74</v>
      </c>
      <c r="BB893">
        <v>235</v>
      </c>
      <c r="BC893">
        <v>249</v>
      </c>
      <c r="BD893" t="s">
        <v>74</v>
      </c>
      <c r="BE893" t="s">
        <v>16892</v>
      </c>
      <c r="BF893" t="str">
        <f>HYPERLINK("http://dx.doi.org/10.3354/meps11536","http://dx.doi.org/10.3354/meps11536")</f>
        <v>http://dx.doi.org/10.3354/meps11536</v>
      </c>
      <c r="BG893" t="s">
        <v>74</v>
      </c>
      <c r="BH893" t="s">
        <v>74</v>
      </c>
      <c r="BI893">
        <v>15</v>
      </c>
      <c r="BJ893" t="s">
        <v>1409</v>
      </c>
      <c r="BK893" t="s">
        <v>102</v>
      </c>
      <c r="BL893" t="s">
        <v>1410</v>
      </c>
      <c r="BM893" t="s">
        <v>16893</v>
      </c>
      <c r="BN893" t="s">
        <v>74</v>
      </c>
      <c r="BO893" t="s">
        <v>74</v>
      </c>
      <c r="BP893" t="s">
        <v>74</v>
      </c>
      <c r="BQ893" t="s">
        <v>74</v>
      </c>
      <c r="BR893" t="s">
        <v>106</v>
      </c>
      <c r="BS893" t="s">
        <v>16894</v>
      </c>
      <c r="BT893" t="str">
        <f>HYPERLINK("https%3A%2F%2Fwww.webofscience.com%2Fwos%2Fwoscc%2Ffull-record%2FWOS:000368922900018","View Full Record in Web of Science")</f>
        <v>View Full Record in Web of Science</v>
      </c>
    </row>
    <row r="894" spans="1:72" x14ac:dyDescent="0.15">
      <c r="A894" t="s">
        <v>72</v>
      </c>
      <c r="B894" t="s">
        <v>16895</v>
      </c>
      <c r="C894" t="s">
        <v>74</v>
      </c>
      <c r="D894" t="s">
        <v>74</v>
      </c>
      <c r="E894" t="s">
        <v>74</v>
      </c>
      <c r="F894" t="s">
        <v>16896</v>
      </c>
      <c r="G894" t="s">
        <v>74</v>
      </c>
      <c r="H894" t="s">
        <v>74</v>
      </c>
      <c r="I894" t="s">
        <v>16897</v>
      </c>
      <c r="J894" t="s">
        <v>1387</v>
      </c>
      <c r="K894" t="s">
        <v>74</v>
      </c>
      <c r="L894" t="s">
        <v>74</v>
      </c>
      <c r="M894" t="s">
        <v>78</v>
      </c>
      <c r="N894" t="s">
        <v>79</v>
      </c>
      <c r="O894" t="s">
        <v>74</v>
      </c>
      <c r="P894" t="s">
        <v>74</v>
      </c>
      <c r="Q894" t="s">
        <v>74</v>
      </c>
      <c r="R894" t="s">
        <v>74</v>
      </c>
      <c r="S894" t="s">
        <v>74</v>
      </c>
      <c r="T894" t="s">
        <v>16898</v>
      </c>
      <c r="U894" t="s">
        <v>16899</v>
      </c>
      <c r="V894" t="s">
        <v>16900</v>
      </c>
      <c r="W894" t="s">
        <v>16901</v>
      </c>
      <c r="X894" t="s">
        <v>16902</v>
      </c>
      <c r="Y894" t="s">
        <v>16903</v>
      </c>
      <c r="Z894" t="s">
        <v>16904</v>
      </c>
      <c r="AA894" t="s">
        <v>16905</v>
      </c>
      <c r="AB894" t="s">
        <v>16906</v>
      </c>
      <c r="AC894" t="s">
        <v>16907</v>
      </c>
      <c r="AD894" t="s">
        <v>16908</v>
      </c>
      <c r="AE894" t="s">
        <v>16909</v>
      </c>
      <c r="AF894" t="s">
        <v>74</v>
      </c>
      <c r="AG894">
        <v>52</v>
      </c>
      <c r="AH894">
        <v>15</v>
      </c>
      <c r="AI894">
        <v>15</v>
      </c>
      <c r="AJ894">
        <v>1</v>
      </c>
      <c r="AK894">
        <v>48</v>
      </c>
      <c r="AL894" t="s">
        <v>1400</v>
      </c>
      <c r="AM894" t="s">
        <v>1401</v>
      </c>
      <c r="AN894" t="s">
        <v>1402</v>
      </c>
      <c r="AO894" t="s">
        <v>1403</v>
      </c>
      <c r="AP894" t="s">
        <v>1404</v>
      </c>
      <c r="AQ894" t="s">
        <v>74</v>
      </c>
      <c r="AR894" t="s">
        <v>1405</v>
      </c>
      <c r="AS894" t="s">
        <v>1406</v>
      </c>
      <c r="AT894" t="s">
        <v>16891</v>
      </c>
      <c r="AU894">
        <v>2016</v>
      </c>
      <c r="AV894">
        <v>542</v>
      </c>
      <c r="AW894" t="s">
        <v>74</v>
      </c>
      <c r="AX894" t="s">
        <v>74</v>
      </c>
      <c r="AY894" t="s">
        <v>74</v>
      </c>
      <c r="AZ894" t="s">
        <v>74</v>
      </c>
      <c r="BA894" t="s">
        <v>74</v>
      </c>
      <c r="BB894">
        <v>97</v>
      </c>
      <c r="BC894">
        <v>108</v>
      </c>
      <c r="BD894" t="s">
        <v>74</v>
      </c>
      <c r="BE894" t="s">
        <v>16910</v>
      </c>
      <c r="BF894" t="str">
        <f>HYPERLINK("http://dx.doi.org/10.3354/meps11531","http://dx.doi.org/10.3354/meps11531")</f>
        <v>http://dx.doi.org/10.3354/meps11531</v>
      </c>
      <c r="BG894" t="s">
        <v>74</v>
      </c>
      <c r="BH894" t="s">
        <v>74</v>
      </c>
      <c r="BI894">
        <v>12</v>
      </c>
      <c r="BJ894" t="s">
        <v>1409</v>
      </c>
      <c r="BK894" t="s">
        <v>102</v>
      </c>
      <c r="BL894" t="s">
        <v>1410</v>
      </c>
      <c r="BM894" t="s">
        <v>16893</v>
      </c>
      <c r="BN894" t="s">
        <v>74</v>
      </c>
      <c r="BO894" t="s">
        <v>1045</v>
      </c>
      <c r="BP894" t="s">
        <v>74</v>
      </c>
      <c r="BQ894" t="s">
        <v>74</v>
      </c>
      <c r="BR894" t="s">
        <v>106</v>
      </c>
      <c r="BS894" t="s">
        <v>16911</v>
      </c>
      <c r="BT894" t="str">
        <f>HYPERLINK("https%3A%2F%2Fwww.webofscience.com%2Fwos%2Fwoscc%2Ffull-record%2FWOS:000368922900008","View Full Record in Web of Science")</f>
        <v>View Full Record in Web of Science</v>
      </c>
    </row>
    <row r="895" spans="1:72" x14ac:dyDescent="0.15">
      <c r="A895" t="s">
        <v>72</v>
      </c>
      <c r="B895" t="s">
        <v>16912</v>
      </c>
      <c r="C895" t="s">
        <v>74</v>
      </c>
      <c r="D895" t="s">
        <v>74</v>
      </c>
      <c r="E895" t="s">
        <v>74</v>
      </c>
      <c r="F895" t="s">
        <v>16913</v>
      </c>
      <c r="G895" t="s">
        <v>74</v>
      </c>
      <c r="H895" t="s">
        <v>74</v>
      </c>
      <c r="I895" t="s">
        <v>16914</v>
      </c>
      <c r="J895" t="s">
        <v>1220</v>
      </c>
      <c r="K895" t="s">
        <v>74</v>
      </c>
      <c r="L895" t="s">
        <v>74</v>
      </c>
      <c r="M895" t="s">
        <v>78</v>
      </c>
      <c r="N895" t="s">
        <v>79</v>
      </c>
      <c r="O895" t="s">
        <v>74</v>
      </c>
      <c r="P895" t="s">
        <v>74</v>
      </c>
      <c r="Q895" t="s">
        <v>74</v>
      </c>
      <c r="R895" t="s">
        <v>74</v>
      </c>
      <c r="S895" t="s">
        <v>74</v>
      </c>
      <c r="T895" t="s">
        <v>16915</v>
      </c>
      <c r="U895" t="s">
        <v>16916</v>
      </c>
      <c r="V895" t="s">
        <v>16917</v>
      </c>
      <c r="W895" t="s">
        <v>16918</v>
      </c>
      <c r="X895" t="s">
        <v>16919</v>
      </c>
      <c r="Y895" t="s">
        <v>16920</v>
      </c>
      <c r="Z895" t="s">
        <v>16921</v>
      </c>
      <c r="AA895" t="s">
        <v>16922</v>
      </c>
      <c r="AB895" t="s">
        <v>16923</v>
      </c>
      <c r="AC895" t="s">
        <v>16924</v>
      </c>
      <c r="AD895" t="s">
        <v>16925</v>
      </c>
      <c r="AE895" t="s">
        <v>16926</v>
      </c>
      <c r="AF895" t="s">
        <v>74</v>
      </c>
      <c r="AG895">
        <v>57</v>
      </c>
      <c r="AH895">
        <v>51</v>
      </c>
      <c r="AI895">
        <v>54</v>
      </c>
      <c r="AJ895">
        <v>1</v>
      </c>
      <c r="AK895">
        <v>46</v>
      </c>
      <c r="AL895" t="s">
        <v>1230</v>
      </c>
      <c r="AM895" t="s">
        <v>93</v>
      </c>
      <c r="AN895" t="s">
        <v>1231</v>
      </c>
      <c r="AO895" t="s">
        <v>1232</v>
      </c>
      <c r="AP895" t="s">
        <v>74</v>
      </c>
      <c r="AQ895" t="s">
        <v>74</v>
      </c>
      <c r="AR895" t="s">
        <v>1234</v>
      </c>
      <c r="AS895" t="s">
        <v>1235</v>
      </c>
      <c r="AT895" t="s">
        <v>16891</v>
      </c>
      <c r="AU895">
        <v>2016</v>
      </c>
      <c r="AV895">
        <v>113</v>
      </c>
      <c r="AW895">
        <v>3</v>
      </c>
      <c r="AX895" t="s">
        <v>74</v>
      </c>
      <c r="AY895" t="s">
        <v>74</v>
      </c>
      <c r="AZ895" t="s">
        <v>74</v>
      </c>
      <c r="BA895" t="s">
        <v>74</v>
      </c>
      <c r="BB895">
        <v>514</v>
      </c>
      <c r="BC895">
        <v>519</v>
      </c>
      <c r="BD895" t="s">
        <v>74</v>
      </c>
      <c r="BE895" t="s">
        <v>16927</v>
      </c>
      <c r="BF895" t="str">
        <f>HYPERLINK("http://dx.doi.org/10.1073/pnas.1511252113","http://dx.doi.org/10.1073/pnas.1511252113")</f>
        <v>http://dx.doi.org/10.1073/pnas.1511252113</v>
      </c>
      <c r="BG895" t="s">
        <v>74</v>
      </c>
      <c r="BH895" t="s">
        <v>74</v>
      </c>
      <c r="BI895">
        <v>6</v>
      </c>
      <c r="BJ895" t="s">
        <v>753</v>
      </c>
      <c r="BK895" t="s">
        <v>102</v>
      </c>
      <c r="BL895" t="s">
        <v>754</v>
      </c>
      <c r="BM895" t="s">
        <v>16928</v>
      </c>
      <c r="BN895">
        <v>26729858</v>
      </c>
      <c r="BO895" t="s">
        <v>16929</v>
      </c>
      <c r="BP895" t="s">
        <v>74</v>
      </c>
      <c r="BQ895" t="s">
        <v>74</v>
      </c>
      <c r="BR895" t="s">
        <v>106</v>
      </c>
      <c r="BS895" t="s">
        <v>16930</v>
      </c>
      <c r="BT895" t="str">
        <f>HYPERLINK("https%3A%2F%2Fwww.webofscience.com%2Fwos%2Fwoscc%2Ffull-record%2FWOS:000368458800033","View Full Record in Web of Science")</f>
        <v>View Full Record in Web of Science</v>
      </c>
    </row>
    <row r="896" spans="1:72" x14ac:dyDescent="0.15">
      <c r="A896" t="s">
        <v>72</v>
      </c>
      <c r="B896" t="s">
        <v>16931</v>
      </c>
      <c r="C896" t="s">
        <v>74</v>
      </c>
      <c r="D896" t="s">
        <v>74</v>
      </c>
      <c r="E896" t="s">
        <v>74</v>
      </c>
      <c r="F896" t="s">
        <v>16932</v>
      </c>
      <c r="G896" t="s">
        <v>74</v>
      </c>
      <c r="H896" t="s">
        <v>74</v>
      </c>
      <c r="I896" t="s">
        <v>16933</v>
      </c>
      <c r="J896" t="s">
        <v>1350</v>
      </c>
      <c r="K896" t="s">
        <v>74</v>
      </c>
      <c r="L896" t="s">
        <v>74</v>
      </c>
      <c r="M896" t="s">
        <v>78</v>
      </c>
      <c r="N896" t="s">
        <v>79</v>
      </c>
      <c r="O896" t="s">
        <v>74</v>
      </c>
      <c r="P896" t="s">
        <v>74</v>
      </c>
      <c r="Q896" t="s">
        <v>74</v>
      </c>
      <c r="R896" t="s">
        <v>74</v>
      </c>
      <c r="S896" t="s">
        <v>74</v>
      </c>
      <c r="T896" t="s">
        <v>74</v>
      </c>
      <c r="U896" t="s">
        <v>16934</v>
      </c>
      <c r="V896" t="s">
        <v>16935</v>
      </c>
      <c r="W896" t="s">
        <v>16936</v>
      </c>
      <c r="X896" t="s">
        <v>16937</v>
      </c>
      <c r="Y896" t="s">
        <v>16938</v>
      </c>
      <c r="Z896" t="s">
        <v>16939</v>
      </c>
      <c r="AA896" t="s">
        <v>74</v>
      </c>
      <c r="AB896" t="s">
        <v>15003</v>
      </c>
      <c r="AC896" t="s">
        <v>16940</v>
      </c>
      <c r="AD896" t="s">
        <v>16941</v>
      </c>
      <c r="AE896" t="s">
        <v>16942</v>
      </c>
      <c r="AF896" t="s">
        <v>74</v>
      </c>
      <c r="AG896">
        <v>37</v>
      </c>
      <c r="AH896">
        <v>34</v>
      </c>
      <c r="AI896">
        <v>38</v>
      </c>
      <c r="AJ896">
        <v>4</v>
      </c>
      <c r="AK896">
        <v>18</v>
      </c>
      <c r="AL896" t="s">
        <v>746</v>
      </c>
      <c r="AM896" t="s">
        <v>747</v>
      </c>
      <c r="AN896" t="s">
        <v>748</v>
      </c>
      <c r="AO896" t="s">
        <v>1362</v>
      </c>
      <c r="AP896" t="s">
        <v>74</v>
      </c>
      <c r="AQ896" t="s">
        <v>74</v>
      </c>
      <c r="AR896" t="s">
        <v>1363</v>
      </c>
      <c r="AS896" t="s">
        <v>1364</v>
      </c>
      <c r="AT896" t="s">
        <v>16943</v>
      </c>
      <c r="AU896">
        <v>2016</v>
      </c>
      <c r="AV896">
        <v>6</v>
      </c>
      <c r="AW896" t="s">
        <v>74</v>
      </c>
      <c r="AX896" t="s">
        <v>74</v>
      </c>
      <c r="AY896" t="s">
        <v>74</v>
      </c>
      <c r="AZ896" t="s">
        <v>74</v>
      </c>
      <c r="BA896" t="s">
        <v>74</v>
      </c>
      <c r="BB896" t="s">
        <v>74</v>
      </c>
      <c r="BC896" t="s">
        <v>74</v>
      </c>
      <c r="BD896">
        <v>19498</v>
      </c>
      <c r="BE896" t="s">
        <v>16944</v>
      </c>
      <c r="BF896" t="str">
        <f>HYPERLINK("http://dx.doi.org/10.1038/srep19498","http://dx.doi.org/10.1038/srep19498")</f>
        <v>http://dx.doi.org/10.1038/srep19498</v>
      </c>
      <c r="BG896" t="s">
        <v>74</v>
      </c>
      <c r="BH896" t="s">
        <v>74</v>
      </c>
      <c r="BI896">
        <v>13</v>
      </c>
      <c r="BJ896" t="s">
        <v>753</v>
      </c>
      <c r="BK896" t="s">
        <v>102</v>
      </c>
      <c r="BL896" t="s">
        <v>754</v>
      </c>
      <c r="BM896" t="s">
        <v>16945</v>
      </c>
      <c r="BN896">
        <v>26775680</v>
      </c>
      <c r="BO896" t="s">
        <v>2176</v>
      </c>
      <c r="BP896" t="s">
        <v>74</v>
      </c>
      <c r="BQ896" t="s">
        <v>74</v>
      </c>
      <c r="BR896" t="s">
        <v>106</v>
      </c>
      <c r="BS896" t="s">
        <v>16946</v>
      </c>
      <c r="BT896" t="str">
        <f>HYPERLINK("https%3A%2F%2Fwww.webofscience.com%2Fwos%2Fwoscc%2Ffull-record%2FWOS:000368197600001","View Full Record in Web of Science")</f>
        <v>View Full Record in Web of Science</v>
      </c>
    </row>
    <row r="897" spans="1:72" x14ac:dyDescent="0.15">
      <c r="A897" t="s">
        <v>72</v>
      </c>
      <c r="B897" t="s">
        <v>16947</v>
      </c>
      <c r="C897" t="s">
        <v>74</v>
      </c>
      <c r="D897" t="s">
        <v>74</v>
      </c>
      <c r="E897" t="s">
        <v>74</v>
      </c>
      <c r="F897" t="s">
        <v>16948</v>
      </c>
      <c r="G897" t="s">
        <v>74</v>
      </c>
      <c r="H897" t="s">
        <v>74</v>
      </c>
      <c r="I897" t="s">
        <v>16949</v>
      </c>
      <c r="J897" t="s">
        <v>1288</v>
      </c>
      <c r="K897" t="s">
        <v>74</v>
      </c>
      <c r="L897" t="s">
        <v>74</v>
      </c>
      <c r="M897" t="s">
        <v>78</v>
      </c>
      <c r="N897" t="s">
        <v>79</v>
      </c>
      <c r="O897" t="s">
        <v>74</v>
      </c>
      <c r="P897" t="s">
        <v>74</v>
      </c>
      <c r="Q897" t="s">
        <v>74</v>
      </c>
      <c r="R897" t="s">
        <v>74</v>
      </c>
      <c r="S897" t="s">
        <v>74</v>
      </c>
      <c r="T897" t="s">
        <v>16950</v>
      </c>
      <c r="U897" t="s">
        <v>16951</v>
      </c>
      <c r="V897" t="s">
        <v>16952</v>
      </c>
      <c r="W897" t="s">
        <v>16953</v>
      </c>
      <c r="X897" t="s">
        <v>16954</v>
      </c>
      <c r="Y897" t="s">
        <v>16955</v>
      </c>
      <c r="Z897" t="s">
        <v>16956</v>
      </c>
      <c r="AA897" t="s">
        <v>74</v>
      </c>
      <c r="AB897" t="s">
        <v>16957</v>
      </c>
      <c r="AC897" t="s">
        <v>16958</v>
      </c>
      <c r="AD897" t="s">
        <v>16959</v>
      </c>
      <c r="AE897" t="s">
        <v>16960</v>
      </c>
      <c r="AF897" t="s">
        <v>74</v>
      </c>
      <c r="AG897">
        <v>33</v>
      </c>
      <c r="AH897">
        <v>23</v>
      </c>
      <c r="AI897">
        <v>30</v>
      </c>
      <c r="AJ897">
        <v>1</v>
      </c>
      <c r="AK897">
        <v>30</v>
      </c>
      <c r="AL897" t="s">
        <v>92</v>
      </c>
      <c r="AM897" t="s">
        <v>93</v>
      </c>
      <c r="AN897" t="s">
        <v>94</v>
      </c>
      <c r="AO897" t="s">
        <v>1296</v>
      </c>
      <c r="AP897" t="s">
        <v>1297</v>
      </c>
      <c r="AQ897" t="s">
        <v>74</v>
      </c>
      <c r="AR897" t="s">
        <v>1298</v>
      </c>
      <c r="AS897" t="s">
        <v>1299</v>
      </c>
      <c r="AT897" t="s">
        <v>16961</v>
      </c>
      <c r="AU897">
        <v>2016</v>
      </c>
      <c r="AV897">
        <v>43</v>
      </c>
      <c r="AW897">
        <v>1</v>
      </c>
      <c r="AX897" t="s">
        <v>74</v>
      </c>
      <c r="AY897" t="s">
        <v>74</v>
      </c>
      <c r="AZ897" t="s">
        <v>74</v>
      </c>
      <c r="BA897" t="s">
        <v>74</v>
      </c>
      <c r="BB897">
        <v>214</v>
      </c>
      <c r="BC897">
        <v>221</v>
      </c>
      <c r="BD897" t="s">
        <v>74</v>
      </c>
      <c r="BE897" t="s">
        <v>16962</v>
      </c>
      <c r="BF897" t="str">
        <f>HYPERLINK("http://dx.doi.org/10.1002/2015GL066854","http://dx.doi.org/10.1002/2015GL066854")</f>
        <v>http://dx.doi.org/10.1002/2015GL066854</v>
      </c>
      <c r="BG897" t="s">
        <v>74</v>
      </c>
      <c r="BH897" t="s">
        <v>74</v>
      </c>
      <c r="BI897">
        <v>8</v>
      </c>
      <c r="BJ897" t="s">
        <v>269</v>
      </c>
      <c r="BK897" t="s">
        <v>102</v>
      </c>
      <c r="BL897" t="s">
        <v>270</v>
      </c>
      <c r="BM897" t="s">
        <v>16963</v>
      </c>
      <c r="BN897" t="s">
        <v>74</v>
      </c>
      <c r="BO897" t="s">
        <v>1143</v>
      </c>
      <c r="BP897" t="s">
        <v>74</v>
      </c>
      <c r="BQ897" t="s">
        <v>74</v>
      </c>
      <c r="BR897" t="s">
        <v>106</v>
      </c>
      <c r="BS897" t="s">
        <v>16964</v>
      </c>
      <c r="BT897" t="str">
        <f>HYPERLINK("https%3A%2F%2Fwww.webofscience.com%2Fwos%2Fwoscc%2Ffull-record%2FWOS:000369014100026","View Full Record in Web of Science")</f>
        <v>View Full Record in Web of Science</v>
      </c>
    </row>
    <row r="898" spans="1:72" x14ac:dyDescent="0.15">
      <c r="A898" t="s">
        <v>72</v>
      </c>
      <c r="B898" t="s">
        <v>16965</v>
      </c>
      <c r="C898" t="s">
        <v>74</v>
      </c>
      <c r="D898" t="s">
        <v>74</v>
      </c>
      <c r="E898" t="s">
        <v>74</v>
      </c>
      <c r="F898" t="s">
        <v>16966</v>
      </c>
      <c r="G898" t="s">
        <v>74</v>
      </c>
      <c r="H898" t="s">
        <v>74</v>
      </c>
      <c r="I898" t="s">
        <v>16967</v>
      </c>
      <c r="J898" t="s">
        <v>1288</v>
      </c>
      <c r="K898" t="s">
        <v>74</v>
      </c>
      <c r="L898" t="s">
        <v>74</v>
      </c>
      <c r="M898" t="s">
        <v>78</v>
      </c>
      <c r="N898" t="s">
        <v>79</v>
      </c>
      <c r="O898" t="s">
        <v>74</v>
      </c>
      <c r="P898" t="s">
        <v>74</v>
      </c>
      <c r="Q898" t="s">
        <v>74</v>
      </c>
      <c r="R898" t="s">
        <v>74</v>
      </c>
      <c r="S898" t="s">
        <v>74</v>
      </c>
      <c r="T898" t="s">
        <v>16968</v>
      </c>
      <c r="U898" t="s">
        <v>16969</v>
      </c>
      <c r="V898" t="s">
        <v>16970</v>
      </c>
      <c r="W898" t="s">
        <v>16971</v>
      </c>
      <c r="X898" t="s">
        <v>16972</v>
      </c>
      <c r="Y898" t="s">
        <v>16973</v>
      </c>
      <c r="Z898" t="s">
        <v>16974</v>
      </c>
      <c r="AA898" t="s">
        <v>16975</v>
      </c>
      <c r="AB898" t="s">
        <v>16976</v>
      </c>
      <c r="AC898" t="s">
        <v>16977</v>
      </c>
      <c r="AD898" t="s">
        <v>16978</v>
      </c>
      <c r="AE898" t="s">
        <v>16979</v>
      </c>
      <c r="AF898" t="s">
        <v>74</v>
      </c>
      <c r="AG898">
        <v>34</v>
      </c>
      <c r="AH898">
        <v>21</v>
      </c>
      <c r="AI898">
        <v>21</v>
      </c>
      <c r="AJ898">
        <v>0</v>
      </c>
      <c r="AK898">
        <v>6</v>
      </c>
      <c r="AL898" t="s">
        <v>92</v>
      </c>
      <c r="AM898" t="s">
        <v>93</v>
      </c>
      <c r="AN898" t="s">
        <v>94</v>
      </c>
      <c r="AO898" t="s">
        <v>1296</v>
      </c>
      <c r="AP898" t="s">
        <v>1297</v>
      </c>
      <c r="AQ898" t="s">
        <v>74</v>
      </c>
      <c r="AR898" t="s">
        <v>1298</v>
      </c>
      <c r="AS898" t="s">
        <v>1299</v>
      </c>
      <c r="AT898" t="s">
        <v>16961</v>
      </c>
      <c r="AU898">
        <v>2016</v>
      </c>
      <c r="AV898">
        <v>43</v>
      </c>
      <c r="AW898">
        <v>1</v>
      </c>
      <c r="AX898" t="s">
        <v>74</v>
      </c>
      <c r="AY898" t="s">
        <v>74</v>
      </c>
      <c r="AZ898" t="s">
        <v>74</v>
      </c>
      <c r="BA898" t="s">
        <v>74</v>
      </c>
      <c r="BB898">
        <v>222</v>
      </c>
      <c r="BC898">
        <v>231</v>
      </c>
      <c r="BD898" t="s">
        <v>74</v>
      </c>
      <c r="BE898" t="s">
        <v>16980</v>
      </c>
      <c r="BF898" t="str">
        <f>HYPERLINK("http://dx.doi.org/10.1002/2015GL065074","http://dx.doi.org/10.1002/2015GL065074")</f>
        <v>http://dx.doi.org/10.1002/2015GL065074</v>
      </c>
      <c r="BG898" t="s">
        <v>74</v>
      </c>
      <c r="BH898" t="s">
        <v>74</v>
      </c>
      <c r="BI898">
        <v>10</v>
      </c>
      <c r="BJ898" t="s">
        <v>269</v>
      </c>
      <c r="BK898" t="s">
        <v>102</v>
      </c>
      <c r="BL898" t="s">
        <v>270</v>
      </c>
      <c r="BM898" t="s">
        <v>16963</v>
      </c>
      <c r="BN898" t="s">
        <v>74</v>
      </c>
      <c r="BO898" t="s">
        <v>1191</v>
      </c>
      <c r="BP898" t="s">
        <v>74</v>
      </c>
      <c r="BQ898" t="s">
        <v>74</v>
      </c>
      <c r="BR898" t="s">
        <v>106</v>
      </c>
      <c r="BS898" t="s">
        <v>16981</v>
      </c>
      <c r="BT898" t="str">
        <f>HYPERLINK("https%3A%2F%2Fwww.webofscience.com%2Fwos%2Fwoscc%2Ffull-record%2FWOS:000369014100027","View Full Record in Web of Science")</f>
        <v>View Full Record in Web of Science</v>
      </c>
    </row>
    <row r="899" spans="1:72" x14ac:dyDescent="0.15">
      <c r="A899" t="s">
        <v>72</v>
      </c>
      <c r="B899" t="s">
        <v>16982</v>
      </c>
      <c r="C899" t="s">
        <v>74</v>
      </c>
      <c r="D899" t="s">
        <v>74</v>
      </c>
      <c r="E899" t="s">
        <v>74</v>
      </c>
      <c r="F899" t="s">
        <v>16983</v>
      </c>
      <c r="G899" t="s">
        <v>74</v>
      </c>
      <c r="H899" t="s">
        <v>74</v>
      </c>
      <c r="I899" t="s">
        <v>16984</v>
      </c>
      <c r="J899" t="s">
        <v>1288</v>
      </c>
      <c r="K899" t="s">
        <v>74</v>
      </c>
      <c r="L899" t="s">
        <v>74</v>
      </c>
      <c r="M899" t="s">
        <v>78</v>
      </c>
      <c r="N899" t="s">
        <v>79</v>
      </c>
      <c r="O899" t="s">
        <v>74</v>
      </c>
      <c r="P899" t="s">
        <v>74</v>
      </c>
      <c r="Q899" t="s">
        <v>74</v>
      </c>
      <c r="R899" t="s">
        <v>74</v>
      </c>
      <c r="S899" t="s">
        <v>74</v>
      </c>
      <c r="T899" t="s">
        <v>16985</v>
      </c>
      <c r="U899" t="s">
        <v>16986</v>
      </c>
      <c r="V899" t="s">
        <v>16987</v>
      </c>
      <c r="W899" t="s">
        <v>16988</v>
      </c>
      <c r="X899" t="s">
        <v>16989</v>
      </c>
      <c r="Y899" t="s">
        <v>16990</v>
      </c>
      <c r="Z899" t="s">
        <v>16991</v>
      </c>
      <c r="AA899" t="s">
        <v>16992</v>
      </c>
      <c r="AB899" t="s">
        <v>16993</v>
      </c>
      <c r="AC899" t="s">
        <v>16994</v>
      </c>
      <c r="AD899" t="s">
        <v>16995</v>
      </c>
      <c r="AE899" t="s">
        <v>16996</v>
      </c>
      <c r="AF899" t="s">
        <v>74</v>
      </c>
      <c r="AG899">
        <v>41</v>
      </c>
      <c r="AH899">
        <v>29</v>
      </c>
      <c r="AI899">
        <v>29</v>
      </c>
      <c r="AJ899">
        <v>0</v>
      </c>
      <c r="AK899">
        <v>20</v>
      </c>
      <c r="AL899" t="s">
        <v>92</v>
      </c>
      <c r="AM899" t="s">
        <v>93</v>
      </c>
      <c r="AN899" t="s">
        <v>94</v>
      </c>
      <c r="AO899" t="s">
        <v>1296</v>
      </c>
      <c r="AP899" t="s">
        <v>1297</v>
      </c>
      <c r="AQ899" t="s">
        <v>74</v>
      </c>
      <c r="AR899" t="s">
        <v>1298</v>
      </c>
      <c r="AS899" t="s">
        <v>1299</v>
      </c>
      <c r="AT899" t="s">
        <v>16961</v>
      </c>
      <c r="AU899">
        <v>2016</v>
      </c>
      <c r="AV899">
        <v>43</v>
      </c>
      <c r="AW899">
        <v>1</v>
      </c>
      <c r="AX899" t="s">
        <v>74</v>
      </c>
      <c r="AY899" t="s">
        <v>74</v>
      </c>
      <c r="AZ899" t="s">
        <v>74</v>
      </c>
      <c r="BA899" t="s">
        <v>74</v>
      </c>
      <c r="BB899">
        <v>264</v>
      </c>
      <c r="BC899">
        <v>272</v>
      </c>
      <c r="BD899" t="s">
        <v>74</v>
      </c>
      <c r="BE899" t="s">
        <v>16997</v>
      </c>
      <c r="BF899" t="str">
        <f>HYPERLINK("http://dx.doi.org/10.1002/2015GL066565","http://dx.doi.org/10.1002/2015GL066565")</f>
        <v>http://dx.doi.org/10.1002/2015GL066565</v>
      </c>
      <c r="BG899" t="s">
        <v>74</v>
      </c>
      <c r="BH899" t="s">
        <v>74</v>
      </c>
      <c r="BI899">
        <v>9</v>
      </c>
      <c r="BJ899" t="s">
        <v>269</v>
      </c>
      <c r="BK899" t="s">
        <v>102</v>
      </c>
      <c r="BL899" t="s">
        <v>270</v>
      </c>
      <c r="BM899" t="s">
        <v>16963</v>
      </c>
      <c r="BN899" t="s">
        <v>74</v>
      </c>
      <c r="BO899" t="s">
        <v>9868</v>
      </c>
      <c r="BP899" t="s">
        <v>74</v>
      </c>
      <c r="BQ899" t="s">
        <v>74</v>
      </c>
      <c r="BR899" t="s">
        <v>106</v>
      </c>
      <c r="BS899" t="s">
        <v>16998</v>
      </c>
      <c r="BT899" t="str">
        <f>HYPERLINK("https%3A%2F%2Fwww.webofscience.com%2Fwos%2Fwoscc%2Ffull-record%2FWOS:000369014100031","View Full Record in Web of Science")</f>
        <v>View Full Record in Web of Science</v>
      </c>
    </row>
    <row r="900" spans="1:72" x14ac:dyDescent="0.15">
      <c r="A900" t="s">
        <v>72</v>
      </c>
      <c r="B900" t="s">
        <v>16999</v>
      </c>
      <c r="C900" t="s">
        <v>74</v>
      </c>
      <c r="D900" t="s">
        <v>74</v>
      </c>
      <c r="E900" t="s">
        <v>74</v>
      </c>
      <c r="F900" t="s">
        <v>17000</v>
      </c>
      <c r="G900" t="s">
        <v>74</v>
      </c>
      <c r="H900" t="s">
        <v>74</v>
      </c>
      <c r="I900" t="s">
        <v>17001</v>
      </c>
      <c r="J900" t="s">
        <v>1288</v>
      </c>
      <c r="K900" t="s">
        <v>74</v>
      </c>
      <c r="L900" t="s">
        <v>74</v>
      </c>
      <c r="M900" t="s">
        <v>78</v>
      </c>
      <c r="N900" t="s">
        <v>79</v>
      </c>
      <c r="O900" t="s">
        <v>74</v>
      </c>
      <c r="P900" t="s">
        <v>74</v>
      </c>
      <c r="Q900" t="s">
        <v>74</v>
      </c>
      <c r="R900" t="s">
        <v>74</v>
      </c>
      <c r="S900" t="s">
        <v>74</v>
      </c>
      <c r="T900" t="s">
        <v>17002</v>
      </c>
      <c r="U900" t="s">
        <v>17003</v>
      </c>
      <c r="V900" t="s">
        <v>17004</v>
      </c>
      <c r="W900" t="s">
        <v>17005</v>
      </c>
      <c r="X900" t="s">
        <v>17006</v>
      </c>
      <c r="Y900" t="s">
        <v>17007</v>
      </c>
      <c r="Z900" t="s">
        <v>17008</v>
      </c>
      <c r="AA900" t="s">
        <v>17009</v>
      </c>
      <c r="AB900" t="s">
        <v>17010</v>
      </c>
      <c r="AC900" t="s">
        <v>17011</v>
      </c>
      <c r="AD900" t="s">
        <v>17012</v>
      </c>
      <c r="AE900" t="s">
        <v>17013</v>
      </c>
      <c r="AF900" t="s">
        <v>74</v>
      </c>
      <c r="AG900">
        <v>71</v>
      </c>
      <c r="AH900">
        <v>74</v>
      </c>
      <c r="AI900">
        <v>81</v>
      </c>
      <c r="AJ900">
        <v>1</v>
      </c>
      <c r="AK900">
        <v>21</v>
      </c>
      <c r="AL900" t="s">
        <v>92</v>
      </c>
      <c r="AM900" t="s">
        <v>93</v>
      </c>
      <c r="AN900" t="s">
        <v>94</v>
      </c>
      <c r="AO900" t="s">
        <v>1296</v>
      </c>
      <c r="AP900" t="s">
        <v>1297</v>
      </c>
      <c r="AQ900" t="s">
        <v>74</v>
      </c>
      <c r="AR900" t="s">
        <v>1298</v>
      </c>
      <c r="AS900" t="s">
        <v>1299</v>
      </c>
      <c r="AT900" t="s">
        <v>16961</v>
      </c>
      <c r="AU900">
        <v>2016</v>
      </c>
      <c r="AV900">
        <v>43</v>
      </c>
      <c r="AW900">
        <v>1</v>
      </c>
      <c r="AX900" t="s">
        <v>74</v>
      </c>
      <c r="AY900" t="s">
        <v>74</v>
      </c>
      <c r="AZ900" t="s">
        <v>74</v>
      </c>
      <c r="BA900" t="s">
        <v>74</v>
      </c>
      <c r="BB900">
        <v>273</v>
      </c>
      <c r="BC900">
        <v>282</v>
      </c>
      <c r="BD900" t="s">
        <v>74</v>
      </c>
      <c r="BE900" t="s">
        <v>17014</v>
      </c>
      <c r="BF900" t="str">
        <f>HYPERLINK("http://dx.doi.org/10.1002/2015GL065957","http://dx.doi.org/10.1002/2015GL065957")</f>
        <v>http://dx.doi.org/10.1002/2015GL065957</v>
      </c>
      <c r="BG900" t="s">
        <v>74</v>
      </c>
      <c r="BH900" t="s">
        <v>74</v>
      </c>
      <c r="BI900">
        <v>10</v>
      </c>
      <c r="BJ900" t="s">
        <v>269</v>
      </c>
      <c r="BK900" t="s">
        <v>102</v>
      </c>
      <c r="BL900" t="s">
        <v>270</v>
      </c>
      <c r="BM900" t="s">
        <v>16963</v>
      </c>
      <c r="BN900" t="s">
        <v>74</v>
      </c>
      <c r="BO900" t="s">
        <v>842</v>
      </c>
      <c r="BP900" t="s">
        <v>74</v>
      </c>
      <c r="BQ900" t="s">
        <v>74</v>
      </c>
      <c r="BR900" t="s">
        <v>106</v>
      </c>
      <c r="BS900" t="s">
        <v>17015</v>
      </c>
      <c r="BT900" t="str">
        <f>HYPERLINK("https%3A%2F%2Fwww.webofscience.com%2Fwos%2Fwoscc%2Ffull-record%2FWOS:000369014100032","View Full Record in Web of Science")</f>
        <v>View Full Record in Web of Science</v>
      </c>
    </row>
    <row r="901" spans="1:72" x14ac:dyDescent="0.15">
      <c r="A901" t="s">
        <v>72</v>
      </c>
      <c r="B901" t="s">
        <v>17016</v>
      </c>
      <c r="C901" t="s">
        <v>74</v>
      </c>
      <c r="D901" t="s">
        <v>74</v>
      </c>
      <c r="E901" t="s">
        <v>74</v>
      </c>
      <c r="F901" t="s">
        <v>17017</v>
      </c>
      <c r="G901" t="s">
        <v>74</v>
      </c>
      <c r="H901" t="s">
        <v>74</v>
      </c>
      <c r="I901" t="s">
        <v>17018</v>
      </c>
      <c r="J901" t="s">
        <v>1288</v>
      </c>
      <c r="K901" t="s">
        <v>74</v>
      </c>
      <c r="L901" t="s">
        <v>74</v>
      </c>
      <c r="M901" t="s">
        <v>78</v>
      </c>
      <c r="N901" t="s">
        <v>79</v>
      </c>
      <c r="O901" t="s">
        <v>74</v>
      </c>
      <c r="P901" t="s">
        <v>74</v>
      </c>
      <c r="Q901" t="s">
        <v>74</v>
      </c>
      <c r="R901" t="s">
        <v>74</v>
      </c>
      <c r="S901" t="s">
        <v>74</v>
      </c>
      <c r="T901" t="s">
        <v>17019</v>
      </c>
      <c r="U901" t="s">
        <v>17020</v>
      </c>
      <c r="V901" t="s">
        <v>17021</v>
      </c>
      <c r="W901" t="s">
        <v>17022</v>
      </c>
      <c r="X901" t="s">
        <v>17023</v>
      </c>
      <c r="Y901" t="s">
        <v>17024</v>
      </c>
      <c r="Z901" t="s">
        <v>17025</v>
      </c>
      <c r="AA901" t="s">
        <v>17026</v>
      </c>
      <c r="AB901" t="s">
        <v>17027</v>
      </c>
      <c r="AC901" t="s">
        <v>17028</v>
      </c>
      <c r="AD901" t="s">
        <v>17029</v>
      </c>
      <c r="AE901" t="s">
        <v>17030</v>
      </c>
      <c r="AF901" t="s">
        <v>74</v>
      </c>
      <c r="AG901">
        <v>32</v>
      </c>
      <c r="AH901">
        <v>70</v>
      </c>
      <c r="AI901">
        <v>78</v>
      </c>
      <c r="AJ901">
        <v>1</v>
      </c>
      <c r="AK901">
        <v>37</v>
      </c>
      <c r="AL901" t="s">
        <v>92</v>
      </c>
      <c r="AM901" t="s">
        <v>93</v>
      </c>
      <c r="AN901" t="s">
        <v>94</v>
      </c>
      <c r="AO901" t="s">
        <v>1296</v>
      </c>
      <c r="AP901" t="s">
        <v>1297</v>
      </c>
      <c r="AQ901" t="s">
        <v>74</v>
      </c>
      <c r="AR901" t="s">
        <v>1298</v>
      </c>
      <c r="AS901" t="s">
        <v>1299</v>
      </c>
      <c r="AT901" t="s">
        <v>16961</v>
      </c>
      <c r="AU901">
        <v>2016</v>
      </c>
      <c r="AV901">
        <v>43</v>
      </c>
      <c r="AW901">
        <v>1</v>
      </c>
      <c r="AX901" t="s">
        <v>74</v>
      </c>
      <c r="AY901" t="s">
        <v>74</v>
      </c>
      <c r="AZ901" t="s">
        <v>74</v>
      </c>
      <c r="BA901" t="s">
        <v>74</v>
      </c>
      <c r="BB901">
        <v>250</v>
      </c>
      <c r="BC901">
        <v>255</v>
      </c>
      <c r="BD901" t="s">
        <v>74</v>
      </c>
      <c r="BE901" t="s">
        <v>17031</v>
      </c>
      <c r="BF901" t="str">
        <f>HYPERLINK("http://dx.doi.org/10.1002/2015GL066612","http://dx.doi.org/10.1002/2015GL066612")</f>
        <v>http://dx.doi.org/10.1002/2015GL066612</v>
      </c>
      <c r="BG901" t="s">
        <v>74</v>
      </c>
      <c r="BH901" t="s">
        <v>74</v>
      </c>
      <c r="BI901">
        <v>6</v>
      </c>
      <c r="BJ901" t="s">
        <v>269</v>
      </c>
      <c r="BK901" t="s">
        <v>102</v>
      </c>
      <c r="BL901" t="s">
        <v>270</v>
      </c>
      <c r="BM901" t="s">
        <v>16963</v>
      </c>
      <c r="BN901" t="s">
        <v>74</v>
      </c>
      <c r="BO901" t="s">
        <v>1745</v>
      </c>
      <c r="BP901" t="s">
        <v>74</v>
      </c>
      <c r="BQ901" t="s">
        <v>74</v>
      </c>
      <c r="BR901" t="s">
        <v>106</v>
      </c>
      <c r="BS901" t="s">
        <v>17032</v>
      </c>
      <c r="BT901" t="str">
        <f>HYPERLINK("https%3A%2F%2Fwww.webofscience.com%2Fwos%2Fwoscc%2Ffull-record%2FWOS:000369014100029","View Full Record in Web of Science")</f>
        <v>View Full Record in Web of Science</v>
      </c>
    </row>
    <row r="902" spans="1:72" x14ac:dyDescent="0.15">
      <c r="A902" t="s">
        <v>72</v>
      </c>
      <c r="B902" t="s">
        <v>17033</v>
      </c>
      <c r="C902" t="s">
        <v>74</v>
      </c>
      <c r="D902" t="s">
        <v>74</v>
      </c>
      <c r="E902" t="s">
        <v>74</v>
      </c>
      <c r="F902" t="s">
        <v>17034</v>
      </c>
      <c r="G902" t="s">
        <v>74</v>
      </c>
      <c r="H902" t="s">
        <v>74</v>
      </c>
      <c r="I902" t="s">
        <v>17035</v>
      </c>
      <c r="J902" t="s">
        <v>1288</v>
      </c>
      <c r="K902" t="s">
        <v>74</v>
      </c>
      <c r="L902" t="s">
        <v>74</v>
      </c>
      <c r="M902" t="s">
        <v>78</v>
      </c>
      <c r="N902" t="s">
        <v>79</v>
      </c>
      <c r="O902" t="s">
        <v>74</v>
      </c>
      <c r="P902" t="s">
        <v>74</v>
      </c>
      <c r="Q902" t="s">
        <v>74</v>
      </c>
      <c r="R902" t="s">
        <v>74</v>
      </c>
      <c r="S902" t="s">
        <v>74</v>
      </c>
      <c r="T902" t="s">
        <v>17036</v>
      </c>
      <c r="U902" t="s">
        <v>17037</v>
      </c>
      <c r="V902" t="s">
        <v>17038</v>
      </c>
      <c r="W902" t="s">
        <v>17039</v>
      </c>
      <c r="X902" t="s">
        <v>17040</v>
      </c>
      <c r="Y902" t="s">
        <v>17041</v>
      </c>
      <c r="Z902" t="s">
        <v>17042</v>
      </c>
      <c r="AA902" t="s">
        <v>17043</v>
      </c>
      <c r="AB902" t="s">
        <v>17044</v>
      </c>
      <c r="AC902" t="s">
        <v>17045</v>
      </c>
      <c r="AD902" t="s">
        <v>17046</v>
      </c>
      <c r="AE902" t="s">
        <v>17047</v>
      </c>
      <c r="AF902" t="s">
        <v>74</v>
      </c>
      <c r="AG902">
        <v>22</v>
      </c>
      <c r="AH902">
        <v>24</v>
      </c>
      <c r="AI902">
        <v>24</v>
      </c>
      <c r="AJ902">
        <v>5</v>
      </c>
      <c r="AK902">
        <v>16</v>
      </c>
      <c r="AL902" t="s">
        <v>92</v>
      </c>
      <c r="AM902" t="s">
        <v>93</v>
      </c>
      <c r="AN902" t="s">
        <v>94</v>
      </c>
      <c r="AO902" t="s">
        <v>1296</v>
      </c>
      <c r="AP902" t="s">
        <v>1297</v>
      </c>
      <c r="AQ902" t="s">
        <v>74</v>
      </c>
      <c r="AR902" t="s">
        <v>1298</v>
      </c>
      <c r="AS902" t="s">
        <v>1299</v>
      </c>
      <c r="AT902" t="s">
        <v>16961</v>
      </c>
      <c r="AU902">
        <v>2016</v>
      </c>
      <c r="AV902">
        <v>43</v>
      </c>
      <c r="AW902">
        <v>1</v>
      </c>
      <c r="AX902" t="s">
        <v>74</v>
      </c>
      <c r="AY902" t="s">
        <v>74</v>
      </c>
      <c r="AZ902" t="s">
        <v>74</v>
      </c>
      <c r="BA902" t="s">
        <v>74</v>
      </c>
      <c r="BB902">
        <v>317</v>
      </c>
      <c r="BC902">
        <v>325</v>
      </c>
      <c r="BD902" t="s">
        <v>74</v>
      </c>
      <c r="BE902" t="s">
        <v>17048</v>
      </c>
      <c r="BF902" t="str">
        <f>HYPERLINK("http://dx.doi.org/10.1002/2015GL066658","http://dx.doi.org/10.1002/2015GL066658")</f>
        <v>http://dx.doi.org/10.1002/2015GL066658</v>
      </c>
      <c r="BG902" t="s">
        <v>74</v>
      </c>
      <c r="BH902" t="s">
        <v>74</v>
      </c>
      <c r="BI902">
        <v>9</v>
      </c>
      <c r="BJ902" t="s">
        <v>269</v>
      </c>
      <c r="BK902" t="s">
        <v>102</v>
      </c>
      <c r="BL902" t="s">
        <v>270</v>
      </c>
      <c r="BM902" t="s">
        <v>16963</v>
      </c>
      <c r="BN902" t="s">
        <v>74</v>
      </c>
      <c r="BO902" t="s">
        <v>14252</v>
      </c>
      <c r="BP902" t="s">
        <v>74</v>
      </c>
      <c r="BQ902" t="s">
        <v>74</v>
      </c>
      <c r="BR902" t="s">
        <v>106</v>
      </c>
      <c r="BS902" t="s">
        <v>17049</v>
      </c>
      <c r="BT902" t="str">
        <f>HYPERLINK("https%3A%2F%2Fwww.webofscience.com%2Fwos%2Fwoscc%2Ffull-record%2FWOS:000369014100037","View Full Record in Web of Science")</f>
        <v>View Full Record in Web of Science</v>
      </c>
    </row>
    <row r="903" spans="1:72" x14ac:dyDescent="0.15">
      <c r="A903" t="s">
        <v>72</v>
      </c>
      <c r="B903" t="s">
        <v>17050</v>
      </c>
      <c r="C903" t="s">
        <v>74</v>
      </c>
      <c r="D903" t="s">
        <v>74</v>
      </c>
      <c r="E903" t="s">
        <v>74</v>
      </c>
      <c r="F903" t="s">
        <v>17051</v>
      </c>
      <c r="G903" t="s">
        <v>74</v>
      </c>
      <c r="H903" t="s">
        <v>74</v>
      </c>
      <c r="I903" t="s">
        <v>17052</v>
      </c>
      <c r="J903" t="s">
        <v>1288</v>
      </c>
      <c r="K903" t="s">
        <v>74</v>
      </c>
      <c r="L903" t="s">
        <v>74</v>
      </c>
      <c r="M903" t="s">
        <v>78</v>
      </c>
      <c r="N903" t="s">
        <v>79</v>
      </c>
      <c r="O903" t="s">
        <v>74</v>
      </c>
      <c r="P903" t="s">
        <v>74</v>
      </c>
      <c r="Q903" t="s">
        <v>74</v>
      </c>
      <c r="R903" t="s">
        <v>74</v>
      </c>
      <c r="S903" t="s">
        <v>74</v>
      </c>
      <c r="T903" t="s">
        <v>17053</v>
      </c>
      <c r="U903" t="s">
        <v>17054</v>
      </c>
      <c r="V903" t="s">
        <v>17055</v>
      </c>
      <c r="W903" t="s">
        <v>17056</v>
      </c>
      <c r="X903" t="s">
        <v>145</v>
      </c>
      <c r="Y903" t="s">
        <v>17057</v>
      </c>
      <c r="Z903" t="s">
        <v>17058</v>
      </c>
      <c r="AA903" t="s">
        <v>7848</v>
      </c>
      <c r="AB903" t="s">
        <v>17059</v>
      </c>
      <c r="AC903" t="s">
        <v>17060</v>
      </c>
      <c r="AD903" t="s">
        <v>17061</v>
      </c>
      <c r="AE903" t="s">
        <v>17062</v>
      </c>
      <c r="AF903" t="s">
        <v>74</v>
      </c>
      <c r="AG903">
        <v>57</v>
      </c>
      <c r="AH903">
        <v>60</v>
      </c>
      <c r="AI903">
        <v>67</v>
      </c>
      <c r="AJ903">
        <v>3</v>
      </c>
      <c r="AK903">
        <v>42</v>
      </c>
      <c r="AL903" t="s">
        <v>92</v>
      </c>
      <c r="AM903" t="s">
        <v>93</v>
      </c>
      <c r="AN903" t="s">
        <v>94</v>
      </c>
      <c r="AO903" t="s">
        <v>1296</v>
      </c>
      <c r="AP903" t="s">
        <v>1297</v>
      </c>
      <c r="AQ903" t="s">
        <v>74</v>
      </c>
      <c r="AR903" t="s">
        <v>1298</v>
      </c>
      <c r="AS903" t="s">
        <v>1299</v>
      </c>
      <c r="AT903" t="s">
        <v>16961</v>
      </c>
      <c r="AU903">
        <v>2016</v>
      </c>
      <c r="AV903">
        <v>43</v>
      </c>
      <c r="AW903">
        <v>1</v>
      </c>
      <c r="AX903" t="s">
        <v>74</v>
      </c>
      <c r="AY903" t="s">
        <v>74</v>
      </c>
      <c r="AZ903" t="s">
        <v>74</v>
      </c>
      <c r="BA903" t="s">
        <v>74</v>
      </c>
      <c r="BB903">
        <v>367</v>
      </c>
      <c r="BC903">
        <v>376</v>
      </c>
      <c r="BD903" t="s">
        <v>74</v>
      </c>
      <c r="BE903" t="s">
        <v>17063</v>
      </c>
      <c r="BF903" t="str">
        <f>HYPERLINK("http://dx.doi.org/10.1002/2015GL067143","http://dx.doi.org/10.1002/2015GL067143")</f>
        <v>http://dx.doi.org/10.1002/2015GL067143</v>
      </c>
      <c r="BG903" t="s">
        <v>74</v>
      </c>
      <c r="BH903" t="s">
        <v>74</v>
      </c>
      <c r="BI903">
        <v>10</v>
      </c>
      <c r="BJ903" t="s">
        <v>269</v>
      </c>
      <c r="BK903" t="s">
        <v>102</v>
      </c>
      <c r="BL903" t="s">
        <v>270</v>
      </c>
      <c r="BM903" t="s">
        <v>16963</v>
      </c>
      <c r="BN903" t="s">
        <v>74</v>
      </c>
      <c r="BO903" t="s">
        <v>363</v>
      </c>
      <c r="BP903" t="s">
        <v>74</v>
      </c>
      <c r="BQ903" t="s">
        <v>74</v>
      </c>
      <c r="BR903" t="s">
        <v>106</v>
      </c>
      <c r="BS903" t="s">
        <v>17064</v>
      </c>
      <c r="BT903" t="str">
        <f>HYPERLINK("https%3A%2F%2Fwww.webofscience.com%2Fwos%2Fwoscc%2Ffull-record%2FWOS:000369014100043","View Full Record in Web of Science")</f>
        <v>View Full Record in Web of Science</v>
      </c>
    </row>
    <row r="904" spans="1:72" x14ac:dyDescent="0.15">
      <c r="A904" t="s">
        <v>72</v>
      </c>
      <c r="B904" t="s">
        <v>17065</v>
      </c>
      <c r="C904" t="s">
        <v>74</v>
      </c>
      <c r="D904" t="s">
        <v>74</v>
      </c>
      <c r="E904" t="s">
        <v>74</v>
      </c>
      <c r="F904" t="s">
        <v>17066</v>
      </c>
      <c r="G904" t="s">
        <v>74</v>
      </c>
      <c r="H904" t="s">
        <v>74</v>
      </c>
      <c r="I904" t="s">
        <v>17067</v>
      </c>
      <c r="J904" t="s">
        <v>17068</v>
      </c>
      <c r="K904" t="s">
        <v>74</v>
      </c>
      <c r="L904" t="s">
        <v>74</v>
      </c>
      <c r="M904" t="s">
        <v>78</v>
      </c>
      <c r="N904" t="s">
        <v>79</v>
      </c>
      <c r="O904" t="s">
        <v>74</v>
      </c>
      <c r="P904" t="s">
        <v>74</v>
      </c>
      <c r="Q904" t="s">
        <v>74</v>
      </c>
      <c r="R904" t="s">
        <v>74</v>
      </c>
      <c r="S904" t="s">
        <v>74</v>
      </c>
      <c r="T904" t="s">
        <v>17069</v>
      </c>
      <c r="U904" t="s">
        <v>74</v>
      </c>
      <c r="V904" t="s">
        <v>17070</v>
      </c>
      <c r="W904" t="s">
        <v>17071</v>
      </c>
      <c r="X904" t="s">
        <v>17072</v>
      </c>
      <c r="Y904" t="s">
        <v>17073</v>
      </c>
      <c r="Z904" t="s">
        <v>17074</v>
      </c>
      <c r="AA904" t="s">
        <v>17075</v>
      </c>
      <c r="AB904" t="s">
        <v>17076</v>
      </c>
      <c r="AC904" t="s">
        <v>74</v>
      </c>
      <c r="AD904" t="s">
        <v>74</v>
      </c>
      <c r="AE904" t="s">
        <v>74</v>
      </c>
      <c r="AF904" t="s">
        <v>74</v>
      </c>
      <c r="AG904">
        <v>57</v>
      </c>
      <c r="AH904">
        <v>26</v>
      </c>
      <c r="AI904">
        <v>33</v>
      </c>
      <c r="AJ904">
        <v>1</v>
      </c>
      <c r="AK904">
        <v>42</v>
      </c>
      <c r="AL904" t="s">
        <v>678</v>
      </c>
      <c r="AM904" t="s">
        <v>679</v>
      </c>
      <c r="AN904" t="s">
        <v>680</v>
      </c>
      <c r="AO904" t="s">
        <v>17077</v>
      </c>
      <c r="AP904" t="s">
        <v>17078</v>
      </c>
      <c r="AQ904" t="s">
        <v>74</v>
      </c>
      <c r="AR904" t="s">
        <v>17079</v>
      </c>
      <c r="AS904" t="s">
        <v>17080</v>
      </c>
      <c r="AT904" t="s">
        <v>16961</v>
      </c>
      <c r="AU904">
        <v>2016</v>
      </c>
      <c r="AV904">
        <v>111</v>
      </c>
      <c r="AW904" t="s">
        <v>74</v>
      </c>
      <c r="AX904" t="s">
        <v>8593</v>
      </c>
      <c r="AY904" t="s">
        <v>74</v>
      </c>
      <c r="AZ904" t="s">
        <v>74</v>
      </c>
      <c r="BA904" t="s">
        <v>74</v>
      </c>
      <c r="BB904">
        <v>451</v>
      </c>
      <c r="BC904">
        <v>460</v>
      </c>
      <c r="BD904" t="s">
        <v>74</v>
      </c>
      <c r="BE904" t="s">
        <v>17081</v>
      </c>
      <c r="BF904" t="str">
        <f>HYPERLINK("http://dx.doi.org/10.1016/j.jclepro.2014.12.061","http://dx.doi.org/10.1016/j.jclepro.2014.12.061")</f>
        <v>http://dx.doi.org/10.1016/j.jclepro.2014.12.061</v>
      </c>
      <c r="BG904" t="s">
        <v>74</v>
      </c>
      <c r="BH904" t="s">
        <v>74</v>
      </c>
      <c r="BI904">
        <v>10</v>
      </c>
      <c r="BJ904" t="s">
        <v>17082</v>
      </c>
      <c r="BK904" t="s">
        <v>942</v>
      </c>
      <c r="BL904" t="s">
        <v>17083</v>
      </c>
      <c r="BM904" t="s">
        <v>17084</v>
      </c>
      <c r="BN904" t="s">
        <v>74</v>
      </c>
      <c r="BO904" t="s">
        <v>74</v>
      </c>
      <c r="BP904" t="s">
        <v>74</v>
      </c>
      <c r="BQ904" t="s">
        <v>74</v>
      </c>
      <c r="BR904" t="s">
        <v>106</v>
      </c>
      <c r="BS904" t="s">
        <v>17085</v>
      </c>
      <c r="BT904" t="str">
        <f>HYPERLINK("https%3A%2F%2Fwww.webofscience.com%2Fwos%2Fwoscc%2Ffull-record%2FWOS:000367862100016","View Full Record in Web of Science")</f>
        <v>View Full Record in Web of Science</v>
      </c>
    </row>
    <row r="905" spans="1:72" x14ac:dyDescent="0.15">
      <c r="A905" t="s">
        <v>72</v>
      </c>
      <c r="B905" t="s">
        <v>17086</v>
      </c>
      <c r="C905" t="s">
        <v>74</v>
      </c>
      <c r="D905" t="s">
        <v>74</v>
      </c>
      <c r="E905" t="s">
        <v>74</v>
      </c>
      <c r="F905" t="s">
        <v>17087</v>
      </c>
      <c r="G905" t="s">
        <v>74</v>
      </c>
      <c r="H905" t="s">
        <v>74</v>
      </c>
      <c r="I905" t="s">
        <v>17088</v>
      </c>
      <c r="J905" t="s">
        <v>1708</v>
      </c>
      <c r="K905" t="s">
        <v>74</v>
      </c>
      <c r="L905" t="s">
        <v>74</v>
      </c>
      <c r="M905" t="s">
        <v>78</v>
      </c>
      <c r="N905" t="s">
        <v>79</v>
      </c>
      <c r="O905" t="s">
        <v>74</v>
      </c>
      <c r="P905" t="s">
        <v>74</v>
      </c>
      <c r="Q905" t="s">
        <v>74</v>
      </c>
      <c r="R905" t="s">
        <v>74</v>
      </c>
      <c r="S905" t="s">
        <v>74</v>
      </c>
      <c r="T905" t="s">
        <v>17089</v>
      </c>
      <c r="U905" t="s">
        <v>17090</v>
      </c>
      <c r="V905" t="s">
        <v>17091</v>
      </c>
      <c r="W905" t="s">
        <v>17092</v>
      </c>
      <c r="X905" t="s">
        <v>17093</v>
      </c>
      <c r="Y905" t="s">
        <v>17094</v>
      </c>
      <c r="Z905" t="s">
        <v>17095</v>
      </c>
      <c r="AA905" t="s">
        <v>17096</v>
      </c>
      <c r="AB905" t="s">
        <v>17097</v>
      </c>
      <c r="AC905" t="s">
        <v>17098</v>
      </c>
      <c r="AD905" t="s">
        <v>17099</v>
      </c>
      <c r="AE905" t="s">
        <v>17100</v>
      </c>
      <c r="AF905" t="s">
        <v>74</v>
      </c>
      <c r="AG905">
        <v>86</v>
      </c>
      <c r="AH905">
        <v>30</v>
      </c>
      <c r="AI905">
        <v>34</v>
      </c>
      <c r="AJ905">
        <v>1</v>
      </c>
      <c r="AK905">
        <v>29</v>
      </c>
      <c r="AL905" t="s">
        <v>92</v>
      </c>
      <c r="AM905" t="s">
        <v>93</v>
      </c>
      <c r="AN905" t="s">
        <v>94</v>
      </c>
      <c r="AO905" t="s">
        <v>1720</v>
      </c>
      <c r="AP905" t="s">
        <v>1721</v>
      </c>
      <c r="AQ905" t="s">
        <v>74</v>
      </c>
      <c r="AR905" t="s">
        <v>1722</v>
      </c>
      <c r="AS905" t="s">
        <v>1723</v>
      </c>
      <c r="AT905" t="s">
        <v>16961</v>
      </c>
      <c r="AU905">
        <v>2016</v>
      </c>
      <c r="AV905">
        <v>121</v>
      </c>
      <c r="AW905">
        <v>1</v>
      </c>
      <c r="AX905" t="s">
        <v>74</v>
      </c>
      <c r="AY905" t="s">
        <v>74</v>
      </c>
      <c r="AZ905" t="s">
        <v>74</v>
      </c>
      <c r="BA905" t="s">
        <v>74</v>
      </c>
      <c r="BB905">
        <v>457</v>
      </c>
      <c r="BC905">
        <v>477</v>
      </c>
      <c r="BD905" t="s">
        <v>74</v>
      </c>
      <c r="BE905" t="s">
        <v>17101</v>
      </c>
      <c r="BF905" t="str">
        <f>HYPERLINK("http://dx.doi.org/10.1002/2015JD023711","http://dx.doi.org/10.1002/2015JD023711")</f>
        <v>http://dx.doi.org/10.1002/2015JD023711</v>
      </c>
      <c r="BG905" t="s">
        <v>74</v>
      </c>
      <c r="BH905" t="s">
        <v>74</v>
      </c>
      <c r="BI905">
        <v>21</v>
      </c>
      <c r="BJ905" t="s">
        <v>1726</v>
      </c>
      <c r="BK905" t="s">
        <v>102</v>
      </c>
      <c r="BL905" t="s">
        <v>1726</v>
      </c>
      <c r="BM905" t="s">
        <v>17102</v>
      </c>
      <c r="BN905" t="s">
        <v>74</v>
      </c>
      <c r="BO905" t="s">
        <v>9868</v>
      </c>
      <c r="BP905" t="s">
        <v>74</v>
      </c>
      <c r="BQ905" t="s">
        <v>74</v>
      </c>
      <c r="BR905" t="s">
        <v>106</v>
      </c>
      <c r="BS905" t="s">
        <v>17103</v>
      </c>
      <c r="BT905" t="str">
        <f>HYPERLINK("https%3A%2F%2Fwww.webofscience.com%2Fwos%2Fwoscc%2Ffull-record%2FWOS:000369845300028","View Full Record in Web of Science")</f>
        <v>View Full Record in Web of Science</v>
      </c>
    </row>
    <row r="906" spans="1:72" x14ac:dyDescent="0.15">
      <c r="A906" t="s">
        <v>72</v>
      </c>
      <c r="B906" t="s">
        <v>17104</v>
      </c>
      <c r="C906" t="s">
        <v>74</v>
      </c>
      <c r="D906" t="s">
        <v>74</v>
      </c>
      <c r="E906" t="s">
        <v>74</v>
      </c>
      <c r="F906" t="s">
        <v>17105</v>
      </c>
      <c r="G906" t="s">
        <v>74</v>
      </c>
      <c r="H906" t="s">
        <v>74</v>
      </c>
      <c r="I906" t="s">
        <v>17106</v>
      </c>
      <c r="J906" t="s">
        <v>1888</v>
      </c>
      <c r="K906" t="s">
        <v>74</v>
      </c>
      <c r="L906" t="s">
        <v>74</v>
      </c>
      <c r="M906" t="s">
        <v>78</v>
      </c>
      <c r="N906" t="s">
        <v>79</v>
      </c>
      <c r="O906" t="s">
        <v>74</v>
      </c>
      <c r="P906" t="s">
        <v>74</v>
      </c>
      <c r="Q906" t="s">
        <v>74</v>
      </c>
      <c r="R906" t="s">
        <v>74</v>
      </c>
      <c r="S906" t="s">
        <v>74</v>
      </c>
      <c r="T906" t="s">
        <v>17107</v>
      </c>
      <c r="U906" t="s">
        <v>17108</v>
      </c>
      <c r="V906" t="s">
        <v>17109</v>
      </c>
      <c r="W906" t="s">
        <v>17110</v>
      </c>
      <c r="X906" t="s">
        <v>17111</v>
      </c>
      <c r="Y906" t="s">
        <v>17112</v>
      </c>
      <c r="Z906" t="s">
        <v>17113</v>
      </c>
      <c r="AA906" t="s">
        <v>74</v>
      </c>
      <c r="AB906" t="s">
        <v>17114</v>
      </c>
      <c r="AC906" t="s">
        <v>17115</v>
      </c>
      <c r="AD906" t="s">
        <v>17116</v>
      </c>
      <c r="AE906" t="s">
        <v>17117</v>
      </c>
      <c r="AF906" t="s">
        <v>74</v>
      </c>
      <c r="AG906">
        <v>111</v>
      </c>
      <c r="AH906">
        <v>34</v>
      </c>
      <c r="AI906">
        <v>35</v>
      </c>
      <c r="AJ906">
        <v>0</v>
      </c>
      <c r="AK906">
        <v>19</v>
      </c>
      <c r="AL906" t="s">
        <v>1829</v>
      </c>
      <c r="AM906" t="s">
        <v>679</v>
      </c>
      <c r="AN906" t="s">
        <v>1830</v>
      </c>
      <c r="AO906" t="s">
        <v>1900</v>
      </c>
      <c r="AP906" t="s">
        <v>74</v>
      </c>
      <c r="AQ906" t="s">
        <v>74</v>
      </c>
      <c r="AR906" t="s">
        <v>1901</v>
      </c>
      <c r="AS906" t="s">
        <v>1902</v>
      </c>
      <c r="AT906" t="s">
        <v>17118</v>
      </c>
      <c r="AU906">
        <v>2016</v>
      </c>
      <c r="AV906">
        <v>132</v>
      </c>
      <c r="AW906" t="s">
        <v>74</v>
      </c>
      <c r="AX906" t="s">
        <v>74</v>
      </c>
      <c r="AY906" t="s">
        <v>74</v>
      </c>
      <c r="AZ906" t="s">
        <v>74</v>
      </c>
      <c r="BA906" t="s">
        <v>74</v>
      </c>
      <c r="BB906">
        <v>40</v>
      </c>
      <c r="BC906">
        <v>56</v>
      </c>
      <c r="BD906" t="s">
        <v>74</v>
      </c>
      <c r="BE906" t="s">
        <v>17119</v>
      </c>
      <c r="BF906" t="str">
        <f>HYPERLINK("http://dx.doi.org/10.1016/j.quascirev.2015.11.004","http://dx.doi.org/10.1016/j.quascirev.2015.11.004")</f>
        <v>http://dx.doi.org/10.1016/j.quascirev.2015.11.004</v>
      </c>
      <c r="BG906" t="s">
        <v>74</v>
      </c>
      <c r="BH906" t="s">
        <v>74</v>
      </c>
      <c r="BI906">
        <v>17</v>
      </c>
      <c r="BJ906" t="s">
        <v>1904</v>
      </c>
      <c r="BK906" t="s">
        <v>102</v>
      </c>
      <c r="BL906" t="s">
        <v>1905</v>
      </c>
      <c r="BM906" t="s">
        <v>17120</v>
      </c>
      <c r="BN906" t="s">
        <v>74</v>
      </c>
      <c r="BO906" t="s">
        <v>74</v>
      </c>
      <c r="BP906" t="s">
        <v>74</v>
      </c>
      <c r="BQ906" t="s">
        <v>74</v>
      </c>
      <c r="BR906" t="s">
        <v>106</v>
      </c>
      <c r="BS906" t="s">
        <v>17121</v>
      </c>
      <c r="BT906" t="str">
        <f>HYPERLINK("https%3A%2F%2Fwww.webofscience.com%2Fwos%2Fwoscc%2Ffull-record%2FWOS:000368956900004","View Full Record in Web of Science")</f>
        <v>View Full Record in Web of Science</v>
      </c>
    </row>
    <row r="907" spans="1:72" x14ac:dyDescent="0.15">
      <c r="A907" t="s">
        <v>72</v>
      </c>
      <c r="B907" t="s">
        <v>17122</v>
      </c>
      <c r="C907" t="s">
        <v>74</v>
      </c>
      <c r="D907" t="s">
        <v>74</v>
      </c>
      <c r="E907" t="s">
        <v>74</v>
      </c>
      <c r="F907" t="s">
        <v>17123</v>
      </c>
      <c r="G907" t="s">
        <v>74</v>
      </c>
      <c r="H907" t="s">
        <v>74</v>
      </c>
      <c r="I907" t="s">
        <v>17124</v>
      </c>
      <c r="J907" t="s">
        <v>8651</v>
      </c>
      <c r="K907" t="s">
        <v>74</v>
      </c>
      <c r="L907" t="s">
        <v>74</v>
      </c>
      <c r="M907" t="s">
        <v>78</v>
      </c>
      <c r="N907" t="s">
        <v>79</v>
      </c>
      <c r="O907" t="s">
        <v>74</v>
      </c>
      <c r="P907" t="s">
        <v>74</v>
      </c>
      <c r="Q907" t="s">
        <v>74</v>
      </c>
      <c r="R907" t="s">
        <v>74</v>
      </c>
      <c r="S907" t="s">
        <v>74</v>
      </c>
      <c r="T907" t="s">
        <v>74</v>
      </c>
      <c r="U907" t="s">
        <v>17125</v>
      </c>
      <c r="V907" t="s">
        <v>17126</v>
      </c>
      <c r="W907" t="s">
        <v>17127</v>
      </c>
      <c r="X907" t="s">
        <v>17128</v>
      </c>
      <c r="Y907" t="s">
        <v>17129</v>
      </c>
      <c r="Z907" t="s">
        <v>17130</v>
      </c>
      <c r="AA907" t="s">
        <v>17131</v>
      </c>
      <c r="AB907" t="s">
        <v>17132</v>
      </c>
      <c r="AC907" t="s">
        <v>17133</v>
      </c>
      <c r="AD907" t="s">
        <v>17134</v>
      </c>
      <c r="AE907" t="s">
        <v>17135</v>
      </c>
      <c r="AF907" t="s">
        <v>74</v>
      </c>
      <c r="AG907">
        <v>39</v>
      </c>
      <c r="AH907">
        <v>100</v>
      </c>
      <c r="AI907">
        <v>106</v>
      </c>
      <c r="AJ907">
        <v>0</v>
      </c>
      <c r="AK907">
        <v>42</v>
      </c>
      <c r="AL907" t="s">
        <v>985</v>
      </c>
      <c r="AM907" t="s">
        <v>93</v>
      </c>
      <c r="AN907" t="s">
        <v>986</v>
      </c>
      <c r="AO907" t="s">
        <v>8663</v>
      </c>
      <c r="AP907" t="s">
        <v>8664</v>
      </c>
      <c r="AQ907" t="s">
        <v>74</v>
      </c>
      <c r="AR907" t="s">
        <v>8651</v>
      </c>
      <c r="AS907" t="s">
        <v>8665</v>
      </c>
      <c r="AT907" t="s">
        <v>17118</v>
      </c>
      <c r="AU907">
        <v>2016</v>
      </c>
      <c r="AV907">
        <v>351</v>
      </c>
      <c r="AW907">
        <v>6270</v>
      </c>
      <c r="AX907" t="s">
        <v>74</v>
      </c>
      <c r="AY907" t="s">
        <v>74</v>
      </c>
      <c r="AZ907" t="s">
        <v>74</v>
      </c>
      <c r="BA907" t="s">
        <v>74</v>
      </c>
      <c r="BB907">
        <v>260</v>
      </c>
      <c r="BC907">
        <v>263</v>
      </c>
      <c r="BD907" t="s">
        <v>74</v>
      </c>
      <c r="BE907" t="s">
        <v>17136</v>
      </c>
      <c r="BF907" t="str">
        <f>HYPERLINK("http://dx.doi.org/10.1126/science.aad0554","http://dx.doi.org/10.1126/science.aad0554")</f>
        <v>http://dx.doi.org/10.1126/science.aad0554</v>
      </c>
      <c r="BG907" t="s">
        <v>74</v>
      </c>
      <c r="BH907" t="s">
        <v>74</v>
      </c>
      <c r="BI907">
        <v>4</v>
      </c>
      <c r="BJ907" t="s">
        <v>753</v>
      </c>
      <c r="BK907" t="s">
        <v>17137</v>
      </c>
      <c r="BL907" t="s">
        <v>754</v>
      </c>
      <c r="BM907" t="s">
        <v>17138</v>
      </c>
      <c r="BN907">
        <v>26816376</v>
      </c>
      <c r="BO907" t="s">
        <v>74</v>
      </c>
      <c r="BP907" t="s">
        <v>74</v>
      </c>
      <c r="BQ907" t="s">
        <v>74</v>
      </c>
      <c r="BR907" t="s">
        <v>106</v>
      </c>
      <c r="BS907" t="s">
        <v>17139</v>
      </c>
      <c r="BT907" t="str">
        <f>HYPERLINK("https%3A%2F%2Fwww.webofscience.com%2Fwos%2Fwoscc%2Ffull-record%2FWOS:000368098600037","View Full Record in Web of Science")</f>
        <v>View Full Record in Web of Science</v>
      </c>
    </row>
    <row r="908" spans="1:72" x14ac:dyDescent="0.15">
      <c r="A908" t="s">
        <v>72</v>
      </c>
      <c r="B908" t="s">
        <v>17140</v>
      </c>
      <c r="C908" t="s">
        <v>74</v>
      </c>
      <c r="D908" t="s">
        <v>74</v>
      </c>
      <c r="E908" t="s">
        <v>74</v>
      </c>
      <c r="F908" t="s">
        <v>17141</v>
      </c>
      <c r="G908" t="s">
        <v>74</v>
      </c>
      <c r="H908" t="s">
        <v>74</v>
      </c>
      <c r="I908" t="s">
        <v>17142</v>
      </c>
      <c r="J908" t="s">
        <v>5624</v>
      </c>
      <c r="K908" t="s">
        <v>74</v>
      </c>
      <c r="L908" t="s">
        <v>74</v>
      </c>
      <c r="M908" t="s">
        <v>78</v>
      </c>
      <c r="N908" t="s">
        <v>79</v>
      </c>
      <c r="O908" t="s">
        <v>74</v>
      </c>
      <c r="P908" t="s">
        <v>74</v>
      </c>
      <c r="Q908" t="s">
        <v>74</v>
      </c>
      <c r="R908" t="s">
        <v>74</v>
      </c>
      <c r="S908" t="s">
        <v>74</v>
      </c>
      <c r="T908" t="s">
        <v>17143</v>
      </c>
      <c r="U908" t="s">
        <v>17144</v>
      </c>
      <c r="V908" t="s">
        <v>17145</v>
      </c>
      <c r="W908" t="s">
        <v>17146</v>
      </c>
      <c r="X908" t="s">
        <v>17147</v>
      </c>
      <c r="Y908" t="s">
        <v>17148</v>
      </c>
      <c r="Z908" t="s">
        <v>17149</v>
      </c>
      <c r="AA908" t="s">
        <v>17150</v>
      </c>
      <c r="AB908" t="s">
        <v>17151</v>
      </c>
      <c r="AC908" t="s">
        <v>17152</v>
      </c>
      <c r="AD908" t="s">
        <v>17153</v>
      </c>
      <c r="AE908" t="s">
        <v>17154</v>
      </c>
      <c r="AF908" t="s">
        <v>74</v>
      </c>
      <c r="AG908">
        <v>63</v>
      </c>
      <c r="AH908">
        <v>43</v>
      </c>
      <c r="AI908">
        <v>49</v>
      </c>
      <c r="AJ908">
        <v>0</v>
      </c>
      <c r="AK908">
        <v>13</v>
      </c>
      <c r="AL908" t="s">
        <v>582</v>
      </c>
      <c r="AM908" t="s">
        <v>583</v>
      </c>
      <c r="AN908" t="s">
        <v>584</v>
      </c>
      <c r="AO908" t="s">
        <v>5637</v>
      </c>
      <c r="AP908" t="s">
        <v>5638</v>
      </c>
      <c r="AQ908" t="s">
        <v>74</v>
      </c>
      <c r="AR908" t="s">
        <v>5639</v>
      </c>
      <c r="AS908" t="s">
        <v>5640</v>
      </c>
      <c r="AT908" t="s">
        <v>17118</v>
      </c>
      <c r="AU908">
        <v>2016</v>
      </c>
      <c r="AV908">
        <v>434</v>
      </c>
      <c r="AW908" t="s">
        <v>74</v>
      </c>
      <c r="AX908" t="s">
        <v>74</v>
      </c>
      <c r="AY908" t="s">
        <v>74</v>
      </c>
      <c r="AZ908" t="s">
        <v>74</v>
      </c>
      <c r="BA908" t="s">
        <v>74</v>
      </c>
      <c r="BB908">
        <v>117</v>
      </c>
      <c r="BC908">
        <v>128</v>
      </c>
      <c r="BD908" t="s">
        <v>74</v>
      </c>
      <c r="BE908" t="s">
        <v>17155</v>
      </c>
      <c r="BF908" t="str">
        <f>HYPERLINK("http://dx.doi.org/10.1016/j.epsl.2015.11.028","http://dx.doi.org/10.1016/j.epsl.2015.11.028")</f>
        <v>http://dx.doi.org/10.1016/j.epsl.2015.11.028</v>
      </c>
      <c r="BG908" t="s">
        <v>74</v>
      </c>
      <c r="BH908" t="s">
        <v>74</v>
      </c>
      <c r="BI908">
        <v>12</v>
      </c>
      <c r="BJ908" t="s">
        <v>727</v>
      </c>
      <c r="BK908" t="s">
        <v>102</v>
      </c>
      <c r="BL908" t="s">
        <v>727</v>
      </c>
      <c r="BM908" t="s">
        <v>17156</v>
      </c>
      <c r="BN908" t="s">
        <v>74</v>
      </c>
      <c r="BO908" t="s">
        <v>222</v>
      </c>
      <c r="BP908" t="s">
        <v>74</v>
      </c>
      <c r="BQ908" t="s">
        <v>74</v>
      </c>
      <c r="BR908" t="s">
        <v>106</v>
      </c>
      <c r="BS908" t="s">
        <v>17157</v>
      </c>
      <c r="BT908" t="str">
        <f>HYPERLINK("https%3A%2F%2Fwww.webofscience.com%2Fwos%2Fwoscc%2Ffull-record%2FWOS:000368870500012","View Full Record in Web of Science")</f>
        <v>View Full Record in Web of Science</v>
      </c>
    </row>
    <row r="909" spans="1:72" x14ac:dyDescent="0.15">
      <c r="A909" t="s">
        <v>72</v>
      </c>
      <c r="B909" t="s">
        <v>17158</v>
      </c>
      <c r="C909" t="s">
        <v>74</v>
      </c>
      <c r="D909" t="s">
        <v>74</v>
      </c>
      <c r="E909" t="s">
        <v>74</v>
      </c>
      <c r="F909" t="s">
        <v>17159</v>
      </c>
      <c r="G909" t="s">
        <v>74</v>
      </c>
      <c r="H909" t="s">
        <v>74</v>
      </c>
      <c r="I909" t="s">
        <v>17160</v>
      </c>
      <c r="J909" t="s">
        <v>1445</v>
      </c>
      <c r="K909" t="s">
        <v>74</v>
      </c>
      <c r="L909" t="s">
        <v>74</v>
      </c>
      <c r="M909" t="s">
        <v>78</v>
      </c>
      <c r="N909" t="s">
        <v>79</v>
      </c>
      <c r="O909" t="s">
        <v>74</v>
      </c>
      <c r="P909" t="s">
        <v>74</v>
      </c>
      <c r="Q909" t="s">
        <v>74</v>
      </c>
      <c r="R909" t="s">
        <v>74</v>
      </c>
      <c r="S909" t="s">
        <v>74</v>
      </c>
      <c r="T909" t="s">
        <v>17161</v>
      </c>
      <c r="U909" t="s">
        <v>17162</v>
      </c>
      <c r="V909" t="s">
        <v>17163</v>
      </c>
      <c r="W909" t="s">
        <v>17164</v>
      </c>
      <c r="X909" t="s">
        <v>17165</v>
      </c>
      <c r="Y909" t="s">
        <v>17166</v>
      </c>
      <c r="Z909" t="s">
        <v>17167</v>
      </c>
      <c r="AA909" t="s">
        <v>17168</v>
      </c>
      <c r="AB909" t="s">
        <v>17169</v>
      </c>
      <c r="AC909" t="s">
        <v>17170</v>
      </c>
      <c r="AD909" t="s">
        <v>17171</v>
      </c>
      <c r="AE909" t="s">
        <v>17172</v>
      </c>
      <c r="AF909" t="s">
        <v>74</v>
      </c>
      <c r="AG909">
        <v>61</v>
      </c>
      <c r="AH909">
        <v>15</v>
      </c>
      <c r="AI909">
        <v>16</v>
      </c>
      <c r="AJ909">
        <v>0</v>
      </c>
      <c r="AK909">
        <v>10</v>
      </c>
      <c r="AL909" t="s">
        <v>582</v>
      </c>
      <c r="AM909" t="s">
        <v>583</v>
      </c>
      <c r="AN909" t="s">
        <v>584</v>
      </c>
      <c r="AO909" t="s">
        <v>1458</v>
      </c>
      <c r="AP909" t="s">
        <v>1459</v>
      </c>
      <c r="AQ909" t="s">
        <v>74</v>
      </c>
      <c r="AR909" t="s">
        <v>1445</v>
      </c>
      <c r="AS909" t="s">
        <v>1460</v>
      </c>
      <c r="AT909" t="s">
        <v>17118</v>
      </c>
      <c r="AU909">
        <v>2016</v>
      </c>
      <c r="AV909">
        <v>666</v>
      </c>
      <c r="AW909" t="s">
        <v>74</v>
      </c>
      <c r="AX909" t="s">
        <v>74</v>
      </c>
      <c r="AY909" t="s">
        <v>74</v>
      </c>
      <c r="AZ909" t="s">
        <v>74</v>
      </c>
      <c r="BA909" t="s">
        <v>74</v>
      </c>
      <c r="BB909">
        <v>211</v>
      </c>
      <c r="BC909">
        <v>219</v>
      </c>
      <c r="BD909" t="s">
        <v>74</v>
      </c>
      <c r="BE909" t="s">
        <v>17173</v>
      </c>
      <c r="BF909" t="str">
        <f>HYPERLINK("http://dx.doi.org/10.1016/j.tecto.2015.10.023","http://dx.doi.org/10.1016/j.tecto.2015.10.023")</f>
        <v>http://dx.doi.org/10.1016/j.tecto.2015.10.023</v>
      </c>
      <c r="BG909" t="s">
        <v>74</v>
      </c>
      <c r="BH909" t="s">
        <v>74</v>
      </c>
      <c r="BI909">
        <v>9</v>
      </c>
      <c r="BJ909" t="s">
        <v>727</v>
      </c>
      <c r="BK909" t="s">
        <v>102</v>
      </c>
      <c r="BL909" t="s">
        <v>727</v>
      </c>
      <c r="BM909" t="s">
        <v>17174</v>
      </c>
      <c r="BN909" t="s">
        <v>74</v>
      </c>
      <c r="BO909" t="s">
        <v>3346</v>
      </c>
      <c r="BP909" t="s">
        <v>74</v>
      </c>
      <c r="BQ909" t="s">
        <v>74</v>
      </c>
      <c r="BR909" t="s">
        <v>106</v>
      </c>
      <c r="BS909" t="s">
        <v>17175</v>
      </c>
      <c r="BT909" t="str">
        <f>HYPERLINK("https%3A%2F%2Fwww.webofscience.com%2Fwos%2Fwoscc%2Ffull-record%2FWOS:000375731600017","View Full Record in Web of Science")</f>
        <v>View Full Record in Web of Science</v>
      </c>
    </row>
    <row r="910" spans="1:72" x14ac:dyDescent="0.15">
      <c r="A910" t="s">
        <v>72</v>
      </c>
      <c r="B910" t="s">
        <v>17176</v>
      </c>
      <c r="C910" t="s">
        <v>74</v>
      </c>
      <c r="D910" t="s">
        <v>74</v>
      </c>
      <c r="E910" t="s">
        <v>74</v>
      </c>
      <c r="F910" t="s">
        <v>17177</v>
      </c>
      <c r="G910" t="s">
        <v>74</v>
      </c>
      <c r="H910" t="s">
        <v>74</v>
      </c>
      <c r="I910" t="s">
        <v>17178</v>
      </c>
      <c r="J910" t="s">
        <v>228</v>
      </c>
      <c r="K910" t="s">
        <v>74</v>
      </c>
      <c r="L910" t="s">
        <v>74</v>
      </c>
      <c r="M910" t="s">
        <v>78</v>
      </c>
      <c r="N910" t="s">
        <v>79</v>
      </c>
      <c r="O910" t="s">
        <v>74</v>
      </c>
      <c r="P910" t="s">
        <v>74</v>
      </c>
      <c r="Q910" t="s">
        <v>74</v>
      </c>
      <c r="R910" t="s">
        <v>74</v>
      </c>
      <c r="S910" t="s">
        <v>74</v>
      </c>
      <c r="T910" t="s">
        <v>17179</v>
      </c>
      <c r="U910" t="s">
        <v>17180</v>
      </c>
      <c r="V910" t="s">
        <v>17181</v>
      </c>
      <c r="W910" t="s">
        <v>17182</v>
      </c>
      <c r="X910" t="s">
        <v>17183</v>
      </c>
      <c r="Y910" t="s">
        <v>17184</v>
      </c>
      <c r="Z910" t="s">
        <v>17185</v>
      </c>
      <c r="AA910" t="s">
        <v>17186</v>
      </c>
      <c r="AB910" t="s">
        <v>17187</v>
      </c>
      <c r="AC910" t="s">
        <v>17188</v>
      </c>
      <c r="AD910" t="s">
        <v>17189</v>
      </c>
      <c r="AE910" t="s">
        <v>17190</v>
      </c>
      <c r="AF910" t="s">
        <v>74</v>
      </c>
      <c r="AG910">
        <v>71</v>
      </c>
      <c r="AH910">
        <v>40</v>
      </c>
      <c r="AI910">
        <v>40</v>
      </c>
      <c r="AJ910">
        <v>0</v>
      </c>
      <c r="AK910">
        <v>27</v>
      </c>
      <c r="AL910" t="s">
        <v>240</v>
      </c>
      <c r="AM910" t="s">
        <v>241</v>
      </c>
      <c r="AN910" t="s">
        <v>242</v>
      </c>
      <c r="AO910" t="s">
        <v>243</v>
      </c>
      <c r="AP910" t="s">
        <v>244</v>
      </c>
      <c r="AQ910" t="s">
        <v>74</v>
      </c>
      <c r="AR910" t="s">
        <v>228</v>
      </c>
      <c r="AS910" t="s">
        <v>245</v>
      </c>
      <c r="AT910" t="s">
        <v>17118</v>
      </c>
      <c r="AU910">
        <v>2016</v>
      </c>
      <c r="AV910">
        <v>264</v>
      </c>
      <c r="AW910" t="s">
        <v>74</v>
      </c>
      <c r="AX910" t="s">
        <v>74</v>
      </c>
      <c r="AY910" t="s">
        <v>74</v>
      </c>
      <c r="AZ910" t="s">
        <v>74</v>
      </c>
      <c r="BA910" t="s">
        <v>74</v>
      </c>
      <c r="BB910">
        <v>172</v>
      </c>
      <c r="BC910">
        <v>183</v>
      </c>
      <c r="BD910" t="s">
        <v>74</v>
      </c>
      <c r="BE910" t="s">
        <v>17191</v>
      </c>
      <c r="BF910" t="str">
        <f>HYPERLINK("http://dx.doi.org/10.1016/j.icarus.2015.09.005","http://dx.doi.org/10.1016/j.icarus.2015.09.005")</f>
        <v>http://dx.doi.org/10.1016/j.icarus.2015.09.005</v>
      </c>
      <c r="BG910" t="s">
        <v>74</v>
      </c>
      <c r="BH910" t="s">
        <v>74</v>
      </c>
      <c r="BI910">
        <v>12</v>
      </c>
      <c r="BJ910" t="s">
        <v>248</v>
      </c>
      <c r="BK910" t="s">
        <v>102</v>
      </c>
      <c r="BL910" t="s">
        <v>248</v>
      </c>
      <c r="BM910" t="s">
        <v>17192</v>
      </c>
      <c r="BN910" t="s">
        <v>74</v>
      </c>
      <c r="BO910" t="s">
        <v>74</v>
      </c>
      <c r="BP910" t="s">
        <v>74</v>
      </c>
      <c r="BQ910" t="s">
        <v>74</v>
      </c>
      <c r="BR910" t="s">
        <v>106</v>
      </c>
      <c r="BS910" t="s">
        <v>17193</v>
      </c>
      <c r="BT910" t="str">
        <f>HYPERLINK("https%3A%2F%2Fwww.webofscience.com%2Fwos%2Fwoscc%2Ffull-record%2FWOS:000365150300014","View Full Record in Web of Science")</f>
        <v>View Full Record in Web of Science</v>
      </c>
    </row>
    <row r="911" spans="1:72" x14ac:dyDescent="0.15">
      <c r="A911" t="s">
        <v>72</v>
      </c>
      <c r="B911" t="s">
        <v>17194</v>
      </c>
      <c r="C911" t="s">
        <v>74</v>
      </c>
      <c r="D911" t="s">
        <v>74</v>
      </c>
      <c r="E911" t="s">
        <v>74</v>
      </c>
      <c r="F911" t="s">
        <v>17195</v>
      </c>
      <c r="G911" t="s">
        <v>74</v>
      </c>
      <c r="H911" t="s">
        <v>74</v>
      </c>
      <c r="I911" t="s">
        <v>17196</v>
      </c>
      <c r="J911" t="s">
        <v>1196</v>
      </c>
      <c r="K911" t="s">
        <v>74</v>
      </c>
      <c r="L911" t="s">
        <v>74</v>
      </c>
      <c r="M911" t="s">
        <v>78</v>
      </c>
      <c r="N911" t="s">
        <v>79</v>
      </c>
      <c r="O911" t="s">
        <v>74</v>
      </c>
      <c r="P911" t="s">
        <v>74</v>
      </c>
      <c r="Q911" t="s">
        <v>74</v>
      </c>
      <c r="R911" t="s">
        <v>74</v>
      </c>
      <c r="S911" t="s">
        <v>74</v>
      </c>
      <c r="T911" t="s">
        <v>74</v>
      </c>
      <c r="U911" t="s">
        <v>17197</v>
      </c>
      <c r="V911" t="s">
        <v>17198</v>
      </c>
      <c r="W911" t="s">
        <v>17199</v>
      </c>
      <c r="X911" t="s">
        <v>17200</v>
      </c>
      <c r="Y911" t="s">
        <v>17201</v>
      </c>
      <c r="Z911" t="s">
        <v>17202</v>
      </c>
      <c r="AA911" t="s">
        <v>17203</v>
      </c>
      <c r="AB911" t="s">
        <v>17204</v>
      </c>
      <c r="AC911" t="s">
        <v>17205</v>
      </c>
      <c r="AD911" t="s">
        <v>17206</v>
      </c>
      <c r="AE911" t="s">
        <v>17207</v>
      </c>
      <c r="AF911" t="s">
        <v>74</v>
      </c>
      <c r="AG911">
        <v>97</v>
      </c>
      <c r="AH911">
        <v>24</v>
      </c>
      <c r="AI911">
        <v>29</v>
      </c>
      <c r="AJ911">
        <v>0</v>
      </c>
      <c r="AK911">
        <v>45</v>
      </c>
      <c r="AL911" t="s">
        <v>1207</v>
      </c>
      <c r="AM911" t="s">
        <v>1208</v>
      </c>
      <c r="AN911" t="s">
        <v>1209</v>
      </c>
      <c r="AO911" t="s">
        <v>1210</v>
      </c>
      <c r="AP911" t="s">
        <v>74</v>
      </c>
      <c r="AQ911" t="s">
        <v>74</v>
      </c>
      <c r="AR911" t="s">
        <v>1196</v>
      </c>
      <c r="AS911" t="s">
        <v>1211</v>
      </c>
      <c r="AT911" t="s">
        <v>17208</v>
      </c>
      <c r="AU911">
        <v>2016</v>
      </c>
      <c r="AV911">
        <v>11</v>
      </c>
      <c r="AW911">
        <v>1</v>
      </c>
      <c r="AX911" t="s">
        <v>74</v>
      </c>
      <c r="AY911" t="s">
        <v>74</v>
      </c>
      <c r="AZ911" t="s">
        <v>74</v>
      </c>
      <c r="BA911" t="s">
        <v>74</v>
      </c>
      <c r="BB911" t="s">
        <v>74</v>
      </c>
      <c r="BC911" t="s">
        <v>74</v>
      </c>
      <c r="BD911" t="s">
        <v>17209</v>
      </c>
      <c r="BE911" t="s">
        <v>17210</v>
      </c>
      <c r="BF911" t="str">
        <f>HYPERLINK("http://dx.doi.org/10.1371/journal.pone.0145352","http://dx.doi.org/10.1371/journal.pone.0145352")</f>
        <v>http://dx.doi.org/10.1371/journal.pone.0145352</v>
      </c>
      <c r="BG911" t="s">
        <v>74</v>
      </c>
      <c r="BH911" t="s">
        <v>74</v>
      </c>
      <c r="BI911">
        <v>17</v>
      </c>
      <c r="BJ911" t="s">
        <v>753</v>
      </c>
      <c r="BK911" t="s">
        <v>102</v>
      </c>
      <c r="BL911" t="s">
        <v>754</v>
      </c>
      <c r="BM911" t="s">
        <v>17211</v>
      </c>
      <c r="BN911">
        <v>26761814</v>
      </c>
      <c r="BO911" t="s">
        <v>13009</v>
      </c>
      <c r="BP911" t="s">
        <v>74</v>
      </c>
      <c r="BQ911" t="s">
        <v>74</v>
      </c>
      <c r="BR911" t="s">
        <v>106</v>
      </c>
      <c r="BS911" t="s">
        <v>17212</v>
      </c>
      <c r="BT911" t="str">
        <f>HYPERLINK("https%3A%2F%2Fwww.webofscience.com%2Fwos%2Fwoscc%2Ffull-record%2FWOS:000368033100013","View Full Record in Web of Science")</f>
        <v>View Full Record in Web of Science</v>
      </c>
    </row>
    <row r="912" spans="1:72" x14ac:dyDescent="0.15">
      <c r="A912" t="s">
        <v>72</v>
      </c>
      <c r="B912" t="s">
        <v>17213</v>
      </c>
      <c r="C912" t="s">
        <v>74</v>
      </c>
      <c r="D912" t="s">
        <v>74</v>
      </c>
      <c r="E912" t="s">
        <v>74</v>
      </c>
      <c r="F912" t="s">
        <v>17214</v>
      </c>
      <c r="G912" t="s">
        <v>74</v>
      </c>
      <c r="H912" t="s">
        <v>74</v>
      </c>
      <c r="I912" t="s">
        <v>17215</v>
      </c>
      <c r="J912" t="s">
        <v>17216</v>
      </c>
      <c r="K912" t="s">
        <v>74</v>
      </c>
      <c r="L912" t="s">
        <v>74</v>
      </c>
      <c r="M912" t="s">
        <v>78</v>
      </c>
      <c r="N912" t="s">
        <v>79</v>
      </c>
      <c r="O912" t="s">
        <v>74</v>
      </c>
      <c r="P912" t="s">
        <v>74</v>
      </c>
      <c r="Q912" t="s">
        <v>74</v>
      </c>
      <c r="R912" t="s">
        <v>74</v>
      </c>
      <c r="S912" t="s">
        <v>74</v>
      </c>
      <c r="T912" t="s">
        <v>17217</v>
      </c>
      <c r="U912" t="s">
        <v>74</v>
      </c>
      <c r="V912" t="s">
        <v>17218</v>
      </c>
      <c r="W912" t="s">
        <v>17219</v>
      </c>
      <c r="X912" t="s">
        <v>17220</v>
      </c>
      <c r="Y912" t="s">
        <v>17221</v>
      </c>
      <c r="Z912" t="s">
        <v>17222</v>
      </c>
      <c r="AA912" t="s">
        <v>17223</v>
      </c>
      <c r="AB912" t="s">
        <v>17224</v>
      </c>
      <c r="AC912" t="s">
        <v>17225</v>
      </c>
      <c r="AD912" t="s">
        <v>17226</v>
      </c>
      <c r="AE912" t="s">
        <v>17227</v>
      </c>
      <c r="AF912" t="s">
        <v>74</v>
      </c>
      <c r="AG912">
        <v>11</v>
      </c>
      <c r="AH912">
        <v>22</v>
      </c>
      <c r="AI912">
        <v>24</v>
      </c>
      <c r="AJ912">
        <v>2</v>
      </c>
      <c r="AK912">
        <v>22</v>
      </c>
      <c r="AL912" t="s">
        <v>1657</v>
      </c>
      <c r="AM912" t="s">
        <v>679</v>
      </c>
      <c r="AN912" t="s">
        <v>1658</v>
      </c>
      <c r="AO912" t="s">
        <v>17228</v>
      </c>
      <c r="AP912" t="s">
        <v>17229</v>
      </c>
      <c r="AQ912" t="s">
        <v>74</v>
      </c>
      <c r="AR912" t="s">
        <v>17230</v>
      </c>
      <c r="AS912" t="s">
        <v>17231</v>
      </c>
      <c r="AT912" t="s">
        <v>17232</v>
      </c>
      <c r="AU912">
        <v>2016</v>
      </c>
      <c r="AV912">
        <v>455</v>
      </c>
      <c r="AW912">
        <v>2</v>
      </c>
      <c r="AX912" t="s">
        <v>74</v>
      </c>
      <c r="AY912" t="s">
        <v>74</v>
      </c>
      <c r="AZ912" t="s">
        <v>74</v>
      </c>
      <c r="BA912" t="s">
        <v>74</v>
      </c>
      <c r="BB912">
        <v>1654</v>
      </c>
      <c r="BC912">
        <v>1664</v>
      </c>
      <c r="BD912" t="s">
        <v>74</v>
      </c>
      <c r="BE912" t="s">
        <v>17233</v>
      </c>
      <c r="BF912" t="str">
        <f>HYPERLINK("http://dx.doi.org/10.1093/mnras/stv2299","http://dx.doi.org/10.1093/mnras/stv2299")</f>
        <v>http://dx.doi.org/10.1093/mnras/stv2299</v>
      </c>
      <c r="BG912" t="s">
        <v>74</v>
      </c>
      <c r="BH912" t="s">
        <v>74</v>
      </c>
      <c r="BI912">
        <v>11</v>
      </c>
      <c r="BJ912" t="s">
        <v>248</v>
      </c>
      <c r="BK912" t="s">
        <v>102</v>
      </c>
      <c r="BL912" t="s">
        <v>248</v>
      </c>
      <c r="BM912" t="s">
        <v>17234</v>
      </c>
      <c r="BN912" t="s">
        <v>74</v>
      </c>
      <c r="BO912" t="s">
        <v>3370</v>
      </c>
      <c r="BP912" t="s">
        <v>74</v>
      </c>
      <c r="BQ912" t="s">
        <v>74</v>
      </c>
      <c r="BR912" t="s">
        <v>106</v>
      </c>
      <c r="BS912" t="s">
        <v>17235</v>
      </c>
      <c r="BT912" t="str">
        <f>HYPERLINK("https%3A%2F%2Fwww.webofscience.com%2Fwos%2Fwoscc%2Ffull-record%2FWOS:000368007100038","View Full Record in Web of Science")</f>
        <v>View Full Record in Web of Science</v>
      </c>
    </row>
    <row r="913" spans="1:72" x14ac:dyDescent="0.15">
      <c r="A913" t="s">
        <v>72</v>
      </c>
      <c r="B913" t="s">
        <v>17236</v>
      </c>
      <c r="C913" t="s">
        <v>74</v>
      </c>
      <c r="D913" t="s">
        <v>74</v>
      </c>
      <c r="E913" t="s">
        <v>74</v>
      </c>
      <c r="F913" t="s">
        <v>17237</v>
      </c>
      <c r="G913" t="s">
        <v>74</v>
      </c>
      <c r="H913" t="s">
        <v>74</v>
      </c>
      <c r="I913" t="s">
        <v>17238</v>
      </c>
      <c r="J913" t="s">
        <v>1196</v>
      </c>
      <c r="K913" t="s">
        <v>74</v>
      </c>
      <c r="L913" t="s">
        <v>74</v>
      </c>
      <c r="M913" t="s">
        <v>78</v>
      </c>
      <c r="N913" t="s">
        <v>79</v>
      </c>
      <c r="O913" t="s">
        <v>74</v>
      </c>
      <c r="P913" t="s">
        <v>74</v>
      </c>
      <c r="Q913" t="s">
        <v>74</v>
      </c>
      <c r="R913" t="s">
        <v>74</v>
      </c>
      <c r="S913" t="s">
        <v>74</v>
      </c>
      <c r="T913" t="s">
        <v>74</v>
      </c>
      <c r="U913" t="s">
        <v>17239</v>
      </c>
      <c r="V913" t="s">
        <v>17240</v>
      </c>
      <c r="W913" t="s">
        <v>17241</v>
      </c>
      <c r="X913" t="s">
        <v>17242</v>
      </c>
      <c r="Y913" t="s">
        <v>17243</v>
      </c>
      <c r="Z913" t="s">
        <v>17244</v>
      </c>
      <c r="AA913" t="s">
        <v>17245</v>
      </c>
      <c r="AB913" t="s">
        <v>17246</v>
      </c>
      <c r="AC913" t="s">
        <v>17247</v>
      </c>
      <c r="AD913" t="s">
        <v>17248</v>
      </c>
      <c r="AE913" t="s">
        <v>17249</v>
      </c>
      <c r="AF913" t="s">
        <v>74</v>
      </c>
      <c r="AG913">
        <v>101</v>
      </c>
      <c r="AH913">
        <v>15</v>
      </c>
      <c r="AI913">
        <v>16</v>
      </c>
      <c r="AJ913">
        <v>0</v>
      </c>
      <c r="AK913">
        <v>35</v>
      </c>
      <c r="AL913" t="s">
        <v>1207</v>
      </c>
      <c r="AM913" t="s">
        <v>1208</v>
      </c>
      <c r="AN913" t="s">
        <v>1209</v>
      </c>
      <c r="AO913" t="s">
        <v>1210</v>
      </c>
      <c r="AP913" t="s">
        <v>74</v>
      </c>
      <c r="AQ913" t="s">
        <v>74</v>
      </c>
      <c r="AR913" t="s">
        <v>1196</v>
      </c>
      <c r="AS913" t="s">
        <v>1211</v>
      </c>
      <c r="AT913" t="s">
        <v>17232</v>
      </c>
      <c r="AU913">
        <v>2016</v>
      </c>
      <c r="AV913">
        <v>11</v>
      </c>
      <c r="AW913">
        <v>1</v>
      </c>
      <c r="AX913" t="s">
        <v>74</v>
      </c>
      <c r="AY913" t="s">
        <v>74</v>
      </c>
      <c r="AZ913" t="s">
        <v>74</v>
      </c>
      <c r="BA913" t="s">
        <v>74</v>
      </c>
      <c r="BB913" t="s">
        <v>74</v>
      </c>
      <c r="BC913" t="s">
        <v>74</v>
      </c>
      <c r="BD913" t="s">
        <v>17250</v>
      </c>
      <c r="BE913" t="s">
        <v>17251</v>
      </c>
      <c r="BF913" t="str">
        <f>HYPERLINK("http://dx.doi.org/10.1371/journal.pone.0146590","http://dx.doi.org/10.1371/journal.pone.0146590")</f>
        <v>http://dx.doi.org/10.1371/journal.pone.0146590</v>
      </c>
      <c r="BG913" t="s">
        <v>74</v>
      </c>
      <c r="BH913" t="s">
        <v>74</v>
      </c>
      <c r="BI913">
        <v>17</v>
      </c>
      <c r="BJ913" t="s">
        <v>753</v>
      </c>
      <c r="BK913" t="s">
        <v>102</v>
      </c>
      <c r="BL913" t="s">
        <v>754</v>
      </c>
      <c r="BM913" t="s">
        <v>17252</v>
      </c>
      <c r="BN913">
        <v>26751689</v>
      </c>
      <c r="BO913" t="s">
        <v>993</v>
      </c>
      <c r="BP913" t="s">
        <v>74</v>
      </c>
      <c r="BQ913" t="s">
        <v>74</v>
      </c>
      <c r="BR913" t="s">
        <v>106</v>
      </c>
      <c r="BS913" t="s">
        <v>17253</v>
      </c>
      <c r="BT913" t="str">
        <f>HYPERLINK("https%3A%2F%2Fwww.webofscience.com%2Fwos%2Fwoscc%2Ffull-record%2FWOS:000367888100107","View Full Record in Web of Science")</f>
        <v>View Full Record in Web of Science</v>
      </c>
    </row>
    <row r="914" spans="1:72" x14ac:dyDescent="0.15">
      <c r="A914" t="s">
        <v>72</v>
      </c>
      <c r="B914" t="s">
        <v>17254</v>
      </c>
      <c r="C914" t="s">
        <v>74</v>
      </c>
      <c r="D914" t="s">
        <v>74</v>
      </c>
      <c r="E914" t="s">
        <v>74</v>
      </c>
      <c r="F914" t="s">
        <v>17255</v>
      </c>
      <c r="G914" t="s">
        <v>74</v>
      </c>
      <c r="H914" t="s">
        <v>74</v>
      </c>
      <c r="I914" t="s">
        <v>17256</v>
      </c>
      <c r="J914" t="s">
        <v>17257</v>
      </c>
      <c r="K914" t="s">
        <v>74</v>
      </c>
      <c r="L914" t="s">
        <v>74</v>
      </c>
      <c r="M914" t="s">
        <v>78</v>
      </c>
      <c r="N914" t="s">
        <v>79</v>
      </c>
      <c r="O914" t="s">
        <v>74</v>
      </c>
      <c r="P914" t="s">
        <v>74</v>
      </c>
      <c r="Q914" t="s">
        <v>74</v>
      </c>
      <c r="R914" t="s">
        <v>74</v>
      </c>
      <c r="S914" t="s">
        <v>74</v>
      </c>
      <c r="T914" t="s">
        <v>17258</v>
      </c>
      <c r="U914" t="s">
        <v>17259</v>
      </c>
      <c r="V914" t="s">
        <v>17260</v>
      </c>
      <c r="W914" t="s">
        <v>17261</v>
      </c>
      <c r="X914" t="s">
        <v>17262</v>
      </c>
      <c r="Y914" t="s">
        <v>17263</v>
      </c>
      <c r="Z914" t="s">
        <v>74</v>
      </c>
      <c r="AA914" t="s">
        <v>17264</v>
      </c>
      <c r="AB914" t="s">
        <v>17265</v>
      </c>
      <c r="AC914" t="s">
        <v>17266</v>
      </c>
      <c r="AD914" t="s">
        <v>17267</v>
      </c>
      <c r="AE914" t="s">
        <v>17268</v>
      </c>
      <c r="AF914" t="s">
        <v>74</v>
      </c>
      <c r="AG914">
        <v>41</v>
      </c>
      <c r="AH914">
        <v>80</v>
      </c>
      <c r="AI914">
        <v>84</v>
      </c>
      <c r="AJ914">
        <v>1</v>
      </c>
      <c r="AK914">
        <v>38</v>
      </c>
      <c r="AL914" t="s">
        <v>2058</v>
      </c>
      <c r="AM914" t="s">
        <v>2059</v>
      </c>
      <c r="AN914" t="s">
        <v>2060</v>
      </c>
      <c r="AO914" t="s">
        <v>17269</v>
      </c>
      <c r="AP914" t="s">
        <v>17270</v>
      </c>
      <c r="AQ914" t="s">
        <v>74</v>
      </c>
      <c r="AR914" t="s">
        <v>17271</v>
      </c>
      <c r="AS914" t="s">
        <v>17272</v>
      </c>
      <c r="AT914" t="s">
        <v>17273</v>
      </c>
      <c r="AU914">
        <v>2016</v>
      </c>
      <c r="AV914">
        <v>816</v>
      </c>
      <c r="AW914">
        <v>2</v>
      </c>
      <c r="AX914" t="s">
        <v>74</v>
      </c>
      <c r="AY914" t="s">
        <v>74</v>
      </c>
      <c r="AZ914" t="s">
        <v>74</v>
      </c>
      <c r="BA914" t="s">
        <v>74</v>
      </c>
      <c r="BB914" t="s">
        <v>74</v>
      </c>
      <c r="BC914" t="s">
        <v>74</v>
      </c>
      <c r="BD914" t="s">
        <v>17274</v>
      </c>
      <c r="BE914" t="s">
        <v>17275</v>
      </c>
      <c r="BF914" t="str">
        <f>HYPERLINK("http://dx.doi.org/10.3847/2041-8205/816/2/L32","http://dx.doi.org/10.3847/2041-8205/816/2/L32")</f>
        <v>http://dx.doi.org/10.3847/2041-8205/816/2/L32</v>
      </c>
      <c r="BG914" t="s">
        <v>74</v>
      </c>
      <c r="BH914" t="s">
        <v>74</v>
      </c>
      <c r="BI914">
        <v>6</v>
      </c>
      <c r="BJ914" t="s">
        <v>248</v>
      </c>
      <c r="BK914" t="s">
        <v>102</v>
      </c>
      <c r="BL914" t="s">
        <v>248</v>
      </c>
      <c r="BM914" t="s">
        <v>17276</v>
      </c>
      <c r="BN914" t="s">
        <v>74</v>
      </c>
      <c r="BO914" t="s">
        <v>293</v>
      </c>
      <c r="BP914" t="s">
        <v>74</v>
      </c>
      <c r="BQ914" t="s">
        <v>74</v>
      </c>
      <c r="BR914" t="s">
        <v>106</v>
      </c>
      <c r="BS914" t="s">
        <v>17277</v>
      </c>
      <c r="BT914" t="str">
        <f>HYPERLINK("https%3A%2F%2Fwww.webofscience.com%2Fwos%2Fwoscc%2Ffull-record%2FWOS:000369370500014","View Full Record in Web of Science")</f>
        <v>View Full Record in Web of Science</v>
      </c>
    </row>
    <row r="915" spans="1:72" x14ac:dyDescent="0.15">
      <c r="A915" t="s">
        <v>72</v>
      </c>
      <c r="B915" t="s">
        <v>17278</v>
      </c>
      <c r="C915" t="s">
        <v>74</v>
      </c>
      <c r="D915" t="s">
        <v>74</v>
      </c>
      <c r="E915" t="s">
        <v>74</v>
      </c>
      <c r="F915" t="s">
        <v>17279</v>
      </c>
      <c r="G915" t="s">
        <v>74</v>
      </c>
      <c r="H915" t="s">
        <v>74</v>
      </c>
      <c r="I915" t="s">
        <v>17280</v>
      </c>
      <c r="J915" t="s">
        <v>5802</v>
      </c>
      <c r="K915" t="s">
        <v>74</v>
      </c>
      <c r="L915" t="s">
        <v>74</v>
      </c>
      <c r="M915" t="s">
        <v>78</v>
      </c>
      <c r="N915" t="s">
        <v>79</v>
      </c>
      <c r="O915" t="s">
        <v>74</v>
      </c>
      <c r="P915" t="s">
        <v>74</v>
      </c>
      <c r="Q915" t="s">
        <v>74</v>
      </c>
      <c r="R915" t="s">
        <v>74</v>
      </c>
      <c r="S915" t="s">
        <v>74</v>
      </c>
      <c r="T915" t="s">
        <v>17281</v>
      </c>
      <c r="U915" t="s">
        <v>17282</v>
      </c>
      <c r="V915" t="s">
        <v>17283</v>
      </c>
      <c r="W915" t="s">
        <v>17284</v>
      </c>
      <c r="X915" t="s">
        <v>17285</v>
      </c>
      <c r="Y915" t="s">
        <v>17286</v>
      </c>
      <c r="Z915" t="s">
        <v>17287</v>
      </c>
      <c r="AA915" t="s">
        <v>17288</v>
      </c>
      <c r="AB915" t="s">
        <v>17289</v>
      </c>
      <c r="AC915" t="s">
        <v>17290</v>
      </c>
      <c r="AD915" t="s">
        <v>17291</v>
      </c>
      <c r="AE915" t="s">
        <v>17292</v>
      </c>
      <c r="AF915" t="s">
        <v>74</v>
      </c>
      <c r="AG915">
        <v>40</v>
      </c>
      <c r="AH915">
        <v>10</v>
      </c>
      <c r="AI915">
        <v>11</v>
      </c>
      <c r="AJ915">
        <v>2</v>
      </c>
      <c r="AK915">
        <v>34</v>
      </c>
      <c r="AL915" t="s">
        <v>626</v>
      </c>
      <c r="AM915" t="s">
        <v>583</v>
      </c>
      <c r="AN915" t="s">
        <v>627</v>
      </c>
      <c r="AO915" t="s">
        <v>5814</v>
      </c>
      <c r="AP915" t="s">
        <v>5815</v>
      </c>
      <c r="AQ915" t="s">
        <v>74</v>
      </c>
      <c r="AR915" t="s">
        <v>5816</v>
      </c>
      <c r="AS915" t="s">
        <v>5817</v>
      </c>
      <c r="AT915" t="s">
        <v>17273</v>
      </c>
      <c r="AU915">
        <v>2016</v>
      </c>
      <c r="AV915">
        <v>319</v>
      </c>
      <c r="AW915" t="s">
        <v>74</v>
      </c>
      <c r="AX915" t="s">
        <v>74</v>
      </c>
      <c r="AY915" t="s">
        <v>74</v>
      </c>
      <c r="AZ915" t="s">
        <v>589</v>
      </c>
      <c r="BA915" t="s">
        <v>74</v>
      </c>
      <c r="BB915">
        <v>21</v>
      </c>
      <c r="BC915">
        <v>30</v>
      </c>
      <c r="BD915" t="s">
        <v>74</v>
      </c>
      <c r="BE915" t="s">
        <v>17293</v>
      </c>
      <c r="BF915" t="str">
        <f>HYPERLINK("http://dx.doi.org/10.1016/j.ecolmodel.2015.03.008","http://dx.doi.org/10.1016/j.ecolmodel.2015.03.008")</f>
        <v>http://dx.doi.org/10.1016/j.ecolmodel.2015.03.008</v>
      </c>
      <c r="BG915" t="s">
        <v>74</v>
      </c>
      <c r="BH915" t="s">
        <v>74</v>
      </c>
      <c r="BI915">
        <v>10</v>
      </c>
      <c r="BJ915" t="s">
        <v>4041</v>
      </c>
      <c r="BK915" t="s">
        <v>102</v>
      </c>
      <c r="BL915" t="s">
        <v>465</v>
      </c>
      <c r="BM915" t="s">
        <v>17294</v>
      </c>
      <c r="BN915" t="s">
        <v>74</v>
      </c>
      <c r="BO915" t="s">
        <v>74</v>
      </c>
      <c r="BP915" t="s">
        <v>74</v>
      </c>
      <c r="BQ915" t="s">
        <v>74</v>
      </c>
      <c r="BR915" t="s">
        <v>106</v>
      </c>
      <c r="BS915" t="s">
        <v>17295</v>
      </c>
      <c r="BT915" t="str">
        <f>HYPERLINK("https%3A%2F%2Fwww.webofscience.com%2Fwos%2Fwoscc%2Ffull-record%2FWOS:000367413500004","View Full Record in Web of Science")</f>
        <v>View Full Record in Web of Science</v>
      </c>
    </row>
    <row r="916" spans="1:72" x14ac:dyDescent="0.15">
      <c r="A916" t="s">
        <v>72</v>
      </c>
      <c r="B916" t="s">
        <v>17296</v>
      </c>
      <c r="C916" t="s">
        <v>74</v>
      </c>
      <c r="D916" t="s">
        <v>74</v>
      </c>
      <c r="E916" t="s">
        <v>74</v>
      </c>
      <c r="F916" t="s">
        <v>17297</v>
      </c>
      <c r="G916" t="s">
        <v>74</v>
      </c>
      <c r="H916" t="s">
        <v>74</v>
      </c>
      <c r="I916" t="s">
        <v>17298</v>
      </c>
      <c r="J916" t="s">
        <v>8651</v>
      </c>
      <c r="K916" t="s">
        <v>74</v>
      </c>
      <c r="L916" t="s">
        <v>74</v>
      </c>
      <c r="M916" t="s">
        <v>78</v>
      </c>
      <c r="N916" t="s">
        <v>79</v>
      </c>
      <c r="O916" t="s">
        <v>74</v>
      </c>
      <c r="P916" t="s">
        <v>74</v>
      </c>
      <c r="Q916" t="s">
        <v>74</v>
      </c>
      <c r="R916" t="s">
        <v>74</v>
      </c>
      <c r="S916" t="s">
        <v>74</v>
      </c>
      <c r="T916" t="s">
        <v>74</v>
      </c>
      <c r="U916" t="s">
        <v>17299</v>
      </c>
      <c r="V916" t="s">
        <v>17300</v>
      </c>
      <c r="W916" t="s">
        <v>17301</v>
      </c>
      <c r="X916" t="s">
        <v>17302</v>
      </c>
      <c r="Y916" t="s">
        <v>17303</v>
      </c>
      <c r="Z916" t="s">
        <v>17304</v>
      </c>
      <c r="AA916" t="s">
        <v>17305</v>
      </c>
      <c r="AB916" t="s">
        <v>17306</v>
      </c>
      <c r="AC916" t="s">
        <v>17307</v>
      </c>
      <c r="AD916" t="s">
        <v>17308</v>
      </c>
      <c r="AE916" t="s">
        <v>17309</v>
      </c>
      <c r="AF916" t="s">
        <v>74</v>
      </c>
      <c r="AG916">
        <v>39</v>
      </c>
      <c r="AH916">
        <v>44</v>
      </c>
      <c r="AI916">
        <v>52</v>
      </c>
      <c r="AJ916">
        <v>0</v>
      </c>
      <c r="AK916">
        <v>57</v>
      </c>
      <c r="AL916" t="s">
        <v>985</v>
      </c>
      <c r="AM916" t="s">
        <v>93</v>
      </c>
      <c r="AN916" t="s">
        <v>986</v>
      </c>
      <c r="AO916" t="s">
        <v>8663</v>
      </c>
      <c r="AP916" t="s">
        <v>8664</v>
      </c>
      <c r="AQ916" t="s">
        <v>74</v>
      </c>
      <c r="AR916" t="s">
        <v>8651</v>
      </c>
      <c r="AS916" t="s">
        <v>8665</v>
      </c>
      <c r="AT916" t="s">
        <v>17310</v>
      </c>
      <c r="AU916">
        <v>2016</v>
      </c>
      <c r="AV916">
        <v>351</v>
      </c>
      <c r="AW916">
        <v>6269</v>
      </c>
      <c r="AX916" t="s">
        <v>74</v>
      </c>
      <c r="AY916" t="s">
        <v>74</v>
      </c>
      <c r="AZ916" t="s">
        <v>74</v>
      </c>
      <c r="BA916" t="s">
        <v>74</v>
      </c>
      <c r="BB916">
        <v>165</v>
      </c>
      <c r="BC916">
        <v>168</v>
      </c>
      <c r="BD916" t="s">
        <v>74</v>
      </c>
      <c r="BE916" t="s">
        <v>17311</v>
      </c>
      <c r="BF916" t="str">
        <f>HYPERLINK("http://dx.doi.org/10.1126/science.aad4132","http://dx.doi.org/10.1126/science.aad4132")</f>
        <v>http://dx.doi.org/10.1126/science.aad4132</v>
      </c>
      <c r="BG916" t="s">
        <v>74</v>
      </c>
      <c r="BH916" t="s">
        <v>74</v>
      </c>
      <c r="BI916">
        <v>4</v>
      </c>
      <c r="BJ916" t="s">
        <v>753</v>
      </c>
      <c r="BK916" t="s">
        <v>102</v>
      </c>
      <c r="BL916" t="s">
        <v>754</v>
      </c>
      <c r="BM916" t="s">
        <v>17312</v>
      </c>
      <c r="BN916">
        <v>26744404</v>
      </c>
      <c r="BO916" t="s">
        <v>420</v>
      </c>
      <c r="BP916" t="s">
        <v>74</v>
      </c>
      <c r="BQ916" t="s">
        <v>74</v>
      </c>
      <c r="BR916" t="s">
        <v>106</v>
      </c>
      <c r="BS916" t="s">
        <v>17313</v>
      </c>
      <c r="BT916" t="str">
        <f>HYPERLINK("https%3A%2F%2Fwww.webofscience.com%2Fwos%2Fwoscc%2Ffull-record%2FWOS:000367806500040","View Full Record in Web of Science")</f>
        <v>View Full Record in Web of Science</v>
      </c>
    </row>
    <row r="917" spans="1:72" x14ac:dyDescent="0.15">
      <c r="A917" t="s">
        <v>72</v>
      </c>
      <c r="B917" t="s">
        <v>17314</v>
      </c>
      <c r="C917" t="s">
        <v>74</v>
      </c>
      <c r="D917" t="s">
        <v>74</v>
      </c>
      <c r="E917" t="s">
        <v>74</v>
      </c>
      <c r="F917" t="s">
        <v>17315</v>
      </c>
      <c r="G917" t="s">
        <v>74</v>
      </c>
      <c r="H917" t="s">
        <v>74</v>
      </c>
      <c r="I917" t="s">
        <v>17316</v>
      </c>
      <c r="J917" t="s">
        <v>8651</v>
      </c>
      <c r="K917" t="s">
        <v>74</v>
      </c>
      <c r="L917" t="s">
        <v>74</v>
      </c>
      <c r="M917" t="s">
        <v>78</v>
      </c>
      <c r="N917" t="s">
        <v>79</v>
      </c>
      <c r="O917" t="s">
        <v>74</v>
      </c>
      <c r="P917" t="s">
        <v>74</v>
      </c>
      <c r="Q917" t="s">
        <v>74</v>
      </c>
      <c r="R917" t="s">
        <v>74</v>
      </c>
      <c r="S917" t="s">
        <v>74</v>
      </c>
      <c r="T917" t="s">
        <v>74</v>
      </c>
      <c r="U917" t="s">
        <v>17317</v>
      </c>
      <c r="V917" t="s">
        <v>17318</v>
      </c>
      <c r="W917" t="s">
        <v>17319</v>
      </c>
      <c r="X917" t="s">
        <v>17320</v>
      </c>
      <c r="Y917" t="s">
        <v>17321</v>
      </c>
      <c r="Z917" t="s">
        <v>17322</v>
      </c>
      <c r="AA917" t="s">
        <v>17323</v>
      </c>
      <c r="AB917" t="s">
        <v>17324</v>
      </c>
      <c r="AC917" t="s">
        <v>17325</v>
      </c>
      <c r="AD917" t="s">
        <v>17326</v>
      </c>
      <c r="AE917" t="s">
        <v>17327</v>
      </c>
      <c r="AF917" t="s">
        <v>74</v>
      </c>
      <c r="AG917">
        <v>62</v>
      </c>
      <c r="AH917">
        <v>300</v>
      </c>
      <c r="AI917">
        <v>331</v>
      </c>
      <c r="AJ917">
        <v>39</v>
      </c>
      <c r="AK917">
        <v>404</v>
      </c>
      <c r="AL917" t="s">
        <v>985</v>
      </c>
      <c r="AM917" t="s">
        <v>93</v>
      </c>
      <c r="AN917" t="s">
        <v>986</v>
      </c>
      <c r="AO917" t="s">
        <v>8663</v>
      </c>
      <c r="AP917" t="s">
        <v>8664</v>
      </c>
      <c r="AQ917" t="s">
        <v>74</v>
      </c>
      <c r="AR917" t="s">
        <v>8651</v>
      </c>
      <c r="AS917" t="s">
        <v>8665</v>
      </c>
      <c r="AT917" t="s">
        <v>17310</v>
      </c>
      <c r="AU917">
        <v>2016</v>
      </c>
      <c r="AV917">
        <v>351</v>
      </c>
      <c r="AW917">
        <v>6269</v>
      </c>
      <c r="AX917" t="s">
        <v>74</v>
      </c>
      <c r="AY917" t="s">
        <v>74</v>
      </c>
      <c r="AZ917" t="s">
        <v>74</v>
      </c>
      <c r="BA917" t="s">
        <v>74</v>
      </c>
      <c r="BB917" t="s">
        <v>74</v>
      </c>
      <c r="BC917" t="s">
        <v>74</v>
      </c>
      <c r="BD917" t="s">
        <v>17328</v>
      </c>
      <c r="BE917" t="s">
        <v>17329</v>
      </c>
      <c r="BF917" t="str">
        <f>HYPERLINK("http://dx.doi.org/10.1126/science.aac8353","http://dx.doi.org/10.1126/science.aac8353")</f>
        <v>http://dx.doi.org/10.1126/science.aac8353</v>
      </c>
      <c r="BG917" t="s">
        <v>74</v>
      </c>
      <c r="BH917" t="s">
        <v>74</v>
      </c>
      <c r="BI917">
        <v>10</v>
      </c>
      <c r="BJ917" t="s">
        <v>753</v>
      </c>
      <c r="BK917" t="s">
        <v>102</v>
      </c>
      <c r="BL917" t="s">
        <v>754</v>
      </c>
      <c r="BM917" t="s">
        <v>17312</v>
      </c>
      <c r="BN917">
        <v>26676355</v>
      </c>
      <c r="BO917" t="s">
        <v>7972</v>
      </c>
      <c r="BP917" t="s">
        <v>1046</v>
      </c>
      <c r="BQ917" t="s">
        <v>1047</v>
      </c>
      <c r="BR917" t="s">
        <v>106</v>
      </c>
      <c r="BS917" t="s">
        <v>17330</v>
      </c>
      <c r="BT917" t="str">
        <f>HYPERLINK("https%3A%2F%2Fwww.webofscience.com%2Fwos%2Fwoscc%2Ffull-record%2FWOS:000367806500032","View Full Record in Web of Science")</f>
        <v>View Full Record in Web of Science</v>
      </c>
    </row>
    <row r="918" spans="1:72" x14ac:dyDescent="0.15">
      <c r="A918" t="s">
        <v>72</v>
      </c>
      <c r="B918" t="s">
        <v>17331</v>
      </c>
      <c r="C918" t="s">
        <v>74</v>
      </c>
      <c r="D918" t="s">
        <v>74</v>
      </c>
      <c r="E918" t="s">
        <v>74</v>
      </c>
      <c r="F918" t="s">
        <v>17332</v>
      </c>
      <c r="G918" t="s">
        <v>74</v>
      </c>
      <c r="H918" t="s">
        <v>74</v>
      </c>
      <c r="I918" t="s">
        <v>17333</v>
      </c>
      <c r="J918" t="s">
        <v>9066</v>
      </c>
      <c r="K918" t="s">
        <v>74</v>
      </c>
      <c r="L918" t="s">
        <v>74</v>
      </c>
      <c r="M918" t="s">
        <v>78</v>
      </c>
      <c r="N918" t="s">
        <v>79</v>
      </c>
      <c r="O918" t="s">
        <v>74</v>
      </c>
      <c r="P918" t="s">
        <v>74</v>
      </c>
      <c r="Q918" t="s">
        <v>74</v>
      </c>
      <c r="R918" t="s">
        <v>74</v>
      </c>
      <c r="S918" t="s">
        <v>74</v>
      </c>
      <c r="T918" t="s">
        <v>17334</v>
      </c>
      <c r="U918" t="s">
        <v>17335</v>
      </c>
      <c r="V918" t="s">
        <v>17336</v>
      </c>
      <c r="W918" t="s">
        <v>17337</v>
      </c>
      <c r="X918" t="s">
        <v>17338</v>
      </c>
      <c r="Y918" t="s">
        <v>17339</v>
      </c>
      <c r="Z918" t="s">
        <v>14332</v>
      </c>
      <c r="AA918" t="s">
        <v>17340</v>
      </c>
      <c r="AB918" t="s">
        <v>17341</v>
      </c>
      <c r="AC918" t="s">
        <v>17342</v>
      </c>
      <c r="AD918" t="s">
        <v>17343</v>
      </c>
      <c r="AE918" t="s">
        <v>17344</v>
      </c>
      <c r="AF918" t="s">
        <v>74</v>
      </c>
      <c r="AG918">
        <v>42</v>
      </c>
      <c r="AH918">
        <v>10</v>
      </c>
      <c r="AI918">
        <v>10</v>
      </c>
      <c r="AJ918">
        <v>0</v>
      </c>
      <c r="AK918">
        <v>14</v>
      </c>
      <c r="AL918" t="s">
        <v>1630</v>
      </c>
      <c r="AM918" t="s">
        <v>1631</v>
      </c>
      <c r="AN918" t="s">
        <v>9116</v>
      </c>
      <c r="AO918" t="s">
        <v>9077</v>
      </c>
      <c r="AP918" t="s">
        <v>9078</v>
      </c>
      <c r="AQ918" t="s">
        <v>74</v>
      </c>
      <c r="AR918" t="s">
        <v>9066</v>
      </c>
      <c r="AS918" t="s">
        <v>9079</v>
      </c>
      <c r="AT918" t="s">
        <v>17310</v>
      </c>
      <c r="AU918">
        <v>2016</v>
      </c>
      <c r="AV918">
        <v>4061</v>
      </c>
      <c r="AW918">
        <v>4</v>
      </c>
      <c r="AX918" t="s">
        <v>74</v>
      </c>
      <c r="AY918" t="s">
        <v>74</v>
      </c>
      <c r="AZ918" t="s">
        <v>74</v>
      </c>
      <c r="BA918" t="s">
        <v>74</v>
      </c>
      <c r="BB918">
        <v>381</v>
      </c>
      <c r="BC918">
        <v>396</v>
      </c>
      <c r="BD918" t="s">
        <v>74</v>
      </c>
      <c r="BE918" t="s">
        <v>17345</v>
      </c>
      <c r="BF918" t="str">
        <f>HYPERLINK("http://dx.doi.org/10.11646/zootaxa.4061.4.4","http://dx.doi.org/10.11646/zootaxa.4061.4.4")</f>
        <v>http://dx.doi.org/10.11646/zootaxa.4061.4.4</v>
      </c>
      <c r="BG918" t="s">
        <v>74</v>
      </c>
      <c r="BH918" t="s">
        <v>74</v>
      </c>
      <c r="BI918">
        <v>16</v>
      </c>
      <c r="BJ918" t="s">
        <v>541</v>
      </c>
      <c r="BK918" t="s">
        <v>102</v>
      </c>
      <c r="BL918" t="s">
        <v>541</v>
      </c>
      <c r="BM918" t="s">
        <v>17346</v>
      </c>
      <c r="BN918">
        <v>27395508</v>
      </c>
      <c r="BO918" t="s">
        <v>74</v>
      </c>
      <c r="BP918" t="s">
        <v>74</v>
      </c>
      <c r="BQ918" t="s">
        <v>74</v>
      </c>
      <c r="BR918" t="s">
        <v>106</v>
      </c>
      <c r="BS918" t="s">
        <v>17347</v>
      </c>
      <c r="BT918" t="str">
        <f>HYPERLINK("https%3A%2F%2Fwww.webofscience.com%2Fwos%2Fwoscc%2Ffull-record%2FWOS:000367888700004","View Full Record in Web of Science")</f>
        <v>View Full Record in Web of Science</v>
      </c>
    </row>
    <row r="919" spans="1:72" x14ac:dyDescent="0.15">
      <c r="A919" t="s">
        <v>72</v>
      </c>
      <c r="B919" t="s">
        <v>17348</v>
      </c>
      <c r="C919" t="s">
        <v>74</v>
      </c>
      <c r="D919" t="s">
        <v>74</v>
      </c>
      <c r="E919" t="s">
        <v>74</v>
      </c>
      <c r="F919" t="s">
        <v>17349</v>
      </c>
      <c r="G919" t="s">
        <v>74</v>
      </c>
      <c r="H919" t="s">
        <v>74</v>
      </c>
      <c r="I919" t="s">
        <v>17350</v>
      </c>
      <c r="J919" t="s">
        <v>1577</v>
      </c>
      <c r="K919" t="s">
        <v>74</v>
      </c>
      <c r="L919" t="s">
        <v>74</v>
      </c>
      <c r="M919" t="s">
        <v>78</v>
      </c>
      <c r="N919" t="s">
        <v>8850</v>
      </c>
      <c r="O919" t="s">
        <v>74</v>
      </c>
      <c r="P919" t="s">
        <v>74</v>
      </c>
      <c r="Q919" t="s">
        <v>74</v>
      </c>
      <c r="R919" t="s">
        <v>74</v>
      </c>
      <c r="S919" t="s">
        <v>74</v>
      </c>
      <c r="T919" t="s">
        <v>74</v>
      </c>
      <c r="U919" t="s">
        <v>74</v>
      </c>
      <c r="V919" t="s">
        <v>74</v>
      </c>
      <c r="W919" t="s">
        <v>74</v>
      </c>
      <c r="X919" t="s">
        <v>74</v>
      </c>
      <c r="Y919" t="s">
        <v>74</v>
      </c>
      <c r="Z919" t="s">
        <v>74</v>
      </c>
      <c r="AA919" t="s">
        <v>74</v>
      </c>
      <c r="AB919" t="s">
        <v>74</v>
      </c>
      <c r="AC919" t="s">
        <v>74</v>
      </c>
      <c r="AD919" t="s">
        <v>74</v>
      </c>
      <c r="AE919" t="s">
        <v>74</v>
      </c>
      <c r="AF919" t="s">
        <v>74</v>
      </c>
      <c r="AG919">
        <v>3</v>
      </c>
      <c r="AH919">
        <v>11</v>
      </c>
      <c r="AI919">
        <v>12</v>
      </c>
      <c r="AJ919">
        <v>0</v>
      </c>
      <c r="AK919">
        <v>11</v>
      </c>
      <c r="AL919" t="s">
        <v>772</v>
      </c>
      <c r="AM919" t="s">
        <v>773</v>
      </c>
      <c r="AN919" t="s">
        <v>774</v>
      </c>
      <c r="AO919" t="s">
        <v>1589</v>
      </c>
      <c r="AP919" t="s">
        <v>1590</v>
      </c>
      <c r="AQ919" t="s">
        <v>74</v>
      </c>
      <c r="AR919" t="s">
        <v>1577</v>
      </c>
      <c r="AS919" t="s">
        <v>1591</v>
      </c>
      <c r="AT919" t="s">
        <v>17351</v>
      </c>
      <c r="AU919">
        <v>2016</v>
      </c>
      <c r="AV919">
        <v>529</v>
      </c>
      <c r="AW919">
        <v>7584</v>
      </c>
      <c r="AX919" t="s">
        <v>74</v>
      </c>
      <c r="AY919" t="s">
        <v>74</v>
      </c>
      <c r="AZ919" t="s">
        <v>74</v>
      </c>
      <c r="BA919" t="s">
        <v>74</v>
      </c>
      <c r="BB919">
        <v>12</v>
      </c>
      <c r="BC919">
        <v>12</v>
      </c>
      <c r="BD919" t="s">
        <v>74</v>
      </c>
      <c r="BE919" t="s">
        <v>17352</v>
      </c>
      <c r="BF919" t="str">
        <f>HYPERLINK("http://dx.doi.org/10.1038/529012a","http://dx.doi.org/10.1038/529012a")</f>
        <v>http://dx.doi.org/10.1038/529012a</v>
      </c>
      <c r="BG919" t="s">
        <v>74</v>
      </c>
      <c r="BH919" t="s">
        <v>74</v>
      </c>
      <c r="BI919">
        <v>1</v>
      </c>
      <c r="BJ919" t="s">
        <v>753</v>
      </c>
      <c r="BK919" t="s">
        <v>102</v>
      </c>
      <c r="BL919" t="s">
        <v>754</v>
      </c>
      <c r="BM919" t="s">
        <v>17353</v>
      </c>
      <c r="BN919">
        <v>26738576</v>
      </c>
      <c r="BO919" t="s">
        <v>420</v>
      </c>
      <c r="BP919" t="s">
        <v>74</v>
      </c>
      <c r="BQ919" t="s">
        <v>74</v>
      </c>
      <c r="BR919" t="s">
        <v>106</v>
      </c>
      <c r="BS919" t="s">
        <v>17354</v>
      </c>
      <c r="BT919" t="str">
        <f>HYPERLINK("https%3A%2F%2Fwww.webofscience.com%2Fwos%2Fwoscc%2Ffull-record%2FWOS:000367944900005","View Full Record in Web of Science")</f>
        <v>View Full Record in Web of Science</v>
      </c>
    </row>
    <row r="920" spans="1:72" x14ac:dyDescent="0.15">
      <c r="A920" t="s">
        <v>72</v>
      </c>
      <c r="B920" t="s">
        <v>17355</v>
      </c>
      <c r="C920" t="s">
        <v>74</v>
      </c>
      <c r="D920" t="s">
        <v>74</v>
      </c>
      <c r="E920" t="s">
        <v>74</v>
      </c>
      <c r="F920" t="s">
        <v>17356</v>
      </c>
      <c r="G920" t="s">
        <v>74</v>
      </c>
      <c r="H920" t="s">
        <v>74</v>
      </c>
      <c r="I920" t="s">
        <v>17357</v>
      </c>
      <c r="J920" t="s">
        <v>1350</v>
      </c>
      <c r="K920" t="s">
        <v>74</v>
      </c>
      <c r="L920" t="s">
        <v>74</v>
      </c>
      <c r="M920" t="s">
        <v>78</v>
      </c>
      <c r="N920" t="s">
        <v>79</v>
      </c>
      <c r="O920" t="s">
        <v>74</v>
      </c>
      <c r="P920" t="s">
        <v>74</v>
      </c>
      <c r="Q920" t="s">
        <v>74</v>
      </c>
      <c r="R920" t="s">
        <v>74</v>
      </c>
      <c r="S920" t="s">
        <v>74</v>
      </c>
      <c r="T920" t="s">
        <v>74</v>
      </c>
      <c r="U920" t="s">
        <v>17358</v>
      </c>
      <c r="V920" t="s">
        <v>17359</v>
      </c>
      <c r="W920" t="s">
        <v>17360</v>
      </c>
      <c r="X920" t="s">
        <v>17361</v>
      </c>
      <c r="Y920" t="s">
        <v>17362</v>
      </c>
      <c r="Z920" t="s">
        <v>17363</v>
      </c>
      <c r="AA920" t="s">
        <v>74</v>
      </c>
      <c r="AB920" t="s">
        <v>74</v>
      </c>
      <c r="AC920" t="s">
        <v>17364</v>
      </c>
      <c r="AD920" t="s">
        <v>17365</v>
      </c>
      <c r="AE920" t="s">
        <v>17366</v>
      </c>
      <c r="AF920" t="s">
        <v>74</v>
      </c>
      <c r="AG920">
        <v>67</v>
      </c>
      <c r="AH920">
        <v>39</v>
      </c>
      <c r="AI920">
        <v>46</v>
      </c>
      <c r="AJ920">
        <v>4</v>
      </c>
      <c r="AK920">
        <v>52</v>
      </c>
      <c r="AL920" t="s">
        <v>746</v>
      </c>
      <c r="AM920" t="s">
        <v>747</v>
      </c>
      <c r="AN920" t="s">
        <v>748</v>
      </c>
      <c r="AO920" t="s">
        <v>1362</v>
      </c>
      <c r="AP920" t="s">
        <v>74</v>
      </c>
      <c r="AQ920" t="s">
        <v>74</v>
      </c>
      <c r="AR920" t="s">
        <v>1363</v>
      </c>
      <c r="AS920" t="s">
        <v>1364</v>
      </c>
      <c r="AT920" t="s">
        <v>17367</v>
      </c>
      <c r="AU920">
        <v>2016</v>
      </c>
      <c r="AV920">
        <v>6</v>
      </c>
      <c r="AW920" t="s">
        <v>74</v>
      </c>
      <c r="AX920" t="s">
        <v>74</v>
      </c>
      <c r="AY920" t="s">
        <v>74</v>
      </c>
      <c r="AZ920" t="s">
        <v>74</v>
      </c>
      <c r="BA920" t="s">
        <v>74</v>
      </c>
      <c r="BB920" t="s">
        <v>74</v>
      </c>
      <c r="BC920" t="s">
        <v>74</v>
      </c>
      <c r="BD920">
        <v>18820</v>
      </c>
      <c r="BE920" t="s">
        <v>17368</v>
      </c>
      <c r="BF920" t="str">
        <f>HYPERLINK("http://dx.doi.org/10.1038/srep18820","http://dx.doi.org/10.1038/srep18820")</f>
        <v>http://dx.doi.org/10.1038/srep18820</v>
      </c>
      <c r="BG920" t="s">
        <v>74</v>
      </c>
      <c r="BH920" t="s">
        <v>74</v>
      </c>
      <c r="BI920">
        <v>10</v>
      </c>
      <c r="BJ920" t="s">
        <v>753</v>
      </c>
      <c r="BK920" t="s">
        <v>102</v>
      </c>
      <c r="BL920" t="s">
        <v>754</v>
      </c>
      <c r="BM920" t="s">
        <v>17369</v>
      </c>
      <c r="BN920">
        <v>26732496</v>
      </c>
      <c r="BO920" t="s">
        <v>1684</v>
      </c>
      <c r="BP920" t="s">
        <v>74</v>
      </c>
      <c r="BQ920" t="s">
        <v>74</v>
      </c>
      <c r="BR920" t="s">
        <v>106</v>
      </c>
      <c r="BS920" t="s">
        <v>17370</v>
      </c>
      <c r="BT920" t="str">
        <f>HYPERLINK("https%3A%2F%2Fwww.webofscience.com%2Fwos%2Fwoscc%2Ffull-record%2FWOS:000368241700001","View Full Record in Web of Science")</f>
        <v>View Full Record in Web of Science</v>
      </c>
    </row>
    <row r="921" spans="1:72" x14ac:dyDescent="0.15">
      <c r="A921" t="s">
        <v>72</v>
      </c>
      <c r="B921" t="s">
        <v>17371</v>
      </c>
      <c r="C921" t="s">
        <v>74</v>
      </c>
      <c r="D921" t="s">
        <v>74</v>
      </c>
      <c r="E921" t="s">
        <v>74</v>
      </c>
      <c r="F921" t="s">
        <v>17372</v>
      </c>
      <c r="G921" t="s">
        <v>74</v>
      </c>
      <c r="H921" t="s">
        <v>74</v>
      </c>
      <c r="I921" t="s">
        <v>17373</v>
      </c>
      <c r="J921" t="s">
        <v>9066</v>
      </c>
      <c r="K921" t="s">
        <v>74</v>
      </c>
      <c r="L921" t="s">
        <v>74</v>
      </c>
      <c r="M921" t="s">
        <v>78</v>
      </c>
      <c r="N921" t="s">
        <v>79</v>
      </c>
      <c r="O921" t="s">
        <v>74</v>
      </c>
      <c r="P921" t="s">
        <v>74</v>
      </c>
      <c r="Q921" t="s">
        <v>74</v>
      </c>
      <c r="R921" t="s">
        <v>74</v>
      </c>
      <c r="S921" t="s">
        <v>74</v>
      </c>
      <c r="T921" t="s">
        <v>17374</v>
      </c>
      <c r="U921" t="s">
        <v>74</v>
      </c>
      <c r="V921" t="s">
        <v>17375</v>
      </c>
      <c r="W921" t="s">
        <v>17376</v>
      </c>
      <c r="X921" t="s">
        <v>17377</v>
      </c>
      <c r="Y921" t="s">
        <v>17378</v>
      </c>
      <c r="Z921" t="s">
        <v>17379</v>
      </c>
      <c r="AA921" t="s">
        <v>17380</v>
      </c>
      <c r="AB921" t="s">
        <v>17381</v>
      </c>
      <c r="AC921" t="s">
        <v>74</v>
      </c>
      <c r="AD921" t="s">
        <v>74</v>
      </c>
      <c r="AE921" t="s">
        <v>74</v>
      </c>
      <c r="AF921" t="s">
        <v>74</v>
      </c>
      <c r="AG921">
        <v>23</v>
      </c>
      <c r="AH921">
        <v>3</v>
      </c>
      <c r="AI921">
        <v>3</v>
      </c>
      <c r="AJ921">
        <v>0</v>
      </c>
      <c r="AK921">
        <v>0</v>
      </c>
      <c r="AL921" t="s">
        <v>1630</v>
      </c>
      <c r="AM921" t="s">
        <v>1631</v>
      </c>
      <c r="AN921" t="s">
        <v>1632</v>
      </c>
      <c r="AO921" t="s">
        <v>9077</v>
      </c>
      <c r="AP921" t="s">
        <v>9078</v>
      </c>
      <c r="AQ921" t="s">
        <v>74</v>
      </c>
      <c r="AR921" t="s">
        <v>9066</v>
      </c>
      <c r="AS921" t="s">
        <v>9079</v>
      </c>
      <c r="AT921" t="s">
        <v>17382</v>
      </c>
      <c r="AU921">
        <v>2016</v>
      </c>
      <c r="AV921">
        <v>4061</v>
      </c>
      <c r="AW921">
        <v>1</v>
      </c>
      <c r="AX921" t="s">
        <v>74</v>
      </c>
      <c r="AY921" t="s">
        <v>74</v>
      </c>
      <c r="AZ921" t="s">
        <v>74</v>
      </c>
      <c r="BA921" t="s">
        <v>74</v>
      </c>
      <c r="BB921">
        <v>51</v>
      </c>
      <c r="BC921">
        <v>60</v>
      </c>
      <c r="BD921" t="s">
        <v>74</v>
      </c>
      <c r="BE921" t="s">
        <v>74</v>
      </c>
      <c r="BF921" t="s">
        <v>74</v>
      </c>
      <c r="BG921" t="s">
        <v>74</v>
      </c>
      <c r="BH921" t="s">
        <v>74</v>
      </c>
      <c r="BI921">
        <v>10</v>
      </c>
      <c r="BJ921" t="s">
        <v>541</v>
      </c>
      <c r="BK921" t="s">
        <v>102</v>
      </c>
      <c r="BL921" t="s">
        <v>541</v>
      </c>
      <c r="BM921" t="s">
        <v>17383</v>
      </c>
      <c r="BN921">
        <v>27395479</v>
      </c>
      <c r="BO921" t="s">
        <v>74</v>
      </c>
      <c r="BP921" t="s">
        <v>74</v>
      </c>
      <c r="BQ921" t="s">
        <v>74</v>
      </c>
      <c r="BR921" t="s">
        <v>106</v>
      </c>
      <c r="BS921" t="s">
        <v>17384</v>
      </c>
      <c r="BT921" t="str">
        <f>HYPERLINK("https%3A%2F%2Fwww.webofscience.com%2Fwos%2Fwoscc%2Ffull-record%2FWOS:000367887400005","View Full Record in Web of Science")</f>
        <v>View Full Record in Web of Science</v>
      </c>
    </row>
    <row r="922" spans="1:72" x14ac:dyDescent="0.15">
      <c r="A922" t="s">
        <v>72</v>
      </c>
      <c r="B922" t="s">
        <v>17385</v>
      </c>
      <c r="C922" t="s">
        <v>74</v>
      </c>
      <c r="D922" t="s">
        <v>74</v>
      </c>
      <c r="E922" t="s">
        <v>74</v>
      </c>
      <c r="F922" t="s">
        <v>17386</v>
      </c>
      <c r="G922" t="s">
        <v>74</v>
      </c>
      <c r="H922" t="s">
        <v>74</v>
      </c>
      <c r="I922" t="s">
        <v>17387</v>
      </c>
      <c r="J922" t="s">
        <v>9611</v>
      </c>
      <c r="K922" t="s">
        <v>74</v>
      </c>
      <c r="L922" t="s">
        <v>74</v>
      </c>
      <c r="M922" t="s">
        <v>78</v>
      </c>
      <c r="N922" t="s">
        <v>79</v>
      </c>
      <c r="O922" t="s">
        <v>74</v>
      </c>
      <c r="P922" t="s">
        <v>74</v>
      </c>
      <c r="Q922" t="s">
        <v>74</v>
      </c>
      <c r="R922" t="s">
        <v>74</v>
      </c>
      <c r="S922" t="s">
        <v>74</v>
      </c>
      <c r="T922" t="s">
        <v>17388</v>
      </c>
      <c r="U922" t="s">
        <v>17389</v>
      </c>
      <c r="V922" t="s">
        <v>17390</v>
      </c>
      <c r="W922" t="s">
        <v>17391</v>
      </c>
      <c r="X922" t="s">
        <v>17392</v>
      </c>
      <c r="Y922" t="s">
        <v>17393</v>
      </c>
      <c r="Z922" t="s">
        <v>17394</v>
      </c>
      <c r="AA922" t="s">
        <v>17395</v>
      </c>
      <c r="AB922" t="s">
        <v>17396</v>
      </c>
      <c r="AC922" t="s">
        <v>17397</v>
      </c>
      <c r="AD922" t="s">
        <v>17398</v>
      </c>
      <c r="AE922" t="s">
        <v>17399</v>
      </c>
      <c r="AF922" t="s">
        <v>74</v>
      </c>
      <c r="AG922">
        <v>108</v>
      </c>
      <c r="AH922">
        <v>28</v>
      </c>
      <c r="AI922">
        <v>34</v>
      </c>
      <c r="AJ922">
        <v>2</v>
      </c>
      <c r="AK922">
        <v>40</v>
      </c>
      <c r="AL922" t="s">
        <v>1337</v>
      </c>
      <c r="AM922" t="s">
        <v>773</v>
      </c>
      <c r="AN922" t="s">
        <v>1338</v>
      </c>
      <c r="AO922" t="s">
        <v>9624</v>
      </c>
      <c r="AP922" t="s">
        <v>74</v>
      </c>
      <c r="AQ922" t="s">
        <v>74</v>
      </c>
      <c r="AR922" t="s">
        <v>9625</v>
      </c>
      <c r="AS922" t="s">
        <v>9626</v>
      </c>
      <c r="AT922" t="s">
        <v>17400</v>
      </c>
      <c r="AU922">
        <v>2016</v>
      </c>
      <c r="AV922">
        <v>16</v>
      </c>
      <c r="AW922" t="s">
        <v>74</v>
      </c>
      <c r="AX922" t="s">
        <v>74</v>
      </c>
      <c r="AY922" t="s">
        <v>74</v>
      </c>
      <c r="AZ922" t="s">
        <v>74</v>
      </c>
      <c r="BA922" t="s">
        <v>74</v>
      </c>
      <c r="BB922" t="s">
        <v>74</v>
      </c>
      <c r="BC922" t="s">
        <v>74</v>
      </c>
      <c r="BD922">
        <v>2</v>
      </c>
      <c r="BE922" t="s">
        <v>17401</v>
      </c>
      <c r="BF922" t="str">
        <f>HYPERLINK("http://dx.doi.org/10.1186/s12862-015-0574-z","http://dx.doi.org/10.1186/s12862-015-0574-z")</f>
        <v>http://dx.doi.org/10.1186/s12862-015-0574-z</v>
      </c>
      <c r="BG922" t="s">
        <v>74</v>
      </c>
      <c r="BH922" t="s">
        <v>74</v>
      </c>
      <c r="BI922">
        <v>17</v>
      </c>
      <c r="BJ922" t="s">
        <v>9628</v>
      </c>
      <c r="BK922" t="s">
        <v>102</v>
      </c>
      <c r="BL922" t="s">
        <v>9628</v>
      </c>
      <c r="BM922" t="s">
        <v>17402</v>
      </c>
      <c r="BN922">
        <v>26727928</v>
      </c>
      <c r="BO922" t="s">
        <v>2176</v>
      </c>
      <c r="BP922" t="s">
        <v>74</v>
      </c>
      <c r="BQ922" t="s">
        <v>74</v>
      </c>
      <c r="BR922" t="s">
        <v>106</v>
      </c>
      <c r="BS922" t="s">
        <v>17403</v>
      </c>
      <c r="BT922" t="str">
        <f>HYPERLINK("https%3A%2F%2Fwww.webofscience.com%2Fwos%2Fwoscc%2Ffull-record%2FWOS:000367430900002","View Full Record in Web of Science")</f>
        <v>View Full Record in Web of Science</v>
      </c>
    </row>
    <row r="923" spans="1:72" x14ac:dyDescent="0.15">
      <c r="A923" t="s">
        <v>72</v>
      </c>
      <c r="B923" t="s">
        <v>17404</v>
      </c>
      <c r="C923" t="s">
        <v>74</v>
      </c>
      <c r="D923" t="s">
        <v>74</v>
      </c>
      <c r="E923" t="s">
        <v>74</v>
      </c>
      <c r="F923" t="s">
        <v>17405</v>
      </c>
      <c r="G923" t="s">
        <v>74</v>
      </c>
      <c r="H923" t="s">
        <v>74</v>
      </c>
      <c r="I923" t="s">
        <v>17406</v>
      </c>
      <c r="J923" t="s">
        <v>17407</v>
      </c>
      <c r="K923" t="s">
        <v>74</v>
      </c>
      <c r="L923" t="s">
        <v>74</v>
      </c>
      <c r="M923" t="s">
        <v>78</v>
      </c>
      <c r="N923" t="s">
        <v>79</v>
      </c>
      <c r="O923" t="s">
        <v>74</v>
      </c>
      <c r="P923" t="s">
        <v>74</v>
      </c>
      <c r="Q923" t="s">
        <v>74</v>
      </c>
      <c r="R923" t="s">
        <v>74</v>
      </c>
      <c r="S923" t="s">
        <v>74</v>
      </c>
      <c r="T923" t="s">
        <v>17408</v>
      </c>
      <c r="U923" t="s">
        <v>17409</v>
      </c>
      <c r="V923" t="s">
        <v>17410</v>
      </c>
      <c r="W923" t="s">
        <v>17411</v>
      </c>
      <c r="X923" t="s">
        <v>17412</v>
      </c>
      <c r="Y923" t="s">
        <v>17413</v>
      </c>
      <c r="Z923" t="s">
        <v>17414</v>
      </c>
      <c r="AA923" t="s">
        <v>17415</v>
      </c>
      <c r="AB923" t="s">
        <v>17416</v>
      </c>
      <c r="AC923" t="s">
        <v>17417</v>
      </c>
      <c r="AD923" t="s">
        <v>17418</v>
      </c>
      <c r="AE923" t="s">
        <v>17419</v>
      </c>
      <c r="AF923" t="s">
        <v>74</v>
      </c>
      <c r="AG923">
        <v>58</v>
      </c>
      <c r="AH923">
        <v>22</v>
      </c>
      <c r="AI923">
        <v>26</v>
      </c>
      <c r="AJ923">
        <v>0</v>
      </c>
      <c r="AK923">
        <v>13</v>
      </c>
      <c r="AL923" t="s">
        <v>9954</v>
      </c>
      <c r="AM923" t="s">
        <v>9955</v>
      </c>
      <c r="AN923" t="s">
        <v>9956</v>
      </c>
      <c r="AO923" t="s">
        <v>17420</v>
      </c>
      <c r="AP923" t="s">
        <v>17421</v>
      </c>
      <c r="AQ923" t="s">
        <v>74</v>
      </c>
      <c r="AR923" t="s">
        <v>17422</v>
      </c>
      <c r="AS923" t="s">
        <v>17423</v>
      </c>
      <c r="AT923" t="s">
        <v>17424</v>
      </c>
      <c r="AU923">
        <v>2016</v>
      </c>
      <c r="AV923">
        <v>39</v>
      </c>
      <c r="AW923">
        <v>1</v>
      </c>
      <c r="AX923" t="s">
        <v>74</v>
      </c>
      <c r="AY923" t="s">
        <v>74</v>
      </c>
      <c r="AZ923" t="s">
        <v>74</v>
      </c>
      <c r="BA923" t="s">
        <v>74</v>
      </c>
      <c r="BB923">
        <v>32</v>
      </c>
      <c r="BC923">
        <v>52</v>
      </c>
      <c r="BD923" t="s">
        <v>74</v>
      </c>
      <c r="BE923" t="s">
        <v>17425</v>
      </c>
      <c r="BF923" t="str">
        <f>HYPERLINK("http://dx.doi.org/10.1080/01490419.2015.1121173","http://dx.doi.org/10.1080/01490419.2015.1121173")</f>
        <v>http://dx.doi.org/10.1080/01490419.2015.1121173</v>
      </c>
      <c r="BG923" t="s">
        <v>74</v>
      </c>
      <c r="BH923" t="s">
        <v>74</v>
      </c>
      <c r="BI923">
        <v>21</v>
      </c>
      <c r="BJ923" t="s">
        <v>17426</v>
      </c>
      <c r="BK923" t="s">
        <v>102</v>
      </c>
      <c r="BL923" t="s">
        <v>17426</v>
      </c>
      <c r="BM923" t="s">
        <v>17427</v>
      </c>
      <c r="BN923" t="s">
        <v>74</v>
      </c>
      <c r="BO923" t="s">
        <v>74</v>
      </c>
      <c r="BP923" t="s">
        <v>74</v>
      </c>
      <c r="BQ923" t="s">
        <v>74</v>
      </c>
      <c r="BR923" t="s">
        <v>106</v>
      </c>
      <c r="BS923" t="s">
        <v>17428</v>
      </c>
      <c r="BT923" t="str">
        <f>HYPERLINK("https%3A%2F%2Fwww.webofscience.com%2Fwos%2Fwoscc%2Ffull-record%2FWOS:000372740600003","View Full Record in Web of Science")</f>
        <v>View Full Record in Web of Science</v>
      </c>
    </row>
    <row r="924" spans="1:72" x14ac:dyDescent="0.15">
      <c r="A924" t="s">
        <v>72</v>
      </c>
      <c r="B924" t="s">
        <v>17429</v>
      </c>
      <c r="C924" t="s">
        <v>74</v>
      </c>
      <c r="D924" t="s">
        <v>74</v>
      </c>
      <c r="E924" t="s">
        <v>74</v>
      </c>
      <c r="F924" t="s">
        <v>17430</v>
      </c>
      <c r="G924" t="s">
        <v>74</v>
      </c>
      <c r="H924" t="s">
        <v>74</v>
      </c>
      <c r="I924" t="s">
        <v>17431</v>
      </c>
      <c r="J924" t="s">
        <v>17432</v>
      </c>
      <c r="K924" t="s">
        <v>74</v>
      </c>
      <c r="L924" t="s">
        <v>74</v>
      </c>
      <c r="M924" t="s">
        <v>78</v>
      </c>
      <c r="N924" t="s">
        <v>79</v>
      </c>
      <c r="O924" t="s">
        <v>74</v>
      </c>
      <c r="P924" t="s">
        <v>74</v>
      </c>
      <c r="Q924" t="s">
        <v>74</v>
      </c>
      <c r="R924" t="s">
        <v>74</v>
      </c>
      <c r="S924" t="s">
        <v>74</v>
      </c>
      <c r="T924" t="s">
        <v>17433</v>
      </c>
      <c r="U924" t="s">
        <v>74</v>
      </c>
      <c r="V924" t="s">
        <v>17434</v>
      </c>
      <c r="W924" t="s">
        <v>17435</v>
      </c>
      <c r="X924" t="s">
        <v>17436</v>
      </c>
      <c r="Y924" t="s">
        <v>17437</v>
      </c>
      <c r="Z924" t="s">
        <v>17438</v>
      </c>
      <c r="AA924" t="s">
        <v>74</v>
      </c>
      <c r="AB924" t="s">
        <v>74</v>
      </c>
      <c r="AC924" t="s">
        <v>74</v>
      </c>
      <c r="AD924" t="s">
        <v>74</v>
      </c>
      <c r="AE924" t="s">
        <v>74</v>
      </c>
      <c r="AF924" t="s">
        <v>74</v>
      </c>
      <c r="AG924">
        <v>21</v>
      </c>
      <c r="AH924">
        <v>5</v>
      </c>
      <c r="AI924">
        <v>5</v>
      </c>
      <c r="AJ924">
        <v>0</v>
      </c>
      <c r="AK924">
        <v>0</v>
      </c>
      <c r="AL924" t="s">
        <v>9510</v>
      </c>
      <c r="AM924" t="s">
        <v>455</v>
      </c>
      <c r="AN924" t="s">
        <v>17439</v>
      </c>
      <c r="AO924" t="s">
        <v>17440</v>
      </c>
      <c r="AP924" t="s">
        <v>17441</v>
      </c>
      <c r="AQ924" t="s">
        <v>74</v>
      </c>
      <c r="AR924" t="s">
        <v>17442</v>
      </c>
      <c r="AS924" t="s">
        <v>17443</v>
      </c>
      <c r="AT924" t="s">
        <v>17424</v>
      </c>
      <c r="AU924">
        <v>2016</v>
      </c>
      <c r="AV924">
        <v>36</v>
      </c>
      <c r="AW924">
        <v>1</v>
      </c>
      <c r="AX924" t="s">
        <v>74</v>
      </c>
      <c r="AY924" t="s">
        <v>74</v>
      </c>
      <c r="AZ924" t="s">
        <v>74</v>
      </c>
      <c r="BA924" t="s">
        <v>74</v>
      </c>
      <c r="BB924">
        <v>34</v>
      </c>
      <c r="BC924">
        <v>56</v>
      </c>
      <c r="BD924" t="s">
        <v>74</v>
      </c>
      <c r="BE924" t="s">
        <v>17444</v>
      </c>
      <c r="BF924" t="str">
        <f>HYPERLINK("http://dx.doi.org/10.1080/10462937.2015.1100784","http://dx.doi.org/10.1080/10462937.2015.1100784")</f>
        <v>http://dx.doi.org/10.1080/10462937.2015.1100784</v>
      </c>
      <c r="BG924" t="s">
        <v>74</v>
      </c>
      <c r="BH924" t="s">
        <v>74</v>
      </c>
      <c r="BI924">
        <v>23</v>
      </c>
      <c r="BJ924" t="s">
        <v>2149</v>
      </c>
      <c r="BK924" t="s">
        <v>2150</v>
      </c>
      <c r="BL924" t="s">
        <v>2151</v>
      </c>
      <c r="BM924" t="s">
        <v>17445</v>
      </c>
      <c r="BN924" t="s">
        <v>74</v>
      </c>
      <c r="BO924" t="s">
        <v>74</v>
      </c>
      <c r="BP924" t="s">
        <v>74</v>
      </c>
      <c r="BQ924" t="s">
        <v>74</v>
      </c>
      <c r="BR924" t="s">
        <v>106</v>
      </c>
      <c r="BS924" t="s">
        <v>17446</v>
      </c>
      <c r="BT924" t="str">
        <f>HYPERLINK("https%3A%2F%2Fwww.webofscience.com%2Fwos%2Fwoscc%2Ffull-record%2FWOS:000369874400004","View Full Record in Web of Science")</f>
        <v>View Full Record in Web of Science</v>
      </c>
    </row>
    <row r="925" spans="1:72" x14ac:dyDescent="0.15">
      <c r="A925" t="s">
        <v>72</v>
      </c>
      <c r="B925" t="s">
        <v>17447</v>
      </c>
      <c r="C925" t="s">
        <v>74</v>
      </c>
      <c r="D925" t="s">
        <v>74</v>
      </c>
      <c r="E925" t="s">
        <v>74</v>
      </c>
      <c r="F925" t="s">
        <v>17448</v>
      </c>
      <c r="G925" t="s">
        <v>74</v>
      </c>
      <c r="H925" t="s">
        <v>74</v>
      </c>
      <c r="I925" t="s">
        <v>17449</v>
      </c>
      <c r="J925" t="s">
        <v>17450</v>
      </c>
      <c r="K925" t="s">
        <v>74</v>
      </c>
      <c r="L925" t="s">
        <v>74</v>
      </c>
      <c r="M925" t="s">
        <v>78</v>
      </c>
      <c r="N925" t="s">
        <v>79</v>
      </c>
      <c r="O925" t="s">
        <v>74</v>
      </c>
      <c r="P925" t="s">
        <v>74</v>
      </c>
      <c r="Q925" t="s">
        <v>74</v>
      </c>
      <c r="R925" t="s">
        <v>74</v>
      </c>
      <c r="S925" t="s">
        <v>74</v>
      </c>
      <c r="T925" t="s">
        <v>17451</v>
      </c>
      <c r="U925" t="s">
        <v>17452</v>
      </c>
      <c r="V925" t="s">
        <v>17453</v>
      </c>
      <c r="W925" t="s">
        <v>17454</v>
      </c>
      <c r="X925" t="s">
        <v>17455</v>
      </c>
      <c r="Y925" t="s">
        <v>17456</v>
      </c>
      <c r="Z925" t="s">
        <v>17457</v>
      </c>
      <c r="AA925" t="s">
        <v>17458</v>
      </c>
      <c r="AB925" t="s">
        <v>17459</v>
      </c>
      <c r="AC925" t="s">
        <v>17460</v>
      </c>
      <c r="AD925" t="s">
        <v>17461</v>
      </c>
      <c r="AE925" t="s">
        <v>17462</v>
      </c>
      <c r="AF925" t="s">
        <v>74</v>
      </c>
      <c r="AG925">
        <v>81</v>
      </c>
      <c r="AH925">
        <v>10</v>
      </c>
      <c r="AI925">
        <v>13</v>
      </c>
      <c r="AJ925">
        <v>1</v>
      </c>
      <c r="AK925">
        <v>19</v>
      </c>
      <c r="AL925" t="s">
        <v>9954</v>
      </c>
      <c r="AM925" t="s">
        <v>9955</v>
      </c>
      <c r="AN925" t="s">
        <v>9956</v>
      </c>
      <c r="AO925" t="s">
        <v>17463</v>
      </c>
      <c r="AP925" t="s">
        <v>17464</v>
      </c>
      <c r="AQ925" t="s">
        <v>74</v>
      </c>
      <c r="AR925" t="s">
        <v>17450</v>
      </c>
      <c r="AS925" t="s">
        <v>17465</v>
      </c>
      <c r="AT925" t="s">
        <v>17424</v>
      </c>
      <c r="AU925">
        <v>2016</v>
      </c>
      <c r="AV925">
        <v>40</v>
      </c>
      <c r="AW925">
        <v>1</v>
      </c>
      <c r="AX925" t="s">
        <v>74</v>
      </c>
      <c r="AY925" t="s">
        <v>74</v>
      </c>
      <c r="AZ925" t="s">
        <v>74</v>
      </c>
      <c r="BA925" t="s">
        <v>74</v>
      </c>
      <c r="BB925">
        <v>66</v>
      </c>
      <c r="BC925">
        <v>82</v>
      </c>
      <c r="BD925" t="s">
        <v>74</v>
      </c>
      <c r="BE925" t="s">
        <v>17466</v>
      </c>
      <c r="BF925" t="str">
        <f>HYPERLINK("http://dx.doi.org/10.1080/01916122.2014.999954","http://dx.doi.org/10.1080/01916122.2014.999954")</f>
        <v>http://dx.doi.org/10.1080/01916122.2014.999954</v>
      </c>
      <c r="BG925" t="s">
        <v>74</v>
      </c>
      <c r="BH925" t="s">
        <v>74</v>
      </c>
      <c r="BI925">
        <v>17</v>
      </c>
      <c r="BJ925" t="s">
        <v>17467</v>
      </c>
      <c r="BK925" t="s">
        <v>102</v>
      </c>
      <c r="BL925" t="s">
        <v>17467</v>
      </c>
      <c r="BM925" t="s">
        <v>17468</v>
      </c>
      <c r="BN925" t="s">
        <v>74</v>
      </c>
      <c r="BO925" t="s">
        <v>74</v>
      </c>
      <c r="BP925" t="s">
        <v>74</v>
      </c>
      <c r="BQ925" t="s">
        <v>74</v>
      </c>
      <c r="BR925" t="s">
        <v>106</v>
      </c>
      <c r="BS925" t="s">
        <v>17469</v>
      </c>
      <c r="BT925" t="str">
        <f>HYPERLINK("https%3A%2F%2Fwww.webofscience.com%2Fwos%2Fwoscc%2Ffull-record%2FWOS:000369847500005","View Full Record in Web of Science")</f>
        <v>View Full Record in Web of Science</v>
      </c>
    </row>
    <row r="926" spans="1:72" x14ac:dyDescent="0.15">
      <c r="A926" t="s">
        <v>72</v>
      </c>
      <c r="B926" t="s">
        <v>17470</v>
      </c>
      <c r="C926" t="s">
        <v>74</v>
      </c>
      <c r="D926" t="s">
        <v>74</v>
      </c>
      <c r="E926" t="s">
        <v>74</v>
      </c>
      <c r="F926" t="s">
        <v>17471</v>
      </c>
      <c r="G926" t="s">
        <v>74</v>
      </c>
      <c r="H926" t="s">
        <v>74</v>
      </c>
      <c r="I926" t="s">
        <v>17472</v>
      </c>
      <c r="J926" t="s">
        <v>17473</v>
      </c>
      <c r="K926" t="s">
        <v>74</v>
      </c>
      <c r="L926" t="s">
        <v>74</v>
      </c>
      <c r="M926" t="s">
        <v>78</v>
      </c>
      <c r="N926" t="s">
        <v>79</v>
      </c>
      <c r="O926" t="s">
        <v>74</v>
      </c>
      <c r="P926" t="s">
        <v>74</v>
      </c>
      <c r="Q926" t="s">
        <v>74</v>
      </c>
      <c r="R926" t="s">
        <v>74</v>
      </c>
      <c r="S926" t="s">
        <v>74</v>
      </c>
      <c r="T926" t="s">
        <v>17474</v>
      </c>
      <c r="U926" t="s">
        <v>17475</v>
      </c>
      <c r="V926" t="s">
        <v>17476</v>
      </c>
      <c r="W926" t="s">
        <v>17477</v>
      </c>
      <c r="X926" t="s">
        <v>17478</v>
      </c>
      <c r="Y926" t="s">
        <v>17479</v>
      </c>
      <c r="Z926" t="s">
        <v>17480</v>
      </c>
      <c r="AA926" t="s">
        <v>74</v>
      </c>
      <c r="AB926" t="s">
        <v>74</v>
      </c>
      <c r="AC926" t="s">
        <v>17481</v>
      </c>
      <c r="AD926" t="s">
        <v>17482</v>
      </c>
      <c r="AE926" t="s">
        <v>17483</v>
      </c>
      <c r="AF926" t="s">
        <v>74</v>
      </c>
      <c r="AG926">
        <v>27</v>
      </c>
      <c r="AH926">
        <v>3</v>
      </c>
      <c r="AI926">
        <v>3</v>
      </c>
      <c r="AJ926">
        <v>0</v>
      </c>
      <c r="AK926">
        <v>16</v>
      </c>
      <c r="AL926" t="s">
        <v>454</v>
      </c>
      <c r="AM926" t="s">
        <v>455</v>
      </c>
      <c r="AN926" t="s">
        <v>5065</v>
      </c>
      <c r="AO926" t="s">
        <v>17484</v>
      </c>
      <c r="AP926" t="s">
        <v>17485</v>
      </c>
      <c r="AQ926" t="s">
        <v>74</v>
      </c>
      <c r="AR926" t="s">
        <v>17486</v>
      </c>
      <c r="AS926" t="s">
        <v>17487</v>
      </c>
      <c r="AT926" t="s">
        <v>17424</v>
      </c>
      <c r="AU926">
        <v>2016</v>
      </c>
      <c r="AV926">
        <v>25</v>
      </c>
      <c r="AW926">
        <v>1</v>
      </c>
      <c r="AX926" t="s">
        <v>74</v>
      </c>
      <c r="AY926" t="s">
        <v>74</v>
      </c>
      <c r="AZ926" t="s">
        <v>74</v>
      </c>
      <c r="BA926" t="s">
        <v>74</v>
      </c>
      <c r="BB926">
        <v>75</v>
      </c>
      <c r="BC926">
        <v>88</v>
      </c>
      <c r="BD926" t="s">
        <v>74</v>
      </c>
      <c r="BE926" t="s">
        <v>17488</v>
      </c>
      <c r="BF926" t="str">
        <f>HYPERLINK("http://dx.doi.org/10.1080/09524622.2015.1089791","http://dx.doi.org/10.1080/09524622.2015.1089791")</f>
        <v>http://dx.doi.org/10.1080/09524622.2015.1089791</v>
      </c>
      <c r="BG926" t="s">
        <v>74</v>
      </c>
      <c r="BH926" t="s">
        <v>74</v>
      </c>
      <c r="BI926">
        <v>14</v>
      </c>
      <c r="BJ926" t="s">
        <v>541</v>
      </c>
      <c r="BK926" t="s">
        <v>102</v>
      </c>
      <c r="BL926" t="s">
        <v>541</v>
      </c>
      <c r="BM926" t="s">
        <v>17489</v>
      </c>
      <c r="BN926" t="s">
        <v>74</v>
      </c>
      <c r="BO926" t="s">
        <v>74</v>
      </c>
      <c r="BP926" t="s">
        <v>74</v>
      </c>
      <c r="BQ926" t="s">
        <v>74</v>
      </c>
      <c r="BR926" t="s">
        <v>106</v>
      </c>
      <c r="BS926" t="s">
        <v>17490</v>
      </c>
      <c r="BT926" t="str">
        <f>HYPERLINK("https%3A%2F%2Fwww.webofscience.com%2Fwos%2Fwoscc%2Ffull-record%2FWOS:000367149400001","View Full Record in Web of Science")</f>
        <v>View Full Record in Web of Science</v>
      </c>
    </row>
    <row r="927" spans="1:72" x14ac:dyDescent="0.15">
      <c r="A927" t="s">
        <v>72</v>
      </c>
      <c r="B927" t="s">
        <v>17491</v>
      </c>
      <c r="C927" t="s">
        <v>74</v>
      </c>
      <c r="D927" t="s">
        <v>74</v>
      </c>
      <c r="E927" t="s">
        <v>74</v>
      </c>
      <c r="F927" t="s">
        <v>17492</v>
      </c>
      <c r="G927" t="s">
        <v>74</v>
      </c>
      <c r="H927" t="s">
        <v>74</v>
      </c>
      <c r="I927" t="s">
        <v>17493</v>
      </c>
      <c r="J927" t="s">
        <v>17494</v>
      </c>
      <c r="K927" t="s">
        <v>74</v>
      </c>
      <c r="L927" t="s">
        <v>74</v>
      </c>
      <c r="M927" t="s">
        <v>78</v>
      </c>
      <c r="N927" t="s">
        <v>79</v>
      </c>
      <c r="O927" t="s">
        <v>74</v>
      </c>
      <c r="P927" t="s">
        <v>74</v>
      </c>
      <c r="Q927" t="s">
        <v>74</v>
      </c>
      <c r="R927" t="s">
        <v>74</v>
      </c>
      <c r="S927" t="s">
        <v>74</v>
      </c>
      <c r="T927" t="s">
        <v>17495</v>
      </c>
      <c r="U927" t="s">
        <v>17496</v>
      </c>
      <c r="V927" t="s">
        <v>17497</v>
      </c>
      <c r="W927" t="s">
        <v>17498</v>
      </c>
      <c r="X927" t="s">
        <v>17499</v>
      </c>
      <c r="Y927" t="s">
        <v>17500</v>
      </c>
      <c r="Z927" t="s">
        <v>17501</v>
      </c>
      <c r="AA927" t="s">
        <v>17502</v>
      </c>
      <c r="AB927" t="s">
        <v>17503</v>
      </c>
      <c r="AC927" t="s">
        <v>17504</v>
      </c>
      <c r="AD927" t="s">
        <v>17505</v>
      </c>
      <c r="AE927" t="s">
        <v>17506</v>
      </c>
      <c r="AF927" t="s">
        <v>74</v>
      </c>
      <c r="AG927">
        <v>42</v>
      </c>
      <c r="AH927">
        <v>11</v>
      </c>
      <c r="AI927">
        <v>17</v>
      </c>
      <c r="AJ927">
        <v>0</v>
      </c>
      <c r="AK927">
        <v>65</v>
      </c>
      <c r="AL927" t="s">
        <v>9954</v>
      </c>
      <c r="AM927" t="s">
        <v>9955</v>
      </c>
      <c r="AN927" t="s">
        <v>9956</v>
      </c>
      <c r="AO927" t="s">
        <v>17507</v>
      </c>
      <c r="AP927" t="s">
        <v>17508</v>
      </c>
      <c r="AQ927" t="s">
        <v>74</v>
      </c>
      <c r="AR927" t="s">
        <v>17509</v>
      </c>
      <c r="AS927" t="s">
        <v>17510</v>
      </c>
      <c r="AT927" t="s">
        <v>17424</v>
      </c>
      <c r="AU927">
        <v>2016</v>
      </c>
      <c r="AV927">
        <v>58</v>
      </c>
      <c r="AW927">
        <v>1</v>
      </c>
      <c r="AX927" t="s">
        <v>74</v>
      </c>
      <c r="AY927" t="s">
        <v>74</v>
      </c>
      <c r="AZ927" t="s">
        <v>74</v>
      </c>
      <c r="BA927" t="s">
        <v>74</v>
      </c>
      <c r="BB927">
        <v>49</v>
      </c>
      <c r="BC927">
        <v>57</v>
      </c>
      <c r="BD927" t="s">
        <v>74</v>
      </c>
      <c r="BE927" t="s">
        <v>17511</v>
      </c>
      <c r="BF927" t="str">
        <f>HYPERLINK("http://dx.doi.org/10.1080/00206814.2015.1055597","http://dx.doi.org/10.1080/00206814.2015.1055597")</f>
        <v>http://dx.doi.org/10.1080/00206814.2015.1055597</v>
      </c>
      <c r="BG927" t="s">
        <v>74</v>
      </c>
      <c r="BH927" t="s">
        <v>74</v>
      </c>
      <c r="BI927">
        <v>9</v>
      </c>
      <c r="BJ927" t="s">
        <v>270</v>
      </c>
      <c r="BK927" t="s">
        <v>102</v>
      </c>
      <c r="BL927" t="s">
        <v>270</v>
      </c>
      <c r="BM927" t="s">
        <v>17512</v>
      </c>
      <c r="BN927" t="s">
        <v>74</v>
      </c>
      <c r="BO927" t="s">
        <v>74</v>
      </c>
      <c r="BP927" t="s">
        <v>74</v>
      </c>
      <c r="BQ927" t="s">
        <v>74</v>
      </c>
      <c r="BR927" t="s">
        <v>106</v>
      </c>
      <c r="BS927" t="s">
        <v>17513</v>
      </c>
      <c r="BT927" t="str">
        <f>HYPERLINK("https%3A%2F%2Fwww.webofscience.com%2Fwos%2Fwoscc%2Ffull-record%2FWOS:000361703200004","View Full Record in Web of Science")</f>
        <v>View Full Record in Web of Science</v>
      </c>
    </row>
    <row r="928" spans="1:72" x14ac:dyDescent="0.15">
      <c r="A928" t="s">
        <v>3136</v>
      </c>
      <c r="B928" t="s">
        <v>17514</v>
      </c>
      <c r="C928" t="s">
        <v>17515</v>
      </c>
      <c r="D928" t="s">
        <v>74</v>
      </c>
      <c r="E928" t="s">
        <v>74</v>
      </c>
      <c r="F928" t="s">
        <v>17516</v>
      </c>
      <c r="G928" t="s">
        <v>17515</v>
      </c>
      <c r="H928" t="s">
        <v>74</v>
      </c>
      <c r="I928" t="s">
        <v>17517</v>
      </c>
      <c r="J928" t="s">
        <v>17518</v>
      </c>
      <c r="K928" t="s">
        <v>17519</v>
      </c>
      <c r="L928" t="s">
        <v>74</v>
      </c>
      <c r="M928" t="s">
        <v>78</v>
      </c>
      <c r="N928" t="s">
        <v>17520</v>
      </c>
      <c r="O928" t="s">
        <v>74</v>
      </c>
      <c r="P928" t="s">
        <v>74</v>
      </c>
      <c r="Q928" t="s">
        <v>74</v>
      </c>
      <c r="R928" t="s">
        <v>74</v>
      </c>
      <c r="S928" t="s">
        <v>74</v>
      </c>
      <c r="T928" t="s">
        <v>17521</v>
      </c>
      <c r="U928" t="s">
        <v>74</v>
      </c>
      <c r="V928" t="s">
        <v>17522</v>
      </c>
      <c r="W928" t="s">
        <v>17523</v>
      </c>
      <c r="X928" t="s">
        <v>74</v>
      </c>
      <c r="Y928" t="s">
        <v>17524</v>
      </c>
      <c r="Z928" t="s">
        <v>17525</v>
      </c>
      <c r="AA928" t="s">
        <v>17526</v>
      </c>
      <c r="AB928" t="s">
        <v>17527</v>
      </c>
      <c r="AC928" t="s">
        <v>74</v>
      </c>
      <c r="AD928" t="s">
        <v>74</v>
      </c>
      <c r="AE928" t="s">
        <v>74</v>
      </c>
      <c r="AF928" t="s">
        <v>74</v>
      </c>
      <c r="AG928">
        <v>20</v>
      </c>
      <c r="AH928">
        <v>2</v>
      </c>
      <c r="AI928">
        <v>3</v>
      </c>
      <c r="AJ928">
        <v>0</v>
      </c>
      <c r="AK928">
        <v>3</v>
      </c>
      <c r="AL928" t="s">
        <v>1179</v>
      </c>
      <c r="AM928" t="s">
        <v>1180</v>
      </c>
      <c r="AN928" t="s">
        <v>1181</v>
      </c>
      <c r="AO928" t="s">
        <v>17528</v>
      </c>
      <c r="AP928" t="s">
        <v>74</v>
      </c>
      <c r="AQ928" t="s">
        <v>17529</v>
      </c>
      <c r="AR928" t="s">
        <v>17530</v>
      </c>
      <c r="AS928" t="s">
        <v>74</v>
      </c>
      <c r="AT928" t="s">
        <v>74</v>
      </c>
      <c r="AU928">
        <v>2016</v>
      </c>
      <c r="AV928" t="s">
        <v>74</v>
      </c>
      <c r="AW928" t="s">
        <v>74</v>
      </c>
      <c r="AX928" t="s">
        <v>74</v>
      </c>
      <c r="AY928" t="s">
        <v>74</v>
      </c>
      <c r="AZ928" t="s">
        <v>74</v>
      </c>
      <c r="BA928" t="s">
        <v>74</v>
      </c>
      <c r="BB928">
        <v>1</v>
      </c>
      <c r="BC928">
        <v>19</v>
      </c>
      <c r="BD928" t="s">
        <v>74</v>
      </c>
      <c r="BE928" t="s">
        <v>17531</v>
      </c>
      <c r="BF928" t="str">
        <f>HYPERLINK("http://dx.doi.org/10.1007/978-3-319-39914-0_1","http://dx.doi.org/10.1007/978-3-319-39914-0_1")</f>
        <v>http://dx.doi.org/10.1007/978-3-319-39914-0_1</v>
      </c>
      <c r="BG928" t="s">
        <v>17532</v>
      </c>
      <c r="BH928" t="s">
        <v>74</v>
      </c>
      <c r="BI928">
        <v>19</v>
      </c>
      <c r="BJ928" t="s">
        <v>17533</v>
      </c>
      <c r="BK928" t="s">
        <v>17534</v>
      </c>
      <c r="BL928" t="s">
        <v>17535</v>
      </c>
      <c r="BM928" t="s">
        <v>17536</v>
      </c>
      <c r="BN928" t="s">
        <v>74</v>
      </c>
      <c r="BO928" t="s">
        <v>74</v>
      </c>
      <c r="BP928" t="s">
        <v>74</v>
      </c>
      <c r="BQ928" t="s">
        <v>74</v>
      </c>
      <c r="BR928" t="s">
        <v>106</v>
      </c>
      <c r="BS928" t="s">
        <v>17537</v>
      </c>
      <c r="BT928" t="str">
        <f>HYPERLINK("https%3A%2F%2Fwww.webofscience.com%2Fwos%2Fwoscc%2Ffull-record%2FWOS:000417782800002","View Full Record in Web of Science")</f>
        <v>View Full Record in Web of Science</v>
      </c>
    </row>
    <row r="929" spans="1:72" x14ac:dyDescent="0.15">
      <c r="A929" t="s">
        <v>3136</v>
      </c>
      <c r="B929" t="s">
        <v>17538</v>
      </c>
      <c r="C929" t="s">
        <v>17515</v>
      </c>
      <c r="D929" t="s">
        <v>74</v>
      </c>
      <c r="E929" t="s">
        <v>74</v>
      </c>
      <c r="F929" t="s">
        <v>17539</v>
      </c>
      <c r="G929" t="s">
        <v>17515</v>
      </c>
      <c r="H929" t="s">
        <v>74</v>
      </c>
      <c r="I929" t="s">
        <v>17540</v>
      </c>
      <c r="J929" t="s">
        <v>17518</v>
      </c>
      <c r="K929" t="s">
        <v>17519</v>
      </c>
      <c r="L929" t="s">
        <v>74</v>
      </c>
      <c r="M929" t="s">
        <v>78</v>
      </c>
      <c r="N929" t="s">
        <v>17520</v>
      </c>
      <c r="O929" t="s">
        <v>74</v>
      </c>
      <c r="P929" t="s">
        <v>74</v>
      </c>
      <c r="Q929" t="s">
        <v>74</v>
      </c>
      <c r="R929" t="s">
        <v>74</v>
      </c>
      <c r="S929" t="s">
        <v>74</v>
      </c>
      <c r="T929" t="s">
        <v>17541</v>
      </c>
      <c r="U929" t="s">
        <v>74</v>
      </c>
      <c r="V929" t="s">
        <v>17542</v>
      </c>
      <c r="W929" t="s">
        <v>17543</v>
      </c>
      <c r="X929" t="s">
        <v>74</v>
      </c>
      <c r="Y929" t="s">
        <v>17544</v>
      </c>
      <c r="Z929" t="s">
        <v>17545</v>
      </c>
      <c r="AA929" t="s">
        <v>74</v>
      </c>
      <c r="AB929" t="s">
        <v>74</v>
      </c>
      <c r="AC929" t="s">
        <v>74</v>
      </c>
      <c r="AD929" t="s">
        <v>74</v>
      </c>
      <c r="AE929" t="s">
        <v>74</v>
      </c>
      <c r="AF929" t="s">
        <v>74</v>
      </c>
      <c r="AG929">
        <v>41</v>
      </c>
      <c r="AH929">
        <v>2</v>
      </c>
      <c r="AI929">
        <v>2</v>
      </c>
      <c r="AJ929">
        <v>0</v>
      </c>
      <c r="AK929">
        <v>2</v>
      </c>
      <c r="AL929" t="s">
        <v>1179</v>
      </c>
      <c r="AM929" t="s">
        <v>1180</v>
      </c>
      <c r="AN929" t="s">
        <v>1181</v>
      </c>
      <c r="AO929" t="s">
        <v>17528</v>
      </c>
      <c r="AP929" t="s">
        <v>74</v>
      </c>
      <c r="AQ929" t="s">
        <v>17529</v>
      </c>
      <c r="AR929" t="s">
        <v>17530</v>
      </c>
      <c r="AS929" t="s">
        <v>74</v>
      </c>
      <c r="AT929" t="s">
        <v>74</v>
      </c>
      <c r="AU929">
        <v>2016</v>
      </c>
      <c r="AV929" t="s">
        <v>74</v>
      </c>
      <c r="AW929" t="s">
        <v>74</v>
      </c>
      <c r="AX929" t="s">
        <v>74</v>
      </c>
      <c r="AY929" t="s">
        <v>74</v>
      </c>
      <c r="AZ929" t="s">
        <v>74</v>
      </c>
      <c r="BA929" t="s">
        <v>74</v>
      </c>
      <c r="BB929">
        <v>21</v>
      </c>
      <c r="BC929">
        <v>39</v>
      </c>
      <c r="BD929" t="s">
        <v>74</v>
      </c>
      <c r="BE929" t="s">
        <v>17546</v>
      </c>
      <c r="BF929" t="str">
        <f>HYPERLINK("http://dx.doi.org/10.1007/978-3-319-39914-0_2","http://dx.doi.org/10.1007/978-3-319-39914-0_2")</f>
        <v>http://dx.doi.org/10.1007/978-3-319-39914-0_2</v>
      </c>
      <c r="BG929" t="s">
        <v>17532</v>
      </c>
      <c r="BH929" t="s">
        <v>74</v>
      </c>
      <c r="BI929">
        <v>19</v>
      </c>
      <c r="BJ929" t="s">
        <v>17533</v>
      </c>
      <c r="BK929" t="s">
        <v>17534</v>
      </c>
      <c r="BL929" t="s">
        <v>17535</v>
      </c>
      <c r="BM929" t="s">
        <v>17536</v>
      </c>
      <c r="BN929" t="s">
        <v>74</v>
      </c>
      <c r="BO929" t="s">
        <v>74</v>
      </c>
      <c r="BP929" t="s">
        <v>74</v>
      </c>
      <c r="BQ929" t="s">
        <v>74</v>
      </c>
      <c r="BR929" t="s">
        <v>106</v>
      </c>
      <c r="BS929" t="s">
        <v>17547</v>
      </c>
      <c r="BT929" t="str">
        <f>HYPERLINK("https%3A%2F%2Fwww.webofscience.com%2Fwos%2Fwoscc%2Ffull-record%2FWOS:000417782800003","View Full Record in Web of Science")</f>
        <v>View Full Record in Web of Science</v>
      </c>
    </row>
    <row r="930" spans="1:72" x14ac:dyDescent="0.15">
      <c r="A930" t="s">
        <v>3136</v>
      </c>
      <c r="B930" t="s">
        <v>17548</v>
      </c>
      <c r="C930" t="s">
        <v>17515</v>
      </c>
      <c r="D930" t="s">
        <v>74</v>
      </c>
      <c r="E930" t="s">
        <v>74</v>
      </c>
      <c r="F930" t="s">
        <v>17549</v>
      </c>
      <c r="G930" t="s">
        <v>17515</v>
      </c>
      <c r="H930" t="s">
        <v>74</v>
      </c>
      <c r="I930" t="s">
        <v>17550</v>
      </c>
      <c r="J930" t="s">
        <v>17518</v>
      </c>
      <c r="K930" t="s">
        <v>17519</v>
      </c>
      <c r="L930" t="s">
        <v>74</v>
      </c>
      <c r="M930" t="s">
        <v>78</v>
      </c>
      <c r="N930" t="s">
        <v>17520</v>
      </c>
      <c r="O930" t="s">
        <v>74</v>
      </c>
      <c r="P930" t="s">
        <v>74</v>
      </c>
      <c r="Q930" t="s">
        <v>74</v>
      </c>
      <c r="R930" t="s">
        <v>74</v>
      </c>
      <c r="S930" t="s">
        <v>74</v>
      </c>
      <c r="T930" t="s">
        <v>17551</v>
      </c>
      <c r="U930" t="s">
        <v>74</v>
      </c>
      <c r="V930" t="s">
        <v>17552</v>
      </c>
      <c r="W930" t="s">
        <v>17553</v>
      </c>
      <c r="X930" t="s">
        <v>74</v>
      </c>
      <c r="Y930" t="s">
        <v>17554</v>
      </c>
      <c r="Z930" t="s">
        <v>17555</v>
      </c>
      <c r="AA930" t="s">
        <v>74</v>
      </c>
      <c r="AB930" t="s">
        <v>74</v>
      </c>
      <c r="AC930" t="s">
        <v>74</v>
      </c>
      <c r="AD930" t="s">
        <v>74</v>
      </c>
      <c r="AE930" t="s">
        <v>74</v>
      </c>
      <c r="AF930" t="s">
        <v>74</v>
      </c>
      <c r="AG930">
        <v>40</v>
      </c>
      <c r="AH930">
        <v>2</v>
      </c>
      <c r="AI930">
        <v>3</v>
      </c>
      <c r="AJ930">
        <v>0</v>
      </c>
      <c r="AK930">
        <v>2</v>
      </c>
      <c r="AL930" t="s">
        <v>1179</v>
      </c>
      <c r="AM930" t="s">
        <v>1180</v>
      </c>
      <c r="AN930" t="s">
        <v>1181</v>
      </c>
      <c r="AO930" t="s">
        <v>17528</v>
      </c>
      <c r="AP930" t="s">
        <v>74</v>
      </c>
      <c r="AQ930" t="s">
        <v>17529</v>
      </c>
      <c r="AR930" t="s">
        <v>17530</v>
      </c>
      <c r="AS930" t="s">
        <v>74</v>
      </c>
      <c r="AT930" t="s">
        <v>74</v>
      </c>
      <c r="AU930">
        <v>2016</v>
      </c>
      <c r="AV930" t="s">
        <v>74</v>
      </c>
      <c r="AW930" t="s">
        <v>74</v>
      </c>
      <c r="AX930" t="s">
        <v>74</v>
      </c>
      <c r="AY930" t="s">
        <v>74</v>
      </c>
      <c r="AZ930" t="s">
        <v>74</v>
      </c>
      <c r="BA930" t="s">
        <v>74</v>
      </c>
      <c r="BB930">
        <v>41</v>
      </c>
      <c r="BC930">
        <v>63</v>
      </c>
      <c r="BD930" t="s">
        <v>74</v>
      </c>
      <c r="BE930" t="s">
        <v>17556</v>
      </c>
      <c r="BF930" t="str">
        <f>HYPERLINK("http://dx.doi.org/10.1007/978-3-319-39914-0_3","http://dx.doi.org/10.1007/978-3-319-39914-0_3")</f>
        <v>http://dx.doi.org/10.1007/978-3-319-39914-0_3</v>
      </c>
      <c r="BG930" t="s">
        <v>17532</v>
      </c>
      <c r="BH930" t="s">
        <v>74</v>
      </c>
      <c r="BI930">
        <v>23</v>
      </c>
      <c r="BJ930" t="s">
        <v>17533</v>
      </c>
      <c r="BK930" t="s">
        <v>17534</v>
      </c>
      <c r="BL930" t="s">
        <v>17535</v>
      </c>
      <c r="BM930" t="s">
        <v>17536</v>
      </c>
      <c r="BN930" t="s">
        <v>74</v>
      </c>
      <c r="BO930" t="s">
        <v>74</v>
      </c>
      <c r="BP930" t="s">
        <v>74</v>
      </c>
      <c r="BQ930" t="s">
        <v>74</v>
      </c>
      <c r="BR930" t="s">
        <v>106</v>
      </c>
      <c r="BS930" t="s">
        <v>17557</v>
      </c>
      <c r="BT930" t="str">
        <f>HYPERLINK("https%3A%2F%2Fwww.webofscience.com%2Fwos%2Fwoscc%2Ffull-record%2FWOS:000417782800004","View Full Record in Web of Science")</f>
        <v>View Full Record in Web of Science</v>
      </c>
    </row>
    <row r="931" spans="1:72" x14ac:dyDescent="0.15">
      <c r="A931" t="s">
        <v>3136</v>
      </c>
      <c r="B931" t="s">
        <v>17538</v>
      </c>
      <c r="C931" t="s">
        <v>17515</v>
      </c>
      <c r="D931" t="s">
        <v>74</v>
      </c>
      <c r="E931" t="s">
        <v>74</v>
      </c>
      <c r="F931" t="s">
        <v>17539</v>
      </c>
      <c r="G931" t="s">
        <v>17515</v>
      </c>
      <c r="H931" t="s">
        <v>74</v>
      </c>
      <c r="I931" t="s">
        <v>17558</v>
      </c>
      <c r="J931" t="s">
        <v>17518</v>
      </c>
      <c r="K931" t="s">
        <v>17519</v>
      </c>
      <c r="L931" t="s">
        <v>74</v>
      </c>
      <c r="M931" t="s">
        <v>78</v>
      </c>
      <c r="N931" t="s">
        <v>17520</v>
      </c>
      <c r="O931" t="s">
        <v>74</v>
      </c>
      <c r="P931" t="s">
        <v>74</v>
      </c>
      <c r="Q931" t="s">
        <v>74</v>
      </c>
      <c r="R931" t="s">
        <v>74</v>
      </c>
      <c r="S931" t="s">
        <v>74</v>
      </c>
      <c r="T931" t="s">
        <v>17559</v>
      </c>
      <c r="U931" t="s">
        <v>74</v>
      </c>
      <c r="V931" t="s">
        <v>17560</v>
      </c>
      <c r="W931" t="s">
        <v>17543</v>
      </c>
      <c r="X931" t="s">
        <v>74</v>
      </c>
      <c r="Y931" t="s">
        <v>17544</v>
      </c>
      <c r="Z931" t="s">
        <v>17545</v>
      </c>
      <c r="AA931" t="s">
        <v>74</v>
      </c>
      <c r="AB931" t="s">
        <v>74</v>
      </c>
      <c r="AC931" t="s">
        <v>74</v>
      </c>
      <c r="AD931" t="s">
        <v>74</v>
      </c>
      <c r="AE931" t="s">
        <v>74</v>
      </c>
      <c r="AF931" t="s">
        <v>74</v>
      </c>
      <c r="AG931">
        <v>21</v>
      </c>
      <c r="AH931">
        <v>0</v>
      </c>
      <c r="AI931">
        <v>1</v>
      </c>
      <c r="AJ931">
        <v>0</v>
      </c>
      <c r="AK931">
        <v>3</v>
      </c>
      <c r="AL931" t="s">
        <v>1179</v>
      </c>
      <c r="AM931" t="s">
        <v>1180</v>
      </c>
      <c r="AN931" t="s">
        <v>1181</v>
      </c>
      <c r="AO931" t="s">
        <v>17528</v>
      </c>
      <c r="AP931" t="s">
        <v>74</v>
      </c>
      <c r="AQ931" t="s">
        <v>17529</v>
      </c>
      <c r="AR931" t="s">
        <v>17530</v>
      </c>
      <c r="AS931" t="s">
        <v>74</v>
      </c>
      <c r="AT931" t="s">
        <v>74</v>
      </c>
      <c r="AU931">
        <v>2016</v>
      </c>
      <c r="AV931" t="s">
        <v>74</v>
      </c>
      <c r="AW931" t="s">
        <v>74</v>
      </c>
      <c r="AX931" t="s">
        <v>74</v>
      </c>
      <c r="AY931" t="s">
        <v>74</v>
      </c>
      <c r="AZ931" t="s">
        <v>74</v>
      </c>
      <c r="BA931" t="s">
        <v>74</v>
      </c>
      <c r="BB931">
        <v>65</v>
      </c>
      <c r="BC931">
        <v>74</v>
      </c>
      <c r="BD931" t="s">
        <v>74</v>
      </c>
      <c r="BE931" t="s">
        <v>17561</v>
      </c>
      <c r="BF931" t="str">
        <f>HYPERLINK("http://dx.doi.org/10.1007/978-3-319-39914-0_4","http://dx.doi.org/10.1007/978-3-319-39914-0_4")</f>
        <v>http://dx.doi.org/10.1007/978-3-319-39914-0_4</v>
      </c>
      <c r="BG931" t="s">
        <v>17532</v>
      </c>
      <c r="BH931" t="s">
        <v>74</v>
      </c>
      <c r="BI931">
        <v>10</v>
      </c>
      <c r="BJ931" t="s">
        <v>17533</v>
      </c>
      <c r="BK931" t="s">
        <v>17534</v>
      </c>
      <c r="BL931" t="s">
        <v>17535</v>
      </c>
      <c r="BM931" t="s">
        <v>17536</v>
      </c>
      <c r="BN931" t="s">
        <v>74</v>
      </c>
      <c r="BO931" t="s">
        <v>74</v>
      </c>
      <c r="BP931" t="s">
        <v>74</v>
      </c>
      <c r="BQ931" t="s">
        <v>74</v>
      </c>
      <c r="BR931" t="s">
        <v>106</v>
      </c>
      <c r="BS931" t="s">
        <v>17562</v>
      </c>
      <c r="BT931" t="str">
        <f>HYPERLINK("https%3A%2F%2Fwww.webofscience.com%2Fwos%2Fwoscc%2Ffull-record%2FWOS:000417782800005","View Full Record in Web of Science")</f>
        <v>View Full Record in Web of Science</v>
      </c>
    </row>
    <row r="932" spans="1:72" x14ac:dyDescent="0.15">
      <c r="A932" t="s">
        <v>3136</v>
      </c>
      <c r="B932" t="s">
        <v>17563</v>
      </c>
      <c r="C932" t="s">
        <v>17515</v>
      </c>
      <c r="D932" t="s">
        <v>74</v>
      </c>
      <c r="E932" t="s">
        <v>74</v>
      </c>
      <c r="F932" t="s">
        <v>17564</v>
      </c>
      <c r="G932" t="s">
        <v>17515</v>
      </c>
      <c r="H932" t="s">
        <v>74</v>
      </c>
      <c r="I932" t="s">
        <v>17565</v>
      </c>
      <c r="J932" t="s">
        <v>17518</v>
      </c>
      <c r="K932" t="s">
        <v>17519</v>
      </c>
      <c r="L932" t="s">
        <v>74</v>
      </c>
      <c r="M932" t="s">
        <v>78</v>
      </c>
      <c r="N932" t="s">
        <v>17520</v>
      </c>
      <c r="O932" t="s">
        <v>74</v>
      </c>
      <c r="P932" t="s">
        <v>74</v>
      </c>
      <c r="Q932" t="s">
        <v>74</v>
      </c>
      <c r="R932" t="s">
        <v>74</v>
      </c>
      <c r="S932" t="s">
        <v>74</v>
      </c>
      <c r="T932" t="s">
        <v>17566</v>
      </c>
      <c r="U932" t="s">
        <v>74</v>
      </c>
      <c r="V932" t="s">
        <v>17567</v>
      </c>
      <c r="W932" t="s">
        <v>17568</v>
      </c>
      <c r="X932" t="s">
        <v>74</v>
      </c>
      <c r="Y932" t="s">
        <v>17569</v>
      </c>
      <c r="Z932" t="s">
        <v>17570</v>
      </c>
      <c r="AA932" t="s">
        <v>17526</v>
      </c>
      <c r="AB932" t="s">
        <v>17527</v>
      </c>
      <c r="AC932" t="s">
        <v>74</v>
      </c>
      <c r="AD932" t="s">
        <v>74</v>
      </c>
      <c r="AE932" t="s">
        <v>74</v>
      </c>
      <c r="AF932" t="s">
        <v>74</v>
      </c>
      <c r="AG932">
        <v>41</v>
      </c>
      <c r="AH932">
        <v>1</v>
      </c>
      <c r="AI932">
        <v>1</v>
      </c>
      <c r="AJ932">
        <v>0</v>
      </c>
      <c r="AK932">
        <v>1</v>
      </c>
      <c r="AL932" t="s">
        <v>1179</v>
      </c>
      <c r="AM932" t="s">
        <v>1180</v>
      </c>
      <c r="AN932" t="s">
        <v>1181</v>
      </c>
      <c r="AO932" t="s">
        <v>17528</v>
      </c>
      <c r="AP932" t="s">
        <v>74</v>
      </c>
      <c r="AQ932" t="s">
        <v>17529</v>
      </c>
      <c r="AR932" t="s">
        <v>17530</v>
      </c>
      <c r="AS932" t="s">
        <v>74</v>
      </c>
      <c r="AT932" t="s">
        <v>74</v>
      </c>
      <c r="AU932">
        <v>2016</v>
      </c>
      <c r="AV932" t="s">
        <v>74</v>
      </c>
      <c r="AW932" t="s">
        <v>74</v>
      </c>
      <c r="AX932" t="s">
        <v>74</v>
      </c>
      <c r="AY932" t="s">
        <v>74</v>
      </c>
      <c r="AZ932" t="s">
        <v>74</v>
      </c>
      <c r="BA932" t="s">
        <v>74</v>
      </c>
      <c r="BB932">
        <v>75</v>
      </c>
      <c r="BC932">
        <v>99</v>
      </c>
      <c r="BD932" t="s">
        <v>74</v>
      </c>
      <c r="BE932" t="s">
        <v>17571</v>
      </c>
      <c r="BF932" t="str">
        <f>HYPERLINK("http://dx.doi.org/10.1007/978-3-319-39914-0_5","http://dx.doi.org/10.1007/978-3-319-39914-0_5")</f>
        <v>http://dx.doi.org/10.1007/978-3-319-39914-0_5</v>
      </c>
      <c r="BG932" t="s">
        <v>17532</v>
      </c>
      <c r="BH932" t="s">
        <v>74</v>
      </c>
      <c r="BI932">
        <v>25</v>
      </c>
      <c r="BJ932" t="s">
        <v>17533</v>
      </c>
      <c r="BK932" t="s">
        <v>17534</v>
      </c>
      <c r="BL932" t="s">
        <v>17535</v>
      </c>
      <c r="BM932" t="s">
        <v>17536</v>
      </c>
      <c r="BN932" t="s">
        <v>74</v>
      </c>
      <c r="BO932" t="s">
        <v>74</v>
      </c>
      <c r="BP932" t="s">
        <v>74</v>
      </c>
      <c r="BQ932" t="s">
        <v>74</v>
      </c>
      <c r="BR932" t="s">
        <v>106</v>
      </c>
      <c r="BS932" t="s">
        <v>17572</v>
      </c>
      <c r="BT932" t="str">
        <f>HYPERLINK("https%3A%2F%2Fwww.webofscience.com%2Fwos%2Fwoscc%2Ffull-record%2FWOS:000417782800006","View Full Record in Web of Science")</f>
        <v>View Full Record in Web of Science</v>
      </c>
    </row>
    <row r="933" spans="1:72" x14ac:dyDescent="0.15">
      <c r="A933" t="s">
        <v>8593</v>
      </c>
      <c r="B933" t="s">
        <v>17573</v>
      </c>
      <c r="C933" t="s">
        <v>74</v>
      </c>
      <c r="D933" t="s">
        <v>17574</v>
      </c>
      <c r="E933" t="s">
        <v>74</v>
      </c>
      <c r="F933" t="s">
        <v>17575</v>
      </c>
      <c r="G933" t="s">
        <v>74</v>
      </c>
      <c r="H933" t="s">
        <v>74</v>
      </c>
      <c r="I933" t="s">
        <v>17576</v>
      </c>
      <c r="J933" t="s">
        <v>17577</v>
      </c>
      <c r="K933" t="s">
        <v>17578</v>
      </c>
      <c r="L933" t="s">
        <v>74</v>
      </c>
      <c r="M933" t="s">
        <v>78</v>
      </c>
      <c r="N933" t="s">
        <v>17520</v>
      </c>
      <c r="O933" t="s">
        <v>74</v>
      </c>
      <c r="P933" t="s">
        <v>74</v>
      </c>
      <c r="Q933" t="s">
        <v>74</v>
      </c>
      <c r="R933" t="s">
        <v>74</v>
      </c>
      <c r="S933" t="s">
        <v>74</v>
      </c>
      <c r="T933" t="s">
        <v>74</v>
      </c>
      <c r="U933" t="s">
        <v>74</v>
      </c>
      <c r="V933" t="s">
        <v>74</v>
      </c>
      <c r="W933" t="s">
        <v>17579</v>
      </c>
      <c r="X933" t="s">
        <v>1057</v>
      </c>
      <c r="Y933" t="s">
        <v>17580</v>
      </c>
      <c r="Z933" t="s">
        <v>74</v>
      </c>
      <c r="AA933" t="s">
        <v>9506</v>
      </c>
      <c r="AB933" t="s">
        <v>17581</v>
      </c>
      <c r="AC933" t="s">
        <v>74</v>
      </c>
      <c r="AD933" t="s">
        <v>74</v>
      </c>
      <c r="AE933" t="s">
        <v>74</v>
      </c>
      <c r="AF933" t="s">
        <v>74</v>
      </c>
      <c r="AG933">
        <v>66</v>
      </c>
      <c r="AH933">
        <v>0</v>
      </c>
      <c r="AI933">
        <v>0</v>
      </c>
      <c r="AJ933">
        <v>1</v>
      </c>
      <c r="AK933">
        <v>1</v>
      </c>
      <c r="AL933" t="s">
        <v>17582</v>
      </c>
      <c r="AM933" t="s">
        <v>17583</v>
      </c>
      <c r="AN933" t="s">
        <v>17584</v>
      </c>
      <c r="AO933" t="s">
        <v>74</v>
      </c>
      <c r="AP933" t="s">
        <v>74</v>
      </c>
      <c r="AQ933" t="s">
        <v>17585</v>
      </c>
      <c r="AR933" t="s">
        <v>17586</v>
      </c>
      <c r="AS933" t="s">
        <v>74</v>
      </c>
      <c r="AT933" t="s">
        <v>74</v>
      </c>
      <c r="AU933">
        <v>2016</v>
      </c>
      <c r="AV933" t="s">
        <v>74</v>
      </c>
      <c r="AW933" t="s">
        <v>74</v>
      </c>
      <c r="AX933" t="s">
        <v>74</v>
      </c>
      <c r="AY933" t="s">
        <v>74</v>
      </c>
      <c r="AZ933" t="s">
        <v>74</v>
      </c>
      <c r="BA933" t="s">
        <v>74</v>
      </c>
      <c r="BB933">
        <v>27</v>
      </c>
      <c r="BC933">
        <v>51</v>
      </c>
      <c r="BD933" t="s">
        <v>74</v>
      </c>
      <c r="BE933" t="s">
        <v>17587</v>
      </c>
      <c r="BF933" t="str">
        <f>HYPERLINK("http://dx.doi.org/10.1057/978-1-137-54575-6_2","http://dx.doi.org/10.1057/978-1-137-54575-6_2")</f>
        <v>http://dx.doi.org/10.1057/978-1-137-54575-6_2</v>
      </c>
      <c r="BG933" t="s">
        <v>17588</v>
      </c>
      <c r="BH933" t="s">
        <v>74</v>
      </c>
      <c r="BI933">
        <v>25</v>
      </c>
      <c r="BJ933" t="s">
        <v>17589</v>
      </c>
      <c r="BK933" t="s">
        <v>17590</v>
      </c>
      <c r="BL933" t="s">
        <v>17591</v>
      </c>
      <c r="BM933" t="s">
        <v>17592</v>
      </c>
      <c r="BN933" t="s">
        <v>74</v>
      </c>
      <c r="BO933" t="s">
        <v>74</v>
      </c>
      <c r="BP933" t="s">
        <v>74</v>
      </c>
      <c r="BQ933" t="s">
        <v>74</v>
      </c>
      <c r="BR933" t="s">
        <v>106</v>
      </c>
      <c r="BS933" t="s">
        <v>17593</v>
      </c>
      <c r="BT933" t="str">
        <f>HYPERLINK("https%3A%2F%2Fwww.webofscience.com%2Fwos%2Fwoscc%2Ffull-record%2FWOS:000398561300003","View Full Record in Web of Science")</f>
        <v>View Full Record in Web of Science</v>
      </c>
    </row>
    <row r="934" spans="1:72" x14ac:dyDescent="0.15">
      <c r="A934" t="s">
        <v>8593</v>
      </c>
      <c r="B934" t="s">
        <v>17594</v>
      </c>
      <c r="C934" t="s">
        <v>74</v>
      </c>
      <c r="D934" t="s">
        <v>17574</v>
      </c>
      <c r="E934" t="s">
        <v>74</v>
      </c>
      <c r="F934" t="s">
        <v>17595</v>
      </c>
      <c r="G934" t="s">
        <v>74</v>
      </c>
      <c r="H934" t="s">
        <v>74</v>
      </c>
      <c r="I934" t="s">
        <v>17596</v>
      </c>
      <c r="J934" t="s">
        <v>17577</v>
      </c>
      <c r="K934" t="s">
        <v>17578</v>
      </c>
      <c r="L934" t="s">
        <v>74</v>
      </c>
      <c r="M934" t="s">
        <v>78</v>
      </c>
      <c r="N934" t="s">
        <v>17520</v>
      </c>
      <c r="O934" t="s">
        <v>74</v>
      </c>
      <c r="P934" t="s">
        <v>74</v>
      </c>
      <c r="Q934" t="s">
        <v>74</v>
      </c>
      <c r="R934" t="s">
        <v>74</v>
      </c>
      <c r="S934" t="s">
        <v>74</v>
      </c>
      <c r="T934" t="s">
        <v>74</v>
      </c>
      <c r="U934" t="s">
        <v>74</v>
      </c>
      <c r="V934" t="s">
        <v>74</v>
      </c>
      <c r="W934" t="s">
        <v>17597</v>
      </c>
      <c r="X934" t="s">
        <v>74</v>
      </c>
      <c r="Y934" t="s">
        <v>17598</v>
      </c>
      <c r="Z934" t="s">
        <v>74</v>
      </c>
      <c r="AA934" t="s">
        <v>74</v>
      </c>
      <c r="AB934" t="s">
        <v>74</v>
      </c>
      <c r="AC934" t="s">
        <v>74</v>
      </c>
      <c r="AD934" t="s">
        <v>74</v>
      </c>
      <c r="AE934" t="s">
        <v>74</v>
      </c>
      <c r="AF934" t="s">
        <v>74</v>
      </c>
      <c r="AG934">
        <v>71</v>
      </c>
      <c r="AH934">
        <v>0</v>
      </c>
      <c r="AI934">
        <v>0</v>
      </c>
      <c r="AJ934">
        <v>0</v>
      </c>
      <c r="AK934">
        <v>0</v>
      </c>
      <c r="AL934" t="s">
        <v>17582</v>
      </c>
      <c r="AM934" t="s">
        <v>17583</v>
      </c>
      <c r="AN934" t="s">
        <v>17584</v>
      </c>
      <c r="AO934" t="s">
        <v>74</v>
      </c>
      <c r="AP934" t="s">
        <v>74</v>
      </c>
      <c r="AQ934" t="s">
        <v>17585</v>
      </c>
      <c r="AR934" t="s">
        <v>17586</v>
      </c>
      <c r="AS934" t="s">
        <v>74</v>
      </c>
      <c r="AT934" t="s">
        <v>74</v>
      </c>
      <c r="AU934">
        <v>2016</v>
      </c>
      <c r="AV934" t="s">
        <v>74</v>
      </c>
      <c r="AW934" t="s">
        <v>74</v>
      </c>
      <c r="AX934" t="s">
        <v>74</v>
      </c>
      <c r="AY934" t="s">
        <v>74</v>
      </c>
      <c r="AZ934" t="s">
        <v>74</v>
      </c>
      <c r="BA934" t="s">
        <v>74</v>
      </c>
      <c r="BB934">
        <v>53</v>
      </c>
      <c r="BC934">
        <v>76</v>
      </c>
      <c r="BD934" t="s">
        <v>74</v>
      </c>
      <c r="BE934" t="s">
        <v>17599</v>
      </c>
      <c r="BF934" t="str">
        <f>HYPERLINK("http://dx.doi.org/10.1057/978-1-137-54575-6_3","http://dx.doi.org/10.1057/978-1-137-54575-6_3")</f>
        <v>http://dx.doi.org/10.1057/978-1-137-54575-6_3</v>
      </c>
      <c r="BG934" t="s">
        <v>17588</v>
      </c>
      <c r="BH934" t="s">
        <v>74</v>
      </c>
      <c r="BI934">
        <v>24</v>
      </c>
      <c r="BJ934" t="s">
        <v>17589</v>
      </c>
      <c r="BK934" t="s">
        <v>17590</v>
      </c>
      <c r="BL934" t="s">
        <v>17591</v>
      </c>
      <c r="BM934" t="s">
        <v>17592</v>
      </c>
      <c r="BN934" t="s">
        <v>74</v>
      </c>
      <c r="BO934" t="s">
        <v>74</v>
      </c>
      <c r="BP934" t="s">
        <v>74</v>
      </c>
      <c r="BQ934" t="s">
        <v>74</v>
      </c>
      <c r="BR934" t="s">
        <v>106</v>
      </c>
      <c r="BS934" t="s">
        <v>17600</v>
      </c>
      <c r="BT934" t="str">
        <f>HYPERLINK("https%3A%2F%2Fwww.webofscience.com%2Fwos%2Fwoscc%2Ffull-record%2FWOS:000398561300004","View Full Record in Web of Science")</f>
        <v>View Full Record in Web of Science</v>
      </c>
    </row>
    <row r="935" spans="1:72" x14ac:dyDescent="0.15">
      <c r="A935" t="s">
        <v>8593</v>
      </c>
      <c r="B935" t="s">
        <v>17601</v>
      </c>
      <c r="C935" t="s">
        <v>74</v>
      </c>
      <c r="D935" t="s">
        <v>17574</v>
      </c>
      <c r="E935" t="s">
        <v>74</v>
      </c>
      <c r="F935" t="s">
        <v>17602</v>
      </c>
      <c r="G935" t="s">
        <v>74</v>
      </c>
      <c r="H935" t="s">
        <v>74</v>
      </c>
      <c r="I935" t="s">
        <v>17603</v>
      </c>
      <c r="J935" t="s">
        <v>17577</v>
      </c>
      <c r="K935" t="s">
        <v>17578</v>
      </c>
      <c r="L935" t="s">
        <v>74</v>
      </c>
      <c r="M935" t="s">
        <v>78</v>
      </c>
      <c r="N935" t="s">
        <v>17520</v>
      </c>
      <c r="O935" t="s">
        <v>74</v>
      </c>
      <c r="P935" t="s">
        <v>74</v>
      </c>
      <c r="Q935" t="s">
        <v>74</v>
      </c>
      <c r="R935" t="s">
        <v>74</v>
      </c>
      <c r="S935" t="s">
        <v>74</v>
      </c>
      <c r="T935" t="s">
        <v>74</v>
      </c>
      <c r="U935" t="s">
        <v>74</v>
      </c>
      <c r="V935" t="s">
        <v>74</v>
      </c>
      <c r="W935" t="s">
        <v>17604</v>
      </c>
      <c r="X935" t="s">
        <v>17605</v>
      </c>
      <c r="Y935" t="s">
        <v>17606</v>
      </c>
      <c r="Z935" t="s">
        <v>74</v>
      </c>
      <c r="AA935" t="s">
        <v>74</v>
      </c>
      <c r="AB935" t="s">
        <v>17607</v>
      </c>
      <c r="AC935" t="s">
        <v>74</v>
      </c>
      <c r="AD935" t="s">
        <v>74</v>
      </c>
      <c r="AE935" t="s">
        <v>74</v>
      </c>
      <c r="AF935" t="s">
        <v>74</v>
      </c>
      <c r="AG935">
        <v>92</v>
      </c>
      <c r="AH935">
        <v>12</v>
      </c>
      <c r="AI935">
        <v>14</v>
      </c>
      <c r="AJ935">
        <v>0</v>
      </c>
      <c r="AK935">
        <v>1</v>
      </c>
      <c r="AL935" t="s">
        <v>17582</v>
      </c>
      <c r="AM935" t="s">
        <v>17583</v>
      </c>
      <c r="AN935" t="s">
        <v>17584</v>
      </c>
      <c r="AO935" t="s">
        <v>74</v>
      </c>
      <c r="AP935" t="s">
        <v>74</v>
      </c>
      <c r="AQ935" t="s">
        <v>17585</v>
      </c>
      <c r="AR935" t="s">
        <v>17586</v>
      </c>
      <c r="AS935" t="s">
        <v>74</v>
      </c>
      <c r="AT935" t="s">
        <v>74</v>
      </c>
      <c r="AU935">
        <v>2016</v>
      </c>
      <c r="AV935" t="s">
        <v>74</v>
      </c>
      <c r="AW935" t="s">
        <v>74</v>
      </c>
      <c r="AX935" t="s">
        <v>74</v>
      </c>
      <c r="AY935" t="s">
        <v>74</v>
      </c>
      <c r="AZ935" t="s">
        <v>74</v>
      </c>
      <c r="BA935" t="s">
        <v>74</v>
      </c>
      <c r="BB935">
        <v>125</v>
      </c>
      <c r="BC935">
        <v>156</v>
      </c>
      <c r="BD935" t="s">
        <v>74</v>
      </c>
      <c r="BE935" t="s">
        <v>17608</v>
      </c>
      <c r="BF935" t="str">
        <f>HYPERLINK("http://dx.doi.org/10.1057/978-1-137-54575-6_6","http://dx.doi.org/10.1057/978-1-137-54575-6_6")</f>
        <v>http://dx.doi.org/10.1057/978-1-137-54575-6_6</v>
      </c>
      <c r="BG935" t="s">
        <v>17588</v>
      </c>
      <c r="BH935" t="s">
        <v>74</v>
      </c>
      <c r="BI935">
        <v>32</v>
      </c>
      <c r="BJ935" t="s">
        <v>17589</v>
      </c>
      <c r="BK935" t="s">
        <v>17590</v>
      </c>
      <c r="BL935" t="s">
        <v>17591</v>
      </c>
      <c r="BM935" t="s">
        <v>17592</v>
      </c>
      <c r="BN935" t="s">
        <v>74</v>
      </c>
      <c r="BO935" t="s">
        <v>74</v>
      </c>
      <c r="BP935" t="s">
        <v>74</v>
      </c>
      <c r="BQ935" t="s">
        <v>74</v>
      </c>
      <c r="BR935" t="s">
        <v>106</v>
      </c>
      <c r="BS935" t="s">
        <v>17609</v>
      </c>
      <c r="BT935" t="str">
        <f>HYPERLINK("https%3A%2F%2Fwww.webofscience.com%2Fwos%2Fwoscc%2Ffull-record%2FWOS:000398561300007","View Full Record in Web of Science")</f>
        <v>View Full Record in Web of Science</v>
      </c>
    </row>
    <row r="936" spans="1:72" x14ac:dyDescent="0.15">
      <c r="A936" t="s">
        <v>8593</v>
      </c>
      <c r="B936" t="s">
        <v>17610</v>
      </c>
      <c r="C936" t="s">
        <v>74</v>
      </c>
      <c r="D936" t="s">
        <v>17574</v>
      </c>
      <c r="E936" t="s">
        <v>74</v>
      </c>
      <c r="F936" t="s">
        <v>17611</v>
      </c>
      <c r="G936" t="s">
        <v>74</v>
      </c>
      <c r="H936" t="s">
        <v>74</v>
      </c>
      <c r="I936" t="s">
        <v>17612</v>
      </c>
      <c r="J936" t="s">
        <v>17577</v>
      </c>
      <c r="K936" t="s">
        <v>17578</v>
      </c>
      <c r="L936" t="s">
        <v>74</v>
      </c>
      <c r="M936" t="s">
        <v>78</v>
      </c>
      <c r="N936" t="s">
        <v>17520</v>
      </c>
      <c r="O936" t="s">
        <v>74</v>
      </c>
      <c r="P936" t="s">
        <v>74</v>
      </c>
      <c r="Q936" t="s">
        <v>74</v>
      </c>
      <c r="R936" t="s">
        <v>74</v>
      </c>
      <c r="S936" t="s">
        <v>74</v>
      </c>
      <c r="T936" t="s">
        <v>74</v>
      </c>
      <c r="U936" t="s">
        <v>74</v>
      </c>
      <c r="V936" t="s">
        <v>74</v>
      </c>
      <c r="W936" t="s">
        <v>17613</v>
      </c>
      <c r="X936" t="s">
        <v>17614</v>
      </c>
      <c r="Y936" t="s">
        <v>17615</v>
      </c>
      <c r="Z936" t="s">
        <v>74</v>
      </c>
      <c r="AA936" t="s">
        <v>74</v>
      </c>
      <c r="AB936" t="s">
        <v>74</v>
      </c>
      <c r="AC936" t="s">
        <v>74</v>
      </c>
      <c r="AD936" t="s">
        <v>74</v>
      </c>
      <c r="AE936" t="s">
        <v>74</v>
      </c>
      <c r="AF936" t="s">
        <v>74</v>
      </c>
      <c r="AG936">
        <v>51</v>
      </c>
      <c r="AH936">
        <v>1</v>
      </c>
      <c r="AI936">
        <v>1</v>
      </c>
      <c r="AJ936">
        <v>0</v>
      </c>
      <c r="AK936">
        <v>1</v>
      </c>
      <c r="AL936" t="s">
        <v>17582</v>
      </c>
      <c r="AM936" t="s">
        <v>17583</v>
      </c>
      <c r="AN936" t="s">
        <v>17584</v>
      </c>
      <c r="AO936" t="s">
        <v>74</v>
      </c>
      <c r="AP936" t="s">
        <v>74</v>
      </c>
      <c r="AQ936" t="s">
        <v>17585</v>
      </c>
      <c r="AR936" t="s">
        <v>17586</v>
      </c>
      <c r="AS936" t="s">
        <v>74</v>
      </c>
      <c r="AT936" t="s">
        <v>74</v>
      </c>
      <c r="AU936">
        <v>2016</v>
      </c>
      <c r="AV936" t="s">
        <v>74</v>
      </c>
      <c r="AW936" t="s">
        <v>74</v>
      </c>
      <c r="AX936" t="s">
        <v>74</v>
      </c>
      <c r="AY936" t="s">
        <v>74</v>
      </c>
      <c r="AZ936" t="s">
        <v>74</v>
      </c>
      <c r="BA936" t="s">
        <v>74</v>
      </c>
      <c r="BB936">
        <v>251</v>
      </c>
      <c r="BC936">
        <v>272</v>
      </c>
      <c r="BD936" t="s">
        <v>74</v>
      </c>
      <c r="BE936" t="s">
        <v>17616</v>
      </c>
      <c r="BF936" t="str">
        <f>HYPERLINK("http://dx.doi.org/10.1057/978-1-137-54575-6_11","http://dx.doi.org/10.1057/978-1-137-54575-6_11")</f>
        <v>http://dx.doi.org/10.1057/978-1-137-54575-6_11</v>
      </c>
      <c r="BG936" t="s">
        <v>17588</v>
      </c>
      <c r="BH936" t="s">
        <v>74</v>
      </c>
      <c r="BI936">
        <v>22</v>
      </c>
      <c r="BJ936" t="s">
        <v>17589</v>
      </c>
      <c r="BK936" t="s">
        <v>17590</v>
      </c>
      <c r="BL936" t="s">
        <v>17591</v>
      </c>
      <c r="BM936" t="s">
        <v>17592</v>
      </c>
      <c r="BN936" t="s">
        <v>74</v>
      </c>
      <c r="BO936" t="s">
        <v>74</v>
      </c>
      <c r="BP936" t="s">
        <v>74</v>
      </c>
      <c r="BQ936" t="s">
        <v>74</v>
      </c>
      <c r="BR936" t="s">
        <v>106</v>
      </c>
      <c r="BS936" t="s">
        <v>17617</v>
      </c>
      <c r="BT936" t="str">
        <f>HYPERLINK("https%3A%2F%2Fwww.webofscience.com%2Fwos%2Fwoscc%2Ffull-record%2FWOS:000398561300012","View Full Record in Web of Science")</f>
        <v>View Full Record in Web of Science</v>
      </c>
    </row>
    <row r="937" spans="1:72" x14ac:dyDescent="0.15">
      <c r="A937" t="s">
        <v>8593</v>
      </c>
      <c r="B937" t="s">
        <v>17618</v>
      </c>
      <c r="C937" t="s">
        <v>74</v>
      </c>
      <c r="D937" t="s">
        <v>17574</v>
      </c>
      <c r="E937" t="s">
        <v>74</v>
      </c>
      <c r="F937" t="s">
        <v>17619</v>
      </c>
      <c r="G937" t="s">
        <v>74</v>
      </c>
      <c r="H937" t="s">
        <v>74</v>
      </c>
      <c r="I937" t="s">
        <v>17620</v>
      </c>
      <c r="J937" t="s">
        <v>17577</v>
      </c>
      <c r="K937" t="s">
        <v>17578</v>
      </c>
      <c r="L937" t="s">
        <v>74</v>
      </c>
      <c r="M937" t="s">
        <v>78</v>
      </c>
      <c r="N937" t="s">
        <v>17520</v>
      </c>
      <c r="O937" t="s">
        <v>74</v>
      </c>
      <c r="P937" t="s">
        <v>74</v>
      </c>
      <c r="Q937" t="s">
        <v>74</v>
      </c>
      <c r="R937" t="s">
        <v>74</v>
      </c>
      <c r="S937" t="s">
        <v>74</v>
      </c>
      <c r="T937" t="s">
        <v>74</v>
      </c>
      <c r="U937" t="s">
        <v>17621</v>
      </c>
      <c r="V937" t="s">
        <v>74</v>
      </c>
      <c r="W937" t="s">
        <v>17622</v>
      </c>
      <c r="X937" t="s">
        <v>17623</v>
      </c>
      <c r="Y937" t="s">
        <v>17624</v>
      </c>
      <c r="Z937" t="s">
        <v>74</v>
      </c>
      <c r="AA937" t="s">
        <v>74</v>
      </c>
      <c r="AB937" t="s">
        <v>74</v>
      </c>
      <c r="AC937" t="s">
        <v>74</v>
      </c>
      <c r="AD937" t="s">
        <v>74</v>
      </c>
      <c r="AE937" t="s">
        <v>74</v>
      </c>
      <c r="AF937" t="s">
        <v>74</v>
      </c>
      <c r="AG937">
        <v>89</v>
      </c>
      <c r="AH937">
        <v>2</v>
      </c>
      <c r="AI937">
        <v>2</v>
      </c>
      <c r="AJ937">
        <v>0</v>
      </c>
      <c r="AK937">
        <v>0</v>
      </c>
      <c r="AL937" t="s">
        <v>17582</v>
      </c>
      <c r="AM937" t="s">
        <v>17583</v>
      </c>
      <c r="AN937" t="s">
        <v>17584</v>
      </c>
      <c r="AO937" t="s">
        <v>74</v>
      </c>
      <c r="AP937" t="s">
        <v>74</v>
      </c>
      <c r="AQ937" t="s">
        <v>17585</v>
      </c>
      <c r="AR937" t="s">
        <v>17586</v>
      </c>
      <c r="AS937" t="s">
        <v>74</v>
      </c>
      <c r="AT937" t="s">
        <v>74</v>
      </c>
      <c r="AU937">
        <v>2016</v>
      </c>
      <c r="AV937" t="s">
        <v>74</v>
      </c>
      <c r="AW937" t="s">
        <v>74</v>
      </c>
      <c r="AX937" t="s">
        <v>74</v>
      </c>
      <c r="AY937" t="s">
        <v>74</v>
      </c>
      <c r="AZ937" t="s">
        <v>74</v>
      </c>
      <c r="BA937" t="s">
        <v>74</v>
      </c>
      <c r="BB937">
        <v>273</v>
      </c>
      <c r="BC937">
        <v>301</v>
      </c>
      <c r="BD937" t="s">
        <v>74</v>
      </c>
      <c r="BE937" t="s">
        <v>17625</v>
      </c>
      <c r="BF937" t="str">
        <f>HYPERLINK("http://dx.doi.org/10.1057/978-1-137-54575-6_12","http://dx.doi.org/10.1057/978-1-137-54575-6_12")</f>
        <v>http://dx.doi.org/10.1057/978-1-137-54575-6_12</v>
      </c>
      <c r="BG937" t="s">
        <v>17588</v>
      </c>
      <c r="BH937" t="s">
        <v>74</v>
      </c>
      <c r="BI937">
        <v>29</v>
      </c>
      <c r="BJ937" t="s">
        <v>17589</v>
      </c>
      <c r="BK937" t="s">
        <v>17590</v>
      </c>
      <c r="BL937" t="s">
        <v>17591</v>
      </c>
      <c r="BM937" t="s">
        <v>17592</v>
      </c>
      <c r="BN937" t="s">
        <v>74</v>
      </c>
      <c r="BO937" t="s">
        <v>74</v>
      </c>
      <c r="BP937" t="s">
        <v>74</v>
      </c>
      <c r="BQ937" t="s">
        <v>74</v>
      </c>
      <c r="BR937" t="s">
        <v>106</v>
      </c>
      <c r="BS937" t="s">
        <v>17626</v>
      </c>
      <c r="BT937" t="str">
        <f>HYPERLINK("https%3A%2F%2Fwww.webofscience.com%2Fwos%2Fwoscc%2Ffull-record%2FWOS:000398561300013","View Full Record in Web of Science")</f>
        <v>View Full Record in Web of Science</v>
      </c>
    </row>
    <row r="938" spans="1:72" x14ac:dyDescent="0.15">
      <c r="A938" t="s">
        <v>3136</v>
      </c>
      <c r="B938" t="s">
        <v>17627</v>
      </c>
      <c r="C938" t="s">
        <v>74</v>
      </c>
      <c r="D938" t="s">
        <v>17628</v>
      </c>
      <c r="E938" t="s">
        <v>74</v>
      </c>
      <c r="F938" t="s">
        <v>17629</v>
      </c>
      <c r="G938" t="s">
        <v>74</v>
      </c>
      <c r="H938" t="s">
        <v>74</v>
      </c>
      <c r="I938" t="s">
        <v>17630</v>
      </c>
      <c r="J938" t="s">
        <v>17631</v>
      </c>
      <c r="K938" t="s">
        <v>17632</v>
      </c>
      <c r="L938" t="s">
        <v>74</v>
      </c>
      <c r="M938" t="s">
        <v>78</v>
      </c>
      <c r="N938" t="s">
        <v>17520</v>
      </c>
      <c r="O938" t="s">
        <v>74</v>
      </c>
      <c r="P938" t="s">
        <v>74</v>
      </c>
      <c r="Q938" t="s">
        <v>74</v>
      </c>
      <c r="R938" t="s">
        <v>74</v>
      </c>
      <c r="S938" t="s">
        <v>74</v>
      </c>
      <c r="T938" t="s">
        <v>74</v>
      </c>
      <c r="U938" t="s">
        <v>17633</v>
      </c>
      <c r="V938" t="s">
        <v>74</v>
      </c>
      <c r="W938" t="s">
        <v>17634</v>
      </c>
      <c r="X938" t="s">
        <v>17635</v>
      </c>
      <c r="Y938" t="s">
        <v>17636</v>
      </c>
      <c r="Z938" t="s">
        <v>17637</v>
      </c>
      <c r="AA938" t="s">
        <v>17638</v>
      </c>
      <c r="AB938" t="s">
        <v>17639</v>
      </c>
      <c r="AC938" t="s">
        <v>17640</v>
      </c>
      <c r="AD938" t="s">
        <v>17641</v>
      </c>
      <c r="AE938" t="s">
        <v>74</v>
      </c>
      <c r="AF938" t="s">
        <v>74</v>
      </c>
      <c r="AG938">
        <v>10</v>
      </c>
      <c r="AH938">
        <v>8</v>
      </c>
      <c r="AI938">
        <v>8</v>
      </c>
      <c r="AJ938">
        <v>0</v>
      </c>
      <c r="AK938">
        <v>0</v>
      </c>
      <c r="AL938" t="s">
        <v>17642</v>
      </c>
      <c r="AM938" t="s">
        <v>11433</v>
      </c>
      <c r="AN938" t="s">
        <v>17643</v>
      </c>
      <c r="AO938" t="s">
        <v>17644</v>
      </c>
      <c r="AP938" t="s">
        <v>74</v>
      </c>
      <c r="AQ938" t="s">
        <v>17645</v>
      </c>
      <c r="AR938" t="s">
        <v>17646</v>
      </c>
      <c r="AS938" t="s">
        <v>74</v>
      </c>
      <c r="AT938" t="s">
        <v>74</v>
      </c>
      <c r="AU938">
        <v>2016</v>
      </c>
      <c r="AV938">
        <v>46</v>
      </c>
      <c r="AW938" t="s">
        <v>74</v>
      </c>
      <c r="AX938" t="s">
        <v>74</v>
      </c>
      <c r="AY938" t="s">
        <v>74</v>
      </c>
      <c r="AZ938" t="s">
        <v>74</v>
      </c>
      <c r="BA938" t="s">
        <v>74</v>
      </c>
      <c r="BB938">
        <v>43</v>
      </c>
      <c r="BC938">
        <v>44</v>
      </c>
      <c r="BD938" t="s">
        <v>74</v>
      </c>
      <c r="BE938" t="s">
        <v>17647</v>
      </c>
      <c r="BF938" t="str">
        <f>HYPERLINK("http://dx.doi.org/10.1144/M46.40","http://dx.doi.org/10.1144/M46.40")</f>
        <v>http://dx.doi.org/10.1144/M46.40</v>
      </c>
      <c r="BG938" t="s">
        <v>74</v>
      </c>
      <c r="BH938" t="s">
        <v>74</v>
      </c>
      <c r="BI938">
        <v>2</v>
      </c>
      <c r="BJ938" t="s">
        <v>270</v>
      </c>
      <c r="BK938" t="s">
        <v>17648</v>
      </c>
      <c r="BL938" t="s">
        <v>270</v>
      </c>
      <c r="BM938" t="s">
        <v>17649</v>
      </c>
      <c r="BN938" t="s">
        <v>74</v>
      </c>
      <c r="BO938" t="s">
        <v>380</v>
      </c>
      <c r="BP938" t="s">
        <v>74</v>
      </c>
      <c r="BQ938" t="s">
        <v>74</v>
      </c>
      <c r="BR938" t="s">
        <v>106</v>
      </c>
      <c r="BS938" t="s">
        <v>17650</v>
      </c>
      <c r="BT938" t="str">
        <f>HYPERLINK("https%3A%2F%2Fwww.webofscience.com%2Fwos%2Fwoscc%2Ffull-record%2FWOS:000399497100004","View Full Record in Web of Science")</f>
        <v>View Full Record in Web of Science</v>
      </c>
    </row>
    <row r="939" spans="1:72" x14ac:dyDescent="0.15">
      <c r="A939" t="s">
        <v>3136</v>
      </c>
      <c r="B939" t="s">
        <v>17651</v>
      </c>
      <c r="C939" t="s">
        <v>74</v>
      </c>
      <c r="D939" t="s">
        <v>17628</v>
      </c>
      <c r="E939" t="s">
        <v>74</v>
      </c>
      <c r="F939" t="s">
        <v>17652</v>
      </c>
      <c r="G939" t="s">
        <v>74</v>
      </c>
      <c r="H939" t="s">
        <v>74</v>
      </c>
      <c r="I939" t="s">
        <v>17653</v>
      </c>
      <c r="J939" t="s">
        <v>17631</v>
      </c>
      <c r="K939" t="s">
        <v>17632</v>
      </c>
      <c r="L939" t="s">
        <v>74</v>
      </c>
      <c r="M939" t="s">
        <v>78</v>
      </c>
      <c r="N939" t="s">
        <v>17520</v>
      </c>
      <c r="O939" t="s">
        <v>74</v>
      </c>
      <c r="P939" t="s">
        <v>74</v>
      </c>
      <c r="Q939" t="s">
        <v>74</v>
      </c>
      <c r="R939" t="s">
        <v>74</v>
      </c>
      <c r="S939" t="s">
        <v>74</v>
      </c>
      <c r="T939" t="s">
        <v>74</v>
      </c>
      <c r="U939" t="s">
        <v>17654</v>
      </c>
      <c r="V939" t="s">
        <v>74</v>
      </c>
      <c r="W939" t="s">
        <v>17655</v>
      </c>
      <c r="X939" t="s">
        <v>17656</v>
      </c>
      <c r="Y939" t="s">
        <v>17657</v>
      </c>
      <c r="Z939" t="s">
        <v>17658</v>
      </c>
      <c r="AA939" t="s">
        <v>74</v>
      </c>
      <c r="AB939" t="s">
        <v>17659</v>
      </c>
      <c r="AC939" t="s">
        <v>74</v>
      </c>
      <c r="AD939" t="s">
        <v>74</v>
      </c>
      <c r="AE939" t="s">
        <v>74</v>
      </c>
      <c r="AF939" t="s">
        <v>74</v>
      </c>
      <c r="AG939">
        <v>14</v>
      </c>
      <c r="AH939">
        <v>4</v>
      </c>
      <c r="AI939">
        <v>5</v>
      </c>
      <c r="AJ939">
        <v>0</v>
      </c>
      <c r="AK939">
        <v>0</v>
      </c>
      <c r="AL939" t="s">
        <v>17642</v>
      </c>
      <c r="AM939" t="s">
        <v>11433</v>
      </c>
      <c r="AN939" t="s">
        <v>17643</v>
      </c>
      <c r="AO939" t="s">
        <v>17644</v>
      </c>
      <c r="AP939" t="s">
        <v>74</v>
      </c>
      <c r="AQ939" t="s">
        <v>17645</v>
      </c>
      <c r="AR939" t="s">
        <v>17646</v>
      </c>
      <c r="AS939" t="s">
        <v>74</v>
      </c>
      <c r="AT939" t="s">
        <v>74</v>
      </c>
      <c r="AU939">
        <v>2016</v>
      </c>
      <c r="AV939">
        <v>46</v>
      </c>
      <c r="AW939" t="s">
        <v>74</v>
      </c>
      <c r="AX939" t="s">
        <v>74</v>
      </c>
      <c r="AY939" t="s">
        <v>74</v>
      </c>
      <c r="AZ939" t="s">
        <v>74</v>
      </c>
      <c r="BA939" t="s">
        <v>74</v>
      </c>
      <c r="BB939">
        <v>47</v>
      </c>
      <c r="BC939">
        <v>48</v>
      </c>
      <c r="BD939" t="s">
        <v>74</v>
      </c>
      <c r="BE939" t="s">
        <v>17660</v>
      </c>
      <c r="BF939" t="str">
        <f>HYPERLINK("http://dx.doi.org/10.1144/M46.89","http://dx.doi.org/10.1144/M46.89")</f>
        <v>http://dx.doi.org/10.1144/M46.89</v>
      </c>
      <c r="BG939" t="s">
        <v>74</v>
      </c>
      <c r="BH939" t="s">
        <v>74</v>
      </c>
      <c r="BI939">
        <v>2</v>
      </c>
      <c r="BJ939" t="s">
        <v>270</v>
      </c>
      <c r="BK939" t="s">
        <v>17648</v>
      </c>
      <c r="BL939" t="s">
        <v>270</v>
      </c>
      <c r="BM939" t="s">
        <v>17649</v>
      </c>
      <c r="BN939" t="s">
        <v>74</v>
      </c>
      <c r="BO939" t="s">
        <v>74</v>
      </c>
      <c r="BP939" t="s">
        <v>74</v>
      </c>
      <c r="BQ939" t="s">
        <v>74</v>
      </c>
      <c r="BR939" t="s">
        <v>106</v>
      </c>
      <c r="BS939" t="s">
        <v>17661</v>
      </c>
      <c r="BT939" t="str">
        <f>HYPERLINK("https%3A%2F%2Fwww.webofscience.com%2Fwos%2Fwoscc%2Ffull-record%2FWOS:000399497100006","View Full Record in Web of Science")</f>
        <v>View Full Record in Web of Science</v>
      </c>
    </row>
    <row r="940" spans="1:72" x14ac:dyDescent="0.15">
      <c r="A940" t="s">
        <v>3136</v>
      </c>
      <c r="B940" t="s">
        <v>17651</v>
      </c>
      <c r="C940" t="s">
        <v>74</v>
      </c>
      <c r="D940" t="s">
        <v>17628</v>
      </c>
      <c r="E940" t="s">
        <v>74</v>
      </c>
      <c r="F940" t="s">
        <v>17652</v>
      </c>
      <c r="G940" t="s">
        <v>74</v>
      </c>
      <c r="H940" t="s">
        <v>74</v>
      </c>
      <c r="I940" t="s">
        <v>17662</v>
      </c>
      <c r="J940" t="s">
        <v>17631</v>
      </c>
      <c r="K940" t="s">
        <v>17632</v>
      </c>
      <c r="L940" t="s">
        <v>74</v>
      </c>
      <c r="M940" t="s">
        <v>78</v>
      </c>
      <c r="N940" t="s">
        <v>17520</v>
      </c>
      <c r="O940" t="s">
        <v>74</v>
      </c>
      <c r="P940" t="s">
        <v>74</v>
      </c>
      <c r="Q940" t="s">
        <v>74</v>
      </c>
      <c r="R940" t="s">
        <v>74</v>
      </c>
      <c r="S940" t="s">
        <v>74</v>
      </c>
      <c r="T940" t="s">
        <v>74</v>
      </c>
      <c r="U940" t="s">
        <v>17663</v>
      </c>
      <c r="V940" t="s">
        <v>74</v>
      </c>
      <c r="W940" t="s">
        <v>17655</v>
      </c>
      <c r="X940" t="s">
        <v>17656</v>
      </c>
      <c r="Y940" t="s">
        <v>17664</v>
      </c>
      <c r="Z940" t="s">
        <v>17665</v>
      </c>
      <c r="AA940" t="s">
        <v>74</v>
      </c>
      <c r="AB940" t="s">
        <v>17659</v>
      </c>
      <c r="AC940" t="s">
        <v>74</v>
      </c>
      <c r="AD940" t="s">
        <v>74</v>
      </c>
      <c r="AE940" t="s">
        <v>74</v>
      </c>
      <c r="AF940" t="s">
        <v>74</v>
      </c>
      <c r="AG940">
        <v>11</v>
      </c>
      <c r="AH940">
        <v>3</v>
      </c>
      <c r="AI940">
        <v>3</v>
      </c>
      <c r="AJ940">
        <v>0</v>
      </c>
      <c r="AK940">
        <v>0</v>
      </c>
      <c r="AL940" t="s">
        <v>17642</v>
      </c>
      <c r="AM940" t="s">
        <v>11433</v>
      </c>
      <c r="AN940" t="s">
        <v>17643</v>
      </c>
      <c r="AO940" t="s">
        <v>17644</v>
      </c>
      <c r="AP940" t="s">
        <v>74</v>
      </c>
      <c r="AQ940" t="s">
        <v>17645</v>
      </c>
      <c r="AR940" t="s">
        <v>17646</v>
      </c>
      <c r="AS940" t="s">
        <v>74</v>
      </c>
      <c r="AT940" t="s">
        <v>74</v>
      </c>
      <c r="AU940">
        <v>2016</v>
      </c>
      <c r="AV940">
        <v>46</v>
      </c>
      <c r="AW940" t="s">
        <v>74</v>
      </c>
      <c r="AX940" t="s">
        <v>74</v>
      </c>
      <c r="AY940" t="s">
        <v>74</v>
      </c>
      <c r="AZ940" t="s">
        <v>74</v>
      </c>
      <c r="BA940" t="s">
        <v>74</v>
      </c>
      <c r="BB940">
        <v>51</v>
      </c>
      <c r="BC940">
        <v>52</v>
      </c>
      <c r="BD940" t="s">
        <v>74</v>
      </c>
      <c r="BE940" t="s">
        <v>17666</v>
      </c>
      <c r="BF940" t="str">
        <f>HYPERLINK("http://dx.doi.org/10.1144/M46.85","http://dx.doi.org/10.1144/M46.85")</f>
        <v>http://dx.doi.org/10.1144/M46.85</v>
      </c>
      <c r="BG940" t="s">
        <v>74</v>
      </c>
      <c r="BH940" t="s">
        <v>74</v>
      </c>
      <c r="BI940">
        <v>2</v>
      </c>
      <c r="BJ940" t="s">
        <v>270</v>
      </c>
      <c r="BK940" t="s">
        <v>17648</v>
      </c>
      <c r="BL940" t="s">
        <v>270</v>
      </c>
      <c r="BM940" t="s">
        <v>17649</v>
      </c>
      <c r="BN940" t="s">
        <v>74</v>
      </c>
      <c r="BO940" t="s">
        <v>74</v>
      </c>
      <c r="BP940" t="s">
        <v>74</v>
      </c>
      <c r="BQ940" t="s">
        <v>74</v>
      </c>
      <c r="BR940" t="s">
        <v>106</v>
      </c>
      <c r="BS940" t="s">
        <v>17667</v>
      </c>
      <c r="BT940" t="str">
        <f>HYPERLINK("https%3A%2F%2Fwww.webofscience.com%2Fwos%2Fwoscc%2Ffull-record%2FWOS:000399497100008","View Full Record in Web of Science")</f>
        <v>View Full Record in Web of Science</v>
      </c>
    </row>
    <row r="941" spans="1:72" x14ac:dyDescent="0.15">
      <c r="A941" t="s">
        <v>3136</v>
      </c>
      <c r="B941" t="s">
        <v>17668</v>
      </c>
      <c r="C941" t="s">
        <v>74</v>
      </c>
      <c r="D941" t="s">
        <v>17628</v>
      </c>
      <c r="E941" t="s">
        <v>74</v>
      </c>
      <c r="F941" t="s">
        <v>17669</v>
      </c>
      <c r="G941" t="s">
        <v>74</v>
      </c>
      <c r="H941" t="s">
        <v>74</v>
      </c>
      <c r="I941" t="s">
        <v>17670</v>
      </c>
      <c r="J941" t="s">
        <v>17631</v>
      </c>
      <c r="K941" t="s">
        <v>17632</v>
      </c>
      <c r="L941" t="s">
        <v>74</v>
      </c>
      <c r="M941" t="s">
        <v>78</v>
      </c>
      <c r="N941" t="s">
        <v>17520</v>
      </c>
      <c r="O941" t="s">
        <v>74</v>
      </c>
      <c r="P941" t="s">
        <v>74</v>
      </c>
      <c r="Q941" t="s">
        <v>74</v>
      </c>
      <c r="R941" t="s">
        <v>74</v>
      </c>
      <c r="S941" t="s">
        <v>74</v>
      </c>
      <c r="T941" t="s">
        <v>74</v>
      </c>
      <c r="U941" t="s">
        <v>17671</v>
      </c>
      <c r="V941" t="s">
        <v>74</v>
      </c>
      <c r="W941" t="s">
        <v>17672</v>
      </c>
      <c r="X941" t="s">
        <v>17673</v>
      </c>
      <c r="Y941" t="s">
        <v>17674</v>
      </c>
      <c r="Z941" t="s">
        <v>17675</v>
      </c>
      <c r="AA941" t="s">
        <v>74</v>
      </c>
      <c r="AB941" t="s">
        <v>17676</v>
      </c>
      <c r="AC941" t="s">
        <v>17640</v>
      </c>
      <c r="AD941" t="s">
        <v>17641</v>
      </c>
      <c r="AE941" t="s">
        <v>74</v>
      </c>
      <c r="AF941" t="s">
        <v>74</v>
      </c>
      <c r="AG941">
        <v>12</v>
      </c>
      <c r="AH941">
        <v>3</v>
      </c>
      <c r="AI941">
        <v>3</v>
      </c>
      <c r="AJ941">
        <v>0</v>
      </c>
      <c r="AK941">
        <v>0</v>
      </c>
      <c r="AL941" t="s">
        <v>17642</v>
      </c>
      <c r="AM941" t="s">
        <v>11433</v>
      </c>
      <c r="AN941" t="s">
        <v>17643</v>
      </c>
      <c r="AO941" t="s">
        <v>17644</v>
      </c>
      <c r="AP941" t="s">
        <v>74</v>
      </c>
      <c r="AQ941" t="s">
        <v>17645</v>
      </c>
      <c r="AR941" t="s">
        <v>17646</v>
      </c>
      <c r="AS941" t="s">
        <v>74</v>
      </c>
      <c r="AT941" t="s">
        <v>74</v>
      </c>
      <c r="AU941">
        <v>2016</v>
      </c>
      <c r="AV941">
        <v>46</v>
      </c>
      <c r="AW941" t="s">
        <v>74</v>
      </c>
      <c r="AX941" t="s">
        <v>74</v>
      </c>
      <c r="AY941" t="s">
        <v>74</v>
      </c>
      <c r="AZ941" t="s">
        <v>74</v>
      </c>
      <c r="BA941" t="s">
        <v>74</v>
      </c>
      <c r="BB941">
        <v>57</v>
      </c>
      <c r="BC941">
        <v>58</v>
      </c>
      <c r="BD941" t="s">
        <v>74</v>
      </c>
      <c r="BE941" t="s">
        <v>17677</v>
      </c>
      <c r="BF941" t="str">
        <f>HYPERLINK("http://dx.doi.org/10.1144/M46.125","http://dx.doi.org/10.1144/M46.125")</f>
        <v>http://dx.doi.org/10.1144/M46.125</v>
      </c>
      <c r="BG941" t="s">
        <v>74</v>
      </c>
      <c r="BH941" t="s">
        <v>74</v>
      </c>
      <c r="BI941">
        <v>2</v>
      </c>
      <c r="BJ941" t="s">
        <v>270</v>
      </c>
      <c r="BK941" t="s">
        <v>17648</v>
      </c>
      <c r="BL941" t="s">
        <v>270</v>
      </c>
      <c r="BM941" t="s">
        <v>17649</v>
      </c>
      <c r="BN941" t="s">
        <v>74</v>
      </c>
      <c r="BO941" t="s">
        <v>74</v>
      </c>
      <c r="BP941" t="s">
        <v>74</v>
      </c>
      <c r="BQ941" t="s">
        <v>74</v>
      </c>
      <c r="BR941" t="s">
        <v>106</v>
      </c>
      <c r="BS941" t="s">
        <v>17678</v>
      </c>
      <c r="BT941" t="str">
        <f>HYPERLINK("https%3A%2F%2Fwww.webofscience.com%2Fwos%2Fwoscc%2Ffull-record%2FWOS:000399497100011","View Full Record in Web of Science")</f>
        <v>View Full Record in Web of Science</v>
      </c>
    </row>
    <row r="942" spans="1:72" x14ac:dyDescent="0.15">
      <c r="A942" t="s">
        <v>3136</v>
      </c>
      <c r="B942" t="s">
        <v>17679</v>
      </c>
      <c r="C942" t="s">
        <v>74</v>
      </c>
      <c r="D942" t="s">
        <v>17628</v>
      </c>
      <c r="E942" t="s">
        <v>74</v>
      </c>
      <c r="F942" t="s">
        <v>17680</v>
      </c>
      <c r="G942" t="s">
        <v>74</v>
      </c>
      <c r="H942" t="s">
        <v>74</v>
      </c>
      <c r="I942" t="s">
        <v>17681</v>
      </c>
      <c r="J942" t="s">
        <v>17631</v>
      </c>
      <c r="K942" t="s">
        <v>17632</v>
      </c>
      <c r="L942" t="s">
        <v>74</v>
      </c>
      <c r="M942" t="s">
        <v>78</v>
      </c>
      <c r="N942" t="s">
        <v>17520</v>
      </c>
      <c r="O942" t="s">
        <v>74</v>
      </c>
      <c r="P942" t="s">
        <v>74</v>
      </c>
      <c r="Q942" t="s">
        <v>74</v>
      </c>
      <c r="R942" t="s">
        <v>74</v>
      </c>
      <c r="S942" t="s">
        <v>74</v>
      </c>
      <c r="T942" t="s">
        <v>74</v>
      </c>
      <c r="U942" t="s">
        <v>1911</v>
      </c>
      <c r="V942" t="s">
        <v>74</v>
      </c>
      <c r="W942" t="s">
        <v>17682</v>
      </c>
      <c r="X942" t="s">
        <v>17683</v>
      </c>
      <c r="Y942" t="s">
        <v>17684</v>
      </c>
      <c r="Z942" t="s">
        <v>17685</v>
      </c>
      <c r="AA942" t="s">
        <v>74</v>
      </c>
      <c r="AB942" t="s">
        <v>74</v>
      </c>
      <c r="AC942" t="s">
        <v>17686</v>
      </c>
      <c r="AD942" t="s">
        <v>17641</v>
      </c>
      <c r="AE942" t="s">
        <v>74</v>
      </c>
      <c r="AF942" t="s">
        <v>74</v>
      </c>
      <c r="AG942">
        <v>5</v>
      </c>
      <c r="AH942">
        <v>8</v>
      </c>
      <c r="AI942">
        <v>8</v>
      </c>
      <c r="AJ942">
        <v>0</v>
      </c>
      <c r="AK942">
        <v>0</v>
      </c>
      <c r="AL942" t="s">
        <v>17642</v>
      </c>
      <c r="AM942" t="s">
        <v>11433</v>
      </c>
      <c r="AN942" t="s">
        <v>17643</v>
      </c>
      <c r="AO942" t="s">
        <v>17644</v>
      </c>
      <c r="AP942" t="s">
        <v>74</v>
      </c>
      <c r="AQ942" t="s">
        <v>17645</v>
      </c>
      <c r="AR942" t="s">
        <v>17646</v>
      </c>
      <c r="AS942" t="s">
        <v>74</v>
      </c>
      <c r="AT942" t="s">
        <v>74</v>
      </c>
      <c r="AU942">
        <v>2016</v>
      </c>
      <c r="AV942">
        <v>46</v>
      </c>
      <c r="AW942" t="s">
        <v>74</v>
      </c>
      <c r="AX942" t="s">
        <v>74</v>
      </c>
      <c r="AY942" t="s">
        <v>74</v>
      </c>
      <c r="AZ942" t="s">
        <v>74</v>
      </c>
      <c r="BA942" t="s">
        <v>74</v>
      </c>
      <c r="BB942">
        <v>67</v>
      </c>
      <c r="BC942">
        <v>68</v>
      </c>
      <c r="BD942" t="s">
        <v>74</v>
      </c>
      <c r="BE942" t="s">
        <v>17687</v>
      </c>
      <c r="BF942" t="str">
        <f>HYPERLINK("http://dx.doi.org/10.1144/M46.165","http://dx.doi.org/10.1144/M46.165")</f>
        <v>http://dx.doi.org/10.1144/M46.165</v>
      </c>
      <c r="BG942" t="s">
        <v>74</v>
      </c>
      <c r="BH942" t="s">
        <v>74</v>
      </c>
      <c r="BI942">
        <v>2</v>
      </c>
      <c r="BJ942" t="s">
        <v>270</v>
      </c>
      <c r="BK942" t="s">
        <v>17648</v>
      </c>
      <c r="BL942" t="s">
        <v>270</v>
      </c>
      <c r="BM942" t="s">
        <v>17649</v>
      </c>
      <c r="BN942" t="s">
        <v>74</v>
      </c>
      <c r="BO942" t="s">
        <v>74</v>
      </c>
      <c r="BP942" t="s">
        <v>74</v>
      </c>
      <c r="BQ942" t="s">
        <v>74</v>
      </c>
      <c r="BR942" t="s">
        <v>106</v>
      </c>
      <c r="BS942" t="s">
        <v>17688</v>
      </c>
      <c r="BT942" t="str">
        <f>HYPERLINK("https%3A%2F%2Fwww.webofscience.com%2Fwos%2Fwoscc%2Ffull-record%2FWOS:000399497100016","View Full Record in Web of Science")</f>
        <v>View Full Record in Web of Science</v>
      </c>
    </row>
    <row r="943" spans="1:72" x14ac:dyDescent="0.15">
      <c r="A943" t="s">
        <v>3136</v>
      </c>
      <c r="B943" t="s">
        <v>3837</v>
      </c>
      <c r="C943" t="s">
        <v>74</v>
      </c>
      <c r="D943" t="s">
        <v>17628</v>
      </c>
      <c r="E943" t="s">
        <v>74</v>
      </c>
      <c r="F943" t="s">
        <v>17689</v>
      </c>
      <c r="G943" t="s">
        <v>74</v>
      </c>
      <c r="H943" t="s">
        <v>74</v>
      </c>
      <c r="I943" t="s">
        <v>17690</v>
      </c>
      <c r="J943" t="s">
        <v>17631</v>
      </c>
      <c r="K943" t="s">
        <v>17632</v>
      </c>
      <c r="L943" t="s">
        <v>74</v>
      </c>
      <c r="M943" t="s">
        <v>78</v>
      </c>
      <c r="N943" t="s">
        <v>17520</v>
      </c>
      <c r="O943" t="s">
        <v>74</v>
      </c>
      <c r="P943" t="s">
        <v>74</v>
      </c>
      <c r="Q943" t="s">
        <v>74</v>
      </c>
      <c r="R943" t="s">
        <v>74</v>
      </c>
      <c r="S943" t="s">
        <v>74</v>
      </c>
      <c r="T943" t="s">
        <v>74</v>
      </c>
      <c r="U943" t="s">
        <v>17691</v>
      </c>
      <c r="V943" t="s">
        <v>74</v>
      </c>
      <c r="W943" t="s">
        <v>17692</v>
      </c>
      <c r="X943" t="s">
        <v>3843</v>
      </c>
      <c r="Y943" t="s">
        <v>17636</v>
      </c>
      <c r="Z943" t="s">
        <v>17637</v>
      </c>
      <c r="AA943" t="s">
        <v>74</v>
      </c>
      <c r="AB943" t="s">
        <v>17693</v>
      </c>
      <c r="AC943" t="s">
        <v>17640</v>
      </c>
      <c r="AD943" t="s">
        <v>17641</v>
      </c>
      <c r="AE943" t="s">
        <v>74</v>
      </c>
      <c r="AF943" t="s">
        <v>74</v>
      </c>
      <c r="AG943">
        <v>8</v>
      </c>
      <c r="AH943">
        <v>11</v>
      </c>
      <c r="AI943">
        <v>11</v>
      </c>
      <c r="AJ943">
        <v>0</v>
      </c>
      <c r="AK943">
        <v>0</v>
      </c>
      <c r="AL943" t="s">
        <v>17642</v>
      </c>
      <c r="AM943" t="s">
        <v>11433</v>
      </c>
      <c r="AN943" t="s">
        <v>17643</v>
      </c>
      <c r="AO943" t="s">
        <v>17644</v>
      </c>
      <c r="AP943" t="s">
        <v>74</v>
      </c>
      <c r="AQ943" t="s">
        <v>17645</v>
      </c>
      <c r="AR943" t="s">
        <v>17646</v>
      </c>
      <c r="AS943" t="s">
        <v>74</v>
      </c>
      <c r="AT943" t="s">
        <v>74</v>
      </c>
      <c r="AU943">
        <v>2016</v>
      </c>
      <c r="AV943">
        <v>46</v>
      </c>
      <c r="AW943" t="s">
        <v>74</v>
      </c>
      <c r="AX943" t="s">
        <v>74</v>
      </c>
      <c r="AY943" t="s">
        <v>74</v>
      </c>
      <c r="AZ943" t="s">
        <v>74</v>
      </c>
      <c r="BA943" t="s">
        <v>74</v>
      </c>
      <c r="BB943">
        <v>71</v>
      </c>
      <c r="BC943">
        <v>72</v>
      </c>
      <c r="BD943" t="s">
        <v>74</v>
      </c>
      <c r="BE943" t="s">
        <v>17694</v>
      </c>
      <c r="BF943" t="str">
        <f>HYPERLINK("http://dx.doi.org/10.1144/M46.35","http://dx.doi.org/10.1144/M46.35")</f>
        <v>http://dx.doi.org/10.1144/M46.35</v>
      </c>
      <c r="BG943" t="s">
        <v>74</v>
      </c>
      <c r="BH943" t="s">
        <v>74</v>
      </c>
      <c r="BI943">
        <v>2</v>
      </c>
      <c r="BJ943" t="s">
        <v>270</v>
      </c>
      <c r="BK943" t="s">
        <v>17648</v>
      </c>
      <c r="BL943" t="s">
        <v>270</v>
      </c>
      <c r="BM943" t="s">
        <v>17649</v>
      </c>
      <c r="BN943" t="s">
        <v>74</v>
      </c>
      <c r="BO943" t="s">
        <v>74</v>
      </c>
      <c r="BP943" t="s">
        <v>74</v>
      </c>
      <c r="BQ943" t="s">
        <v>74</v>
      </c>
      <c r="BR943" t="s">
        <v>106</v>
      </c>
      <c r="BS943" t="s">
        <v>17695</v>
      </c>
      <c r="BT943" t="str">
        <f>HYPERLINK("https%3A%2F%2Fwww.webofscience.com%2Fwos%2Fwoscc%2Ffull-record%2FWOS:000399497100018","View Full Record in Web of Science")</f>
        <v>View Full Record in Web of Science</v>
      </c>
    </row>
    <row r="944" spans="1:72" x14ac:dyDescent="0.15">
      <c r="A944" t="s">
        <v>3136</v>
      </c>
      <c r="B944" t="s">
        <v>17696</v>
      </c>
      <c r="C944" t="s">
        <v>74</v>
      </c>
      <c r="D944" t="s">
        <v>17628</v>
      </c>
      <c r="E944" t="s">
        <v>74</v>
      </c>
      <c r="F944" t="s">
        <v>17697</v>
      </c>
      <c r="G944" t="s">
        <v>74</v>
      </c>
      <c r="H944" t="s">
        <v>74</v>
      </c>
      <c r="I944" t="s">
        <v>17698</v>
      </c>
      <c r="J944" t="s">
        <v>17631</v>
      </c>
      <c r="K944" t="s">
        <v>17632</v>
      </c>
      <c r="L944" t="s">
        <v>74</v>
      </c>
      <c r="M944" t="s">
        <v>78</v>
      </c>
      <c r="N944" t="s">
        <v>17520</v>
      </c>
      <c r="O944" t="s">
        <v>74</v>
      </c>
      <c r="P944" t="s">
        <v>74</v>
      </c>
      <c r="Q944" t="s">
        <v>74</v>
      </c>
      <c r="R944" t="s">
        <v>74</v>
      </c>
      <c r="S944" t="s">
        <v>74</v>
      </c>
      <c r="T944" t="s">
        <v>74</v>
      </c>
      <c r="U944" t="s">
        <v>74</v>
      </c>
      <c r="V944" t="s">
        <v>74</v>
      </c>
      <c r="W944" t="s">
        <v>17699</v>
      </c>
      <c r="X944" t="s">
        <v>17700</v>
      </c>
      <c r="Y944" t="s">
        <v>17701</v>
      </c>
      <c r="Z944" t="s">
        <v>17702</v>
      </c>
      <c r="AA944" t="s">
        <v>17703</v>
      </c>
      <c r="AB944" t="s">
        <v>17704</v>
      </c>
      <c r="AC944" t="s">
        <v>17640</v>
      </c>
      <c r="AD944" t="s">
        <v>17641</v>
      </c>
      <c r="AE944" t="s">
        <v>74</v>
      </c>
      <c r="AF944" t="s">
        <v>74</v>
      </c>
      <c r="AG944">
        <v>8</v>
      </c>
      <c r="AH944">
        <v>9</v>
      </c>
      <c r="AI944">
        <v>9</v>
      </c>
      <c r="AJ944">
        <v>0</v>
      </c>
      <c r="AK944">
        <v>0</v>
      </c>
      <c r="AL944" t="s">
        <v>17642</v>
      </c>
      <c r="AM944" t="s">
        <v>11433</v>
      </c>
      <c r="AN944" t="s">
        <v>17643</v>
      </c>
      <c r="AO944" t="s">
        <v>17644</v>
      </c>
      <c r="AP944" t="s">
        <v>74</v>
      </c>
      <c r="AQ944" t="s">
        <v>17645</v>
      </c>
      <c r="AR944" t="s">
        <v>17646</v>
      </c>
      <c r="AS944" t="s">
        <v>74</v>
      </c>
      <c r="AT944" t="s">
        <v>74</v>
      </c>
      <c r="AU944">
        <v>2016</v>
      </c>
      <c r="AV944">
        <v>46</v>
      </c>
      <c r="AW944" t="s">
        <v>74</v>
      </c>
      <c r="AX944" t="s">
        <v>74</v>
      </c>
      <c r="AY944" t="s">
        <v>74</v>
      </c>
      <c r="AZ944" t="s">
        <v>74</v>
      </c>
      <c r="BA944" t="s">
        <v>74</v>
      </c>
      <c r="BB944">
        <v>99</v>
      </c>
      <c r="BC944">
        <v>100</v>
      </c>
      <c r="BD944" t="s">
        <v>74</v>
      </c>
      <c r="BE944" t="s">
        <v>17705</v>
      </c>
      <c r="BF944" t="str">
        <f>HYPERLINK("http://dx.doi.org/10.1144/M46.83","http://dx.doi.org/10.1144/M46.83")</f>
        <v>http://dx.doi.org/10.1144/M46.83</v>
      </c>
      <c r="BG944" t="s">
        <v>74</v>
      </c>
      <c r="BH944" t="s">
        <v>74</v>
      </c>
      <c r="BI944">
        <v>2</v>
      </c>
      <c r="BJ944" t="s">
        <v>270</v>
      </c>
      <c r="BK944" t="s">
        <v>17648</v>
      </c>
      <c r="BL944" t="s">
        <v>270</v>
      </c>
      <c r="BM944" t="s">
        <v>17649</v>
      </c>
      <c r="BN944" t="s">
        <v>74</v>
      </c>
      <c r="BO944" t="s">
        <v>380</v>
      </c>
      <c r="BP944" t="s">
        <v>74</v>
      </c>
      <c r="BQ944" t="s">
        <v>74</v>
      </c>
      <c r="BR944" t="s">
        <v>106</v>
      </c>
      <c r="BS944" t="s">
        <v>17706</v>
      </c>
      <c r="BT944" t="str">
        <f>HYPERLINK("https%3A%2F%2Fwww.webofscience.com%2Fwos%2Fwoscc%2Ffull-record%2FWOS:000399497100032","View Full Record in Web of Science")</f>
        <v>View Full Record in Web of Science</v>
      </c>
    </row>
    <row r="945" spans="1:72" x14ac:dyDescent="0.15">
      <c r="A945" t="s">
        <v>3136</v>
      </c>
      <c r="B945" t="s">
        <v>17707</v>
      </c>
      <c r="C945" t="s">
        <v>74</v>
      </c>
      <c r="D945" t="s">
        <v>17628</v>
      </c>
      <c r="E945" t="s">
        <v>74</v>
      </c>
      <c r="F945" t="s">
        <v>17708</v>
      </c>
      <c r="G945" t="s">
        <v>74</v>
      </c>
      <c r="H945" t="s">
        <v>74</v>
      </c>
      <c r="I945" t="s">
        <v>17709</v>
      </c>
      <c r="J945" t="s">
        <v>17631</v>
      </c>
      <c r="K945" t="s">
        <v>17632</v>
      </c>
      <c r="L945" t="s">
        <v>74</v>
      </c>
      <c r="M945" t="s">
        <v>78</v>
      </c>
      <c r="N945" t="s">
        <v>17520</v>
      </c>
      <c r="O945" t="s">
        <v>74</v>
      </c>
      <c r="P945" t="s">
        <v>74</v>
      </c>
      <c r="Q945" t="s">
        <v>74</v>
      </c>
      <c r="R945" t="s">
        <v>74</v>
      </c>
      <c r="S945" t="s">
        <v>74</v>
      </c>
      <c r="T945" t="s">
        <v>74</v>
      </c>
      <c r="U945" t="s">
        <v>74</v>
      </c>
      <c r="V945" t="s">
        <v>74</v>
      </c>
      <c r="W945" t="s">
        <v>17710</v>
      </c>
      <c r="X945" t="s">
        <v>17711</v>
      </c>
      <c r="Y945" t="s">
        <v>17712</v>
      </c>
      <c r="Z945" t="s">
        <v>17713</v>
      </c>
      <c r="AA945" t="s">
        <v>74</v>
      </c>
      <c r="AB945" t="s">
        <v>17714</v>
      </c>
      <c r="AC945" t="s">
        <v>74</v>
      </c>
      <c r="AD945" t="s">
        <v>74</v>
      </c>
      <c r="AE945" t="s">
        <v>74</v>
      </c>
      <c r="AF945" t="s">
        <v>74</v>
      </c>
      <c r="AG945">
        <v>8</v>
      </c>
      <c r="AH945">
        <v>0</v>
      </c>
      <c r="AI945">
        <v>0</v>
      </c>
      <c r="AJ945">
        <v>0</v>
      </c>
      <c r="AK945">
        <v>0</v>
      </c>
      <c r="AL945" t="s">
        <v>17642</v>
      </c>
      <c r="AM945" t="s">
        <v>11433</v>
      </c>
      <c r="AN945" t="s">
        <v>17643</v>
      </c>
      <c r="AO945" t="s">
        <v>17644</v>
      </c>
      <c r="AP945" t="s">
        <v>74</v>
      </c>
      <c r="AQ945" t="s">
        <v>17645</v>
      </c>
      <c r="AR945" t="s">
        <v>17646</v>
      </c>
      <c r="AS945" t="s">
        <v>74</v>
      </c>
      <c r="AT945" t="s">
        <v>74</v>
      </c>
      <c r="AU945">
        <v>2016</v>
      </c>
      <c r="AV945">
        <v>46</v>
      </c>
      <c r="AW945" t="s">
        <v>74</v>
      </c>
      <c r="AX945" t="s">
        <v>74</v>
      </c>
      <c r="AY945" t="s">
        <v>74</v>
      </c>
      <c r="AZ945" t="s">
        <v>74</v>
      </c>
      <c r="BA945" t="s">
        <v>74</v>
      </c>
      <c r="BB945">
        <v>115</v>
      </c>
      <c r="BC945">
        <v>116</v>
      </c>
      <c r="BD945" t="s">
        <v>74</v>
      </c>
      <c r="BE945" t="s">
        <v>17715</v>
      </c>
      <c r="BF945" t="str">
        <f>HYPERLINK("http://dx.doi.org/10.1144/M46.48","http://dx.doi.org/10.1144/M46.48")</f>
        <v>http://dx.doi.org/10.1144/M46.48</v>
      </c>
      <c r="BG945" t="s">
        <v>74</v>
      </c>
      <c r="BH945" t="s">
        <v>74</v>
      </c>
      <c r="BI945">
        <v>2</v>
      </c>
      <c r="BJ945" t="s">
        <v>270</v>
      </c>
      <c r="BK945" t="s">
        <v>17648</v>
      </c>
      <c r="BL945" t="s">
        <v>270</v>
      </c>
      <c r="BM945" t="s">
        <v>17649</v>
      </c>
      <c r="BN945" t="s">
        <v>74</v>
      </c>
      <c r="BO945" t="s">
        <v>74</v>
      </c>
      <c r="BP945" t="s">
        <v>74</v>
      </c>
      <c r="BQ945" t="s">
        <v>74</v>
      </c>
      <c r="BR945" t="s">
        <v>106</v>
      </c>
      <c r="BS945" t="s">
        <v>17716</v>
      </c>
      <c r="BT945" t="str">
        <f>HYPERLINK("https%3A%2F%2Fwww.webofscience.com%2Fwos%2Fwoscc%2Ffull-record%2FWOS:000399497100040","View Full Record in Web of Science")</f>
        <v>View Full Record in Web of Science</v>
      </c>
    </row>
    <row r="946" spans="1:72" x14ac:dyDescent="0.15">
      <c r="A946" t="s">
        <v>3136</v>
      </c>
      <c r="B946" t="s">
        <v>17717</v>
      </c>
      <c r="C946" t="s">
        <v>74</v>
      </c>
      <c r="D946" t="s">
        <v>17628</v>
      </c>
      <c r="E946" t="s">
        <v>74</v>
      </c>
      <c r="F946" t="s">
        <v>17718</v>
      </c>
      <c r="G946" t="s">
        <v>74</v>
      </c>
      <c r="H946" t="s">
        <v>74</v>
      </c>
      <c r="I946" t="s">
        <v>17719</v>
      </c>
      <c r="J946" t="s">
        <v>17631</v>
      </c>
      <c r="K946" t="s">
        <v>17632</v>
      </c>
      <c r="L946" t="s">
        <v>74</v>
      </c>
      <c r="M946" t="s">
        <v>78</v>
      </c>
      <c r="N946" t="s">
        <v>17520</v>
      </c>
      <c r="O946" t="s">
        <v>74</v>
      </c>
      <c r="P946" t="s">
        <v>74</v>
      </c>
      <c r="Q946" t="s">
        <v>74</v>
      </c>
      <c r="R946" t="s">
        <v>74</v>
      </c>
      <c r="S946" t="s">
        <v>74</v>
      </c>
      <c r="T946" t="s">
        <v>74</v>
      </c>
      <c r="U946" t="s">
        <v>74</v>
      </c>
      <c r="V946" t="s">
        <v>74</v>
      </c>
      <c r="W946" t="s">
        <v>17720</v>
      </c>
      <c r="X946" t="s">
        <v>17721</v>
      </c>
      <c r="Y946" t="s">
        <v>17722</v>
      </c>
      <c r="Z946" t="s">
        <v>17723</v>
      </c>
      <c r="AA946" t="s">
        <v>74</v>
      </c>
      <c r="AB946" t="s">
        <v>17724</v>
      </c>
      <c r="AC946" t="s">
        <v>74</v>
      </c>
      <c r="AD946" t="s">
        <v>74</v>
      </c>
      <c r="AE946" t="s">
        <v>74</v>
      </c>
      <c r="AF946" t="s">
        <v>74</v>
      </c>
      <c r="AG946">
        <v>6</v>
      </c>
      <c r="AH946">
        <v>2</v>
      </c>
      <c r="AI946">
        <v>2</v>
      </c>
      <c r="AJ946">
        <v>0</v>
      </c>
      <c r="AK946">
        <v>4</v>
      </c>
      <c r="AL946" t="s">
        <v>17642</v>
      </c>
      <c r="AM946" t="s">
        <v>11433</v>
      </c>
      <c r="AN946" t="s">
        <v>17643</v>
      </c>
      <c r="AO946" t="s">
        <v>17644</v>
      </c>
      <c r="AP946" t="s">
        <v>74</v>
      </c>
      <c r="AQ946" t="s">
        <v>17645</v>
      </c>
      <c r="AR946" t="s">
        <v>17646</v>
      </c>
      <c r="AS946" t="s">
        <v>74</v>
      </c>
      <c r="AT946" t="s">
        <v>74</v>
      </c>
      <c r="AU946">
        <v>2016</v>
      </c>
      <c r="AV946">
        <v>46</v>
      </c>
      <c r="AW946" t="s">
        <v>74</v>
      </c>
      <c r="AX946" t="s">
        <v>74</v>
      </c>
      <c r="AY946" t="s">
        <v>74</v>
      </c>
      <c r="AZ946" t="s">
        <v>74</v>
      </c>
      <c r="BA946" t="s">
        <v>74</v>
      </c>
      <c r="BB946">
        <v>125</v>
      </c>
      <c r="BC946">
        <v>126</v>
      </c>
      <c r="BD946" t="s">
        <v>74</v>
      </c>
      <c r="BE946" t="s">
        <v>17725</v>
      </c>
      <c r="BF946" t="str">
        <f>HYPERLINK("http://dx.doi.org/10.1144/M46.130","http://dx.doi.org/10.1144/M46.130")</f>
        <v>http://dx.doi.org/10.1144/M46.130</v>
      </c>
      <c r="BG946" t="s">
        <v>74</v>
      </c>
      <c r="BH946" t="s">
        <v>74</v>
      </c>
      <c r="BI946">
        <v>2</v>
      </c>
      <c r="BJ946" t="s">
        <v>270</v>
      </c>
      <c r="BK946" t="s">
        <v>17648</v>
      </c>
      <c r="BL946" t="s">
        <v>270</v>
      </c>
      <c r="BM946" t="s">
        <v>17649</v>
      </c>
      <c r="BN946" t="s">
        <v>74</v>
      </c>
      <c r="BO946" t="s">
        <v>74</v>
      </c>
      <c r="BP946" t="s">
        <v>74</v>
      </c>
      <c r="BQ946" t="s">
        <v>74</v>
      </c>
      <c r="BR946" t="s">
        <v>106</v>
      </c>
      <c r="BS946" t="s">
        <v>17726</v>
      </c>
      <c r="BT946" t="str">
        <f>HYPERLINK("https%3A%2F%2Fwww.webofscience.com%2Fwos%2Fwoscc%2Ffull-record%2FWOS:000399497100045","View Full Record in Web of Science")</f>
        <v>View Full Record in Web of Science</v>
      </c>
    </row>
    <row r="947" spans="1:72" x14ac:dyDescent="0.15">
      <c r="A947" t="s">
        <v>3136</v>
      </c>
      <c r="B947" t="s">
        <v>17727</v>
      </c>
      <c r="C947" t="s">
        <v>74</v>
      </c>
      <c r="D947" t="s">
        <v>17628</v>
      </c>
      <c r="E947" t="s">
        <v>74</v>
      </c>
      <c r="F947" t="s">
        <v>17728</v>
      </c>
      <c r="G947" t="s">
        <v>74</v>
      </c>
      <c r="H947" t="s">
        <v>74</v>
      </c>
      <c r="I947" t="s">
        <v>17729</v>
      </c>
      <c r="J947" t="s">
        <v>17631</v>
      </c>
      <c r="K947" t="s">
        <v>17632</v>
      </c>
      <c r="L947" t="s">
        <v>74</v>
      </c>
      <c r="M947" t="s">
        <v>78</v>
      </c>
      <c r="N947" t="s">
        <v>17520</v>
      </c>
      <c r="O947" t="s">
        <v>74</v>
      </c>
      <c r="P947" t="s">
        <v>74</v>
      </c>
      <c r="Q947" t="s">
        <v>74</v>
      </c>
      <c r="R947" t="s">
        <v>74</v>
      </c>
      <c r="S947" t="s">
        <v>74</v>
      </c>
      <c r="T947" t="s">
        <v>74</v>
      </c>
      <c r="U947" t="s">
        <v>17730</v>
      </c>
      <c r="V947" t="s">
        <v>74</v>
      </c>
      <c r="W947" t="s">
        <v>17731</v>
      </c>
      <c r="X947" t="s">
        <v>17732</v>
      </c>
      <c r="Y947" t="s">
        <v>17733</v>
      </c>
      <c r="Z947" t="s">
        <v>17734</v>
      </c>
      <c r="AA947" t="s">
        <v>17735</v>
      </c>
      <c r="AB947" t="s">
        <v>17736</v>
      </c>
      <c r="AC947" t="s">
        <v>74</v>
      </c>
      <c r="AD947" t="s">
        <v>74</v>
      </c>
      <c r="AE947" t="s">
        <v>74</v>
      </c>
      <c r="AF947" t="s">
        <v>74</v>
      </c>
      <c r="AG947">
        <v>5</v>
      </c>
      <c r="AH947">
        <v>3</v>
      </c>
      <c r="AI947">
        <v>4</v>
      </c>
      <c r="AJ947">
        <v>0</v>
      </c>
      <c r="AK947">
        <v>1</v>
      </c>
      <c r="AL947" t="s">
        <v>17642</v>
      </c>
      <c r="AM947" t="s">
        <v>11433</v>
      </c>
      <c r="AN947" t="s">
        <v>17643</v>
      </c>
      <c r="AO947" t="s">
        <v>17644</v>
      </c>
      <c r="AP947" t="s">
        <v>74</v>
      </c>
      <c r="AQ947" t="s">
        <v>17645</v>
      </c>
      <c r="AR947" t="s">
        <v>17646</v>
      </c>
      <c r="AS947" t="s">
        <v>74</v>
      </c>
      <c r="AT947" t="s">
        <v>74</v>
      </c>
      <c r="AU947">
        <v>2016</v>
      </c>
      <c r="AV947">
        <v>46</v>
      </c>
      <c r="AW947" t="s">
        <v>74</v>
      </c>
      <c r="AX947" t="s">
        <v>74</v>
      </c>
      <c r="AY947" t="s">
        <v>74</v>
      </c>
      <c r="AZ947" t="s">
        <v>74</v>
      </c>
      <c r="BA947" t="s">
        <v>74</v>
      </c>
      <c r="BB947">
        <v>171</v>
      </c>
      <c r="BC947">
        <v>172</v>
      </c>
      <c r="BD947" t="s">
        <v>74</v>
      </c>
      <c r="BE947" t="s">
        <v>17737</v>
      </c>
      <c r="BF947" t="str">
        <f>HYPERLINK("http://dx.doi.org/10.1144/M46.138","http://dx.doi.org/10.1144/M46.138")</f>
        <v>http://dx.doi.org/10.1144/M46.138</v>
      </c>
      <c r="BG947" t="s">
        <v>74</v>
      </c>
      <c r="BH947" t="s">
        <v>74</v>
      </c>
      <c r="BI947">
        <v>2</v>
      </c>
      <c r="BJ947" t="s">
        <v>270</v>
      </c>
      <c r="BK947" t="s">
        <v>17648</v>
      </c>
      <c r="BL947" t="s">
        <v>270</v>
      </c>
      <c r="BM947" t="s">
        <v>17649</v>
      </c>
      <c r="BN947" t="s">
        <v>74</v>
      </c>
      <c r="BO947" t="s">
        <v>74</v>
      </c>
      <c r="BP947" t="s">
        <v>74</v>
      </c>
      <c r="BQ947" t="s">
        <v>74</v>
      </c>
      <c r="BR947" t="s">
        <v>106</v>
      </c>
      <c r="BS947" t="s">
        <v>17738</v>
      </c>
      <c r="BT947" t="str">
        <f>HYPERLINK("https%3A%2F%2Fwww.webofscience.com%2Fwos%2Fwoscc%2Ffull-record%2FWOS:000399497100059","View Full Record in Web of Science")</f>
        <v>View Full Record in Web of Science</v>
      </c>
    </row>
    <row r="948" spans="1:72" x14ac:dyDescent="0.15">
      <c r="A948" t="s">
        <v>3136</v>
      </c>
      <c r="B948" t="s">
        <v>17739</v>
      </c>
      <c r="C948" t="s">
        <v>74</v>
      </c>
      <c r="D948" t="s">
        <v>17628</v>
      </c>
      <c r="E948" t="s">
        <v>74</v>
      </c>
      <c r="F948" t="s">
        <v>17740</v>
      </c>
      <c r="G948" t="s">
        <v>74</v>
      </c>
      <c r="H948" t="s">
        <v>74</v>
      </c>
      <c r="I948" t="s">
        <v>17741</v>
      </c>
      <c r="J948" t="s">
        <v>17631</v>
      </c>
      <c r="K948" t="s">
        <v>17632</v>
      </c>
      <c r="L948" t="s">
        <v>74</v>
      </c>
      <c r="M948" t="s">
        <v>78</v>
      </c>
      <c r="N948" t="s">
        <v>17520</v>
      </c>
      <c r="O948" t="s">
        <v>74</v>
      </c>
      <c r="P948" t="s">
        <v>74</v>
      </c>
      <c r="Q948" t="s">
        <v>74</v>
      </c>
      <c r="R948" t="s">
        <v>74</v>
      </c>
      <c r="S948" t="s">
        <v>74</v>
      </c>
      <c r="T948" t="s">
        <v>74</v>
      </c>
      <c r="U948" t="s">
        <v>17742</v>
      </c>
      <c r="V948" t="s">
        <v>74</v>
      </c>
      <c r="W948" t="s">
        <v>17743</v>
      </c>
      <c r="X948" t="s">
        <v>17744</v>
      </c>
      <c r="Y948" t="s">
        <v>17745</v>
      </c>
      <c r="Z948" t="s">
        <v>17702</v>
      </c>
      <c r="AA948" t="s">
        <v>74</v>
      </c>
      <c r="AB948" t="s">
        <v>17746</v>
      </c>
      <c r="AC948" t="s">
        <v>74</v>
      </c>
      <c r="AD948" t="s">
        <v>74</v>
      </c>
      <c r="AE948" t="s">
        <v>74</v>
      </c>
      <c r="AF948" t="s">
        <v>74</v>
      </c>
      <c r="AG948">
        <v>10</v>
      </c>
      <c r="AH948">
        <v>7</v>
      </c>
      <c r="AI948">
        <v>7</v>
      </c>
      <c r="AJ948">
        <v>0</v>
      </c>
      <c r="AK948">
        <v>1</v>
      </c>
      <c r="AL948" t="s">
        <v>17642</v>
      </c>
      <c r="AM948" t="s">
        <v>11433</v>
      </c>
      <c r="AN948" t="s">
        <v>17643</v>
      </c>
      <c r="AO948" t="s">
        <v>17644</v>
      </c>
      <c r="AP948" t="s">
        <v>74</v>
      </c>
      <c r="AQ948" t="s">
        <v>17645</v>
      </c>
      <c r="AR948" t="s">
        <v>17646</v>
      </c>
      <c r="AS948" t="s">
        <v>74</v>
      </c>
      <c r="AT948" t="s">
        <v>74</v>
      </c>
      <c r="AU948">
        <v>2016</v>
      </c>
      <c r="AV948">
        <v>46</v>
      </c>
      <c r="AW948" t="s">
        <v>74</v>
      </c>
      <c r="AX948" t="s">
        <v>74</v>
      </c>
      <c r="AY948" t="s">
        <v>74</v>
      </c>
      <c r="AZ948" t="s">
        <v>74</v>
      </c>
      <c r="BA948" t="s">
        <v>74</v>
      </c>
      <c r="BB948">
        <v>175</v>
      </c>
      <c r="BC948">
        <v>176</v>
      </c>
      <c r="BD948" t="s">
        <v>74</v>
      </c>
      <c r="BE948" t="s">
        <v>17747</v>
      </c>
      <c r="BF948" t="str">
        <f>HYPERLINK("http://dx.doi.org/10.1144/M46.72","http://dx.doi.org/10.1144/M46.72")</f>
        <v>http://dx.doi.org/10.1144/M46.72</v>
      </c>
      <c r="BG948" t="s">
        <v>74</v>
      </c>
      <c r="BH948" t="s">
        <v>74</v>
      </c>
      <c r="BI948">
        <v>2</v>
      </c>
      <c r="BJ948" t="s">
        <v>270</v>
      </c>
      <c r="BK948" t="s">
        <v>17648</v>
      </c>
      <c r="BL948" t="s">
        <v>270</v>
      </c>
      <c r="BM948" t="s">
        <v>17649</v>
      </c>
      <c r="BN948" t="s">
        <v>74</v>
      </c>
      <c r="BO948" t="s">
        <v>74</v>
      </c>
      <c r="BP948" t="s">
        <v>74</v>
      </c>
      <c r="BQ948" t="s">
        <v>74</v>
      </c>
      <c r="BR948" t="s">
        <v>106</v>
      </c>
      <c r="BS948" t="s">
        <v>17748</v>
      </c>
      <c r="BT948" t="str">
        <f>HYPERLINK("https%3A%2F%2Fwww.webofscience.com%2Fwos%2Fwoscc%2Ffull-record%2FWOS:000399497100061","View Full Record in Web of Science")</f>
        <v>View Full Record in Web of Science</v>
      </c>
    </row>
    <row r="949" spans="1:72" x14ac:dyDescent="0.15">
      <c r="A949" t="s">
        <v>3136</v>
      </c>
      <c r="B949" t="s">
        <v>17749</v>
      </c>
      <c r="C949" t="s">
        <v>74</v>
      </c>
      <c r="D949" t="s">
        <v>17628</v>
      </c>
      <c r="E949" t="s">
        <v>74</v>
      </c>
      <c r="F949" t="s">
        <v>17750</v>
      </c>
      <c r="G949" t="s">
        <v>74</v>
      </c>
      <c r="H949" t="s">
        <v>74</v>
      </c>
      <c r="I949" t="s">
        <v>17751</v>
      </c>
      <c r="J949" t="s">
        <v>17631</v>
      </c>
      <c r="K949" t="s">
        <v>17632</v>
      </c>
      <c r="L949" t="s">
        <v>74</v>
      </c>
      <c r="M949" t="s">
        <v>78</v>
      </c>
      <c r="N949" t="s">
        <v>17520</v>
      </c>
      <c r="O949" t="s">
        <v>74</v>
      </c>
      <c r="P949" t="s">
        <v>74</v>
      </c>
      <c r="Q949" t="s">
        <v>74</v>
      </c>
      <c r="R949" t="s">
        <v>74</v>
      </c>
      <c r="S949" t="s">
        <v>74</v>
      </c>
      <c r="T949" t="s">
        <v>74</v>
      </c>
      <c r="U949" t="s">
        <v>17752</v>
      </c>
      <c r="V949" t="s">
        <v>74</v>
      </c>
      <c r="W949" t="s">
        <v>17753</v>
      </c>
      <c r="X949" t="s">
        <v>17732</v>
      </c>
      <c r="Y949" t="s">
        <v>17733</v>
      </c>
      <c r="Z949" t="s">
        <v>17734</v>
      </c>
      <c r="AA949" t="s">
        <v>17754</v>
      </c>
      <c r="AB949" t="s">
        <v>74</v>
      </c>
      <c r="AC949" t="s">
        <v>74</v>
      </c>
      <c r="AD949" t="s">
        <v>74</v>
      </c>
      <c r="AE949" t="s">
        <v>74</v>
      </c>
      <c r="AF949" t="s">
        <v>74</v>
      </c>
      <c r="AG949">
        <v>7</v>
      </c>
      <c r="AH949">
        <v>2</v>
      </c>
      <c r="AI949">
        <v>3</v>
      </c>
      <c r="AJ949">
        <v>0</v>
      </c>
      <c r="AK949">
        <v>0</v>
      </c>
      <c r="AL949" t="s">
        <v>17642</v>
      </c>
      <c r="AM949" t="s">
        <v>11433</v>
      </c>
      <c r="AN949" t="s">
        <v>17643</v>
      </c>
      <c r="AO949" t="s">
        <v>17644</v>
      </c>
      <c r="AP949" t="s">
        <v>74</v>
      </c>
      <c r="AQ949" t="s">
        <v>17645</v>
      </c>
      <c r="AR949" t="s">
        <v>17646</v>
      </c>
      <c r="AS949" t="s">
        <v>74</v>
      </c>
      <c r="AT949" t="s">
        <v>74</v>
      </c>
      <c r="AU949">
        <v>2016</v>
      </c>
      <c r="AV949">
        <v>46</v>
      </c>
      <c r="AW949" t="s">
        <v>74</v>
      </c>
      <c r="AX949" t="s">
        <v>74</v>
      </c>
      <c r="AY949" t="s">
        <v>74</v>
      </c>
      <c r="AZ949" t="s">
        <v>74</v>
      </c>
      <c r="BA949" t="s">
        <v>74</v>
      </c>
      <c r="BB949">
        <v>177</v>
      </c>
      <c r="BC949">
        <v>178</v>
      </c>
      <c r="BD949" t="s">
        <v>74</v>
      </c>
      <c r="BE949" t="s">
        <v>17755</v>
      </c>
      <c r="BF949" t="str">
        <f>HYPERLINK("http://dx.doi.org/10.1144/M46.157","http://dx.doi.org/10.1144/M46.157")</f>
        <v>http://dx.doi.org/10.1144/M46.157</v>
      </c>
      <c r="BG949" t="s">
        <v>74</v>
      </c>
      <c r="BH949" t="s">
        <v>74</v>
      </c>
      <c r="BI949">
        <v>2</v>
      </c>
      <c r="BJ949" t="s">
        <v>270</v>
      </c>
      <c r="BK949" t="s">
        <v>17648</v>
      </c>
      <c r="BL949" t="s">
        <v>270</v>
      </c>
      <c r="BM949" t="s">
        <v>17649</v>
      </c>
      <c r="BN949" t="s">
        <v>74</v>
      </c>
      <c r="BO949" t="s">
        <v>74</v>
      </c>
      <c r="BP949" t="s">
        <v>74</v>
      </c>
      <c r="BQ949" t="s">
        <v>74</v>
      </c>
      <c r="BR949" t="s">
        <v>106</v>
      </c>
      <c r="BS949" t="s">
        <v>17756</v>
      </c>
      <c r="BT949" t="str">
        <f>HYPERLINK("https%3A%2F%2Fwww.webofscience.com%2Fwos%2Fwoscc%2Ffull-record%2FWOS:000399497100062","View Full Record in Web of Science")</f>
        <v>View Full Record in Web of Science</v>
      </c>
    </row>
    <row r="950" spans="1:72" x14ac:dyDescent="0.15">
      <c r="A950" t="s">
        <v>3136</v>
      </c>
      <c r="B950" t="s">
        <v>17757</v>
      </c>
      <c r="C950" t="s">
        <v>74</v>
      </c>
      <c r="D950" t="s">
        <v>17628</v>
      </c>
      <c r="E950" t="s">
        <v>74</v>
      </c>
      <c r="F950" t="s">
        <v>17758</v>
      </c>
      <c r="G950" t="s">
        <v>74</v>
      </c>
      <c r="H950" t="s">
        <v>74</v>
      </c>
      <c r="I950" t="s">
        <v>17759</v>
      </c>
      <c r="J950" t="s">
        <v>17631</v>
      </c>
      <c r="K950" t="s">
        <v>17632</v>
      </c>
      <c r="L950" t="s">
        <v>74</v>
      </c>
      <c r="M950" t="s">
        <v>78</v>
      </c>
      <c r="N950" t="s">
        <v>17520</v>
      </c>
      <c r="O950" t="s">
        <v>74</v>
      </c>
      <c r="P950" t="s">
        <v>74</v>
      </c>
      <c r="Q950" t="s">
        <v>74</v>
      </c>
      <c r="R950" t="s">
        <v>74</v>
      </c>
      <c r="S950" t="s">
        <v>74</v>
      </c>
      <c r="T950" t="s">
        <v>74</v>
      </c>
      <c r="U950" t="s">
        <v>17760</v>
      </c>
      <c r="V950" t="s">
        <v>74</v>
      </c>
      <c r="W950" t="s">
        <v>17761</v>
      </c>
      <c r="X950" t="s">
        <v>17762</v>
      </c>
      <c r="Y950" t="s">
        <v>17763</v>
      </c>
      <c r="Z950" t="s">
        <v>17764</v>
      </c>
      <c r="AA950" t="s">
        <v>17765</v>
      </c>
      <c r="AB950" t="s">
        <v>17766</v>
      </c>
      <c r="AC950" t="s">
        <v>74</v>
      </c>
      <c r="AD950" t="s">
        <v>74</v>
      </c>
      <c r="AE950" t="s">
        <v>74</v>
      </c>
      <c r="AF950" t="s">
        <v>74</v>
      </c>
      <c r="AG950">
        <v>9</v>
      </c>
      <c r="AH950">
        <v>2</v>
      </c>
      <c r="AI950">
        <v>2</v>
      </c>
      <c r="AJ950">
        <v>0</v>
      </c>
      <c r="AK950">
        <v>0</v>
      </c>
      <c r="AL950" t="s">
        <v>17642</v>
      </c>
      <c r="AM950" t="s">
        <v>11433</v>
      </c>
      <c r="AN950" t="s">
        <v>17643</v>
      </c>
      <c r="AO950" t="s">
        <v>17644</v>
      </c>
      <c r="AP950" t="s">
        <v>74</v>
      </c>
      <c r="AQ950" t="s">
        <v>17645</v>
      </c>
      <c r="AR950" t="s">
        <v>17646</v>
      </c>
      <c r="AS950" t="s">
        <v>74</v>
      </c>
      <c r="AT950" t="s">
        <v>74</v>
      </c>
      <c r="AU950">
        <v>2016</v>
      </c>
      <c r="AV950">
        <v>46</v>
      </c>
      <c r="AW950" t="s">
        <v>74</v>
      </c>
      <c r="AX950" t="s">
        <v>74</v>
      </c>
      <c r="AY950" t="s">
        <v>74</v>
      </c>
      <c r="AZ950" t="s">
        <v>74</v>
      </c>
      <c r="BA950" t="s">
        <v>74</v>
      </c>
      <c r="BB950">
        <v>183</v>
      </c>
      <c r="BC950">
        <v>184</v>
      </c>
      <c r="BD950" t="s">
        <v>74</v>
      </c>
      <c r="BE950" t="s">
        <v>17767</v>
      </c>
      <c r="BF950" t="str">
        <f>HYPERLINK("http://dx.doi.org/10.1144/M46.117","http://dx.doi.org/10.1144/M46.117")</f>
        <v>http://dx.doi.org/10.1144/M46.117</v>
      </c>
      <c r="BG950" t="s">
        <v>74</v>
      </c>
      <c r="BH950" t="s">
        <v>74</v>
      </c>
      <c r="BI950">
        <v>2</v>
      </c>
      <c r="BJ950" t="s">
        <v>270</v>
      </c>
      <c r="BK950" t="s">
        <v>17648</v>
      </c>
      <c r="BL950" t="s">
        <v>270</v>
      </c>
      <c r="BM950" t="s">
        <v>17649</v>
      </c>
      <c r="BN950" t="s">
        <v>74</v>
      </c>
      <c r="BO950" t="s">
        <v>74</v>
      </c>
      <c r="BP950" t="s">
        <v>74</v>
      </c>
      <c r="BQ950" t="s">
        <v>74</v>
      </c>
      <c r="BR950" t="s">
        <v>106</v>
      </c>
      <c r="BS950" t="s">
        <v>17768</v>
      </c>
      <c r="BT950" t="str">
        <f>HYPERLINK("https%3A%2F%2Fwww.webofscience.com%2Fwos%2Fwoscc%2Ffull-record%2FWOS:000399497100065","View Full Record in Web of Science")</f>
        <v>View Full Record in Web of Science</v>
      </c>
    </row>
    <row r="951" spans="1:72" x14ac:dyDescent="0.15">
      <c r="A951" t="s">
        <v>3136</v>
      </c>
      <c r="B951" t="s">
        <v>17769</v>
      </c>
      <c r="C951" t="s">
        <v>74</v>
      </c>
      <c r="D951" t="s">
        <v>17628</v>
      </c>
      <c r="E951" t="s">
        <v>74</v>
      </c>
      <c r="F951" t="s">
        <v>17770</v>
      </c>
      <c r="G951" t="s">
        <v>74</v>
      </c>
      <c r="H951" t="s">
        <v>74</v>
      </c>
      <c r="I951" t="s">
        <v>17771</v>
      </c>
      <c r="J951" t="s">
        <v>17631</v>
      </c>
      <c r="K951" t="s">
        <v>17632</v>
      </c>
      <c r="L951" t="s">
        <v>74</v>
      </c>
      <c r="M951" t="s">
        <v>78</v>
      </c>
      <c r="N951" t="s">
        <v>17520</v>
      </c>
      <c r="O951" t="s">
        <v>74</v>
      </c>
      <c r="P951" t="s">
        <v>74</v>
      </c>
      <c r="Q951" t="s">
        <v>74</v>
      </c>
      <c r="R951" t="s">
        <v>74</v>
      </c>
      <c r="S951" t="s">
        <v>74</v>
      </c>
      <c r="T951" t="s">
        <v>74</v>
      </c>
      <c r="U951" t="s">
        <v>17772</v>
      </c>
      <c r="V951" t="s">
        <v>74</v>
      </c>
      <c r="W951" t="s">
        <v>17773</v>
      </c>
      <c r="X951" t="s">
        <v>17774</v>
      </c>
      <c r="Y951" t="s">
        <v>17775</v>
      </c>
      <c r="Z951" t="s">
        <v>17776</v>
      </c>
      <c r="AA951" t="s">
        <v>17777</v>
      </c>
      <c r="AB951" t="s">
        <v>17778</v>
      </c>
      <c r="AC951" t="s">
        <v>17640</v>
      </c>
      <c r="AD951" t="s">
        <v>17641</v>
      </c>
      <c r="AE951" t="s">
        <v>74</v>
      </c>
      <c r="AF951" t="s">
        <v>74</v>
      </c>
      <c r="AG951">
        <v>9</v>
      </c>
      <c r="AH951">
        <v>6</v>
      </c>
      <c r="AI951">
        <v>6</v>
      </c>
      <c r="AJ951">
        <v>0</v>
      </c>
      <c r="AK951">
        <v>0</v>
      </c>
      <c r="AL951" t="s">
        <v>17642</v>
      </c>
      <c r="AM951" t="s">
        <v>11433</v>
      </c>
      <c r="AN951" t="s">
        <v>17643</v>
      </c>
      <c r="AO951" t="s">
        <v>17644</v>
      </c>
      <c r="AP951" t="s">
        <v>74</v>
      </c>
      <c r="AQ951" t="s">
        <v>17645</v>
      </c>
      <c r="AR951" t="s">
        <v>17646</v>
      </c>
      <c r="AS951" t="s">
        <v>74</v>
      </c>
      <c r="AT951" t="s">
        <v>74</v>
      </c>
      <c r="AU951">
        <v>2016</v>
      </c>
      <c r="AV951">
        <v>46</v>
      </c>
      <c r="AW951" t="s">
        <v>74</v>
      </c>
      <c r="AX951" t="s">
        <v>74</v>
      </c>
      <c r="AY951" t="s">
        <v>74</v>
      </c>
      <c r="AZ951" t="s">
        <v>74</v>
      </c>
      <c r="BA951" t="s">
        <v>74</v>
      </c>
      <c r="BB951">
        <v>199</v>
      </c>
      <c r="BC951">
        <v>200</v>
      </c>
      <c r="BD951" t="s">
        <v>74</v>
      </c>
      <c r="BE951" t="s">
        <v>17779</v>
      </c>
      <c r="BF951" t="str">
        <f>HYPERLINK("http://dx.doi.org/10.1144/M46.2","http://dx.doi.org/10.1144/M46.2")</f>
        <v>http://dx.doi.org/10.1144/M46.2</v>
      </c>
      <c r="BG951" t="s">
        <v>74</v>
      </c>
      <c r="BH951" t="s">
        <v>74</v>
      </c>
      <c r="BI951">
        <v>2</v>
      </c>
      <c r="BJ951" t="s">
        <v>270</v>
      </c>
      <c r="BK951" t="s">
        <v>17648</v>
      </c>
      <c r="BL951" t="s">
        <v>270</v>
      </c>
      <c r="BM951" t="s">
        <v>17649</v>
      </c>
      <c r="BN951" t="s">
        <v>74</v>
      </c>
      <c r="BO951" t="s">
        <v>1143</v>
      </c>
      <c r="BP951" t="s">
        <v>74</v>
      </c>
      <c r="BQ951" t="s">
        <v>74</v>
      </c>
      <c r="BR951" t="s">
        <v>106</v>
      </c>
      <c r="BS951" t="s">
        <v>17780</v>
      </c>
      <c r="BT951" t="str">
        <f>HYPERLINK("https%3A%2F%2Fwww.webofscience.com%2Fwos%2Fwoscc%2Ffull-record%2FWOS:000399497100073","View Full Record in Web of Science")</f>
        <v>View Full Record in Web of Science</v>
      </c>
    </row>
    <row r="952" spans="1:72" x14ac:dyDescent="0.15">
      <c r="A952" t="s">
        <v>3136</v>
      </c>
      <c r="B952" t="s">
        <v>17781</v>
      </c>
      <c r="C952" t="s">
        <v>74</v>
      </c>
      <c r="D952" t="s">
        <v>17628</v>
      </c>
      <c r="E952" t="s">
        <v>74</v>
      </c>
      <c r="F952" t="s">
        <v>17782</v>
      </c>
      <c r="G952" t="s">
        <v>74</v>
      </c>
      <c r="H952" t="s">
        <v>74</v>
      </c>
      <c r="I952" t="s">
        <v>17783</v>
      </c>
      <c r="J952" t="s">
        <v>17631</v>
      </c>
      <c r="K952" t="s">
        <v>17632</v>
      </c>
      <c r="L952" t="s">
        <v>74</v>
      </c>
      <c r="M952" t="s">
        <v>78</v>
      </c>
      <c r="N952" t="s">
        <v>17520</v>
      </c>
      <c r="O952" t="s">
        <v>74</v>
      </c>
      <c r="P952" t="s">
        <v>74</v>
      </c>
      <c r="Q952" t="s">
        <v>74</v>
      </c>
      <c r="R952" t="s">
        <v>74</v>
      </c>
      <c r="S952" t="s">
        <v>74</v>
      </c>
      <c r="T952" t="s">
        <v>74</v>
      </c>
      <c r="U952" t="s">
        <v>17784</v>
      </c>
      <c r="V952" t="s">
        <v>74</v>
      </c>
      <c r="W952" t="s">
        <v>17785</v>
      </c>
      <c r="X952" t="s">
        <v>17786</v>
      </c>
      <c r="Y952" t="s">
        <v>17722</v>
      </c>
      <c r="Z952" t="s">
        <v>17723</v>
      </c>
      <c r="AA952" t="s">
        <v>17787</v>
      </c>
      <c r="AB952" t="s">
        <v>74</v>
      </c>
      <c r="AC952" t="s">
        <v>74</v>
      </c>
      <c r="AD952" t="s">
        <v>74</v>
      </c>
      <c r="AE952" t="s">
        <v>74</v>
      </c>
      <c r="AF952" t="s">
        <v>74</v>
      </c>
      <c r="AG952">
        <v>13</v>
      </c>
      <c r="AH952">
        <v>4</v>
      </c>
      <c r="AI952">
        <v>4</v>
      </c>
      <c r="AJ952">
        <v>0</v>
      </c>
      <c r="AK952">
        <v>1</v>
      </c>
      <c r="AL952" t="s">
        <v>17642</v>
      </c>
      <c r="AM952" t="s">
        <v>11433</v>
      </c>
      <c r="AN952" t="s">
        <v>17643</v>
      </c>
      <c r="AO952" t="s">
        <v>17644</v>
      </c>
      <c r="AP952" t="s">
        <v>74</v>
      </c>
      <c r="AQ952" t="s">
        <v>17645</v>
      </c>
      <c r="AR952" t="s">
        <v>17646</v>
      </c>
      <c r="AS952" t="s">
        <v>74</v>
      </c>
      <c r="AT952" t="s">
        <v>74</v>
      </c>
      <c r="AU952">
        <v>2016</v>
      </c>
      <c r="AV952">
        <v>46</v>
      </c>
      <c r="AW952" t="s">
        <v>74</v>
      </c>
      <c r="AX952" t="s">
        <v>74</v>
      </c>
      <c r="AY952" t="s">
        <v>74</v>
      </c>
      <c r="AZ952" t="s">
        <v>74</v>
      </c>
      <c r="BA952" t="s">
        <v>74</v>
      </c>
      <c r="BB952">
        <v>211</v>
      </c>
      <c r="BC952">
        <v>212</v>
      </c>
      <c r="BD952" t="s">
        <v>74</v>
      </c>
      <c r="BE952" t="s">
        <v>17788</v>
      </c>
      <c r="BF952" t="str">
        <f>HYPERLINK("http://dx.doi.org/10.1144/M46.52","http://dx.doi.org/10.1144/M46.52")</f>
        <v>http://dx.doi.org/10.1144/M46.52</v>
      </c>
      <c r="BG952" t="s">
        <v>74</v>
      </c>
      <c r="BH952" t="s">
        <v>74</v>
      </c>
      <c r="BI952">
        <v>2</v>
      </c>
      <c r="BJ952" t="s">
        <v>270</v>
      </c>
      <c r="BK952" t="s">
        <v>17648</v>
      </c>
      <c r="BL952" t="s">
        <v>270</v>
      </c>
      <c r="BM952" t="s">
        <v>17649</v>
      </c>
      <c r="BN952" t="s">
        <v>74</v>
      </c>
      <c r="BO952" t="s">
        <v>74</v>
      </c>
      <c r="BP952" t="s">
        <v>74</v>
      </c>
      <c r="BQ952" t="s">
        <v>74</v>
      </c>
      <c r="BR952" t="s">
        <v>106</v>
      </c>
      <c r="BS952" t="s">
        <v>17789</v>
      </c>
      <c r="BT952" t="str">
        <f>HYPERLINK("https%3A%2F%2Fwww.webofscience.com%2Fwos%2Fwoscc%2Ffull-record%2FWOS:000399497100079","View Full Record in Web of Science")</f>
        <v>View Full Record in Web of Science</v>
      </c>
    </row>
    <row r="953" spans="1:72" x14ac:dyDescent="0.15">
      <c r="A953" t="s">
        <v>3136</v>
      </c>
      <c r="B953" t="s">
        <v>17749</v>
      </c>
      <c r="C953" t="s">
        <v>74</v>
      </c>
      <c r="D953" t="s">
        <v>17628</v>
      </c>
      <c r="E953" t="s">
        <v>74</v>
      </c>
      <c r="F953" t="s">
        <v>17750</v>
      </c>
      <c r="G953" t="s">
        <v>74</v>
      </c>
      <c r="H953" t="s">
        <v>74</v>
      </c>
      <c r="I953" t="s">
        <v>17790</v>
      </c>
      <c r="J953" t="s">
        <v>17631</v>
      </c>
      <c r="K953" t="s">
        <v>17632</v>
      </c>
      <c r="L953" t="s">
        <v>74</v>
      </c>
      <c r="M953" t="s">
        <v>78</v>
      </c>
      <c r="N953" t="s">
        <v>17520</v>
      </c>
      <c r="O953" t="s">
        <v>74</v>
      </c>
      <c r="P953" t="s">
        <v>74</v>
      </c>
      <c r="Q953" t="s">
        <v>74</v>
      </c>
      <c r="R953" t="s">
        <v>74</v>
      </c>
      <c r="S953" t="s">
        <v>74</v>
      </c>
      <c r="T953" t="s">
        <v>74</v>
      </c>
      <c r="U953" t="s">
        <v>74</v>
      </c>
      <c r="V953" t="s">
        <v>74</v>
      </c>
      <c r="W953" t="s">
        <v>17753</v>
      </c>
      <c r="X953" t="s">
        <v>17732</v>
      </c>
      <c r="Y953" t="s">
        <v>17733</v>
      </c>
      <c r="Z953" t="s">
        <v>17734</v>
      </c>
      <c r="AA953" t="s">
        <v>17787</v>
      </c>
      <c r="AB953" t="s">
        <v>74</v>
      </c>
      <c r="AC953" t="s">
        <v>74</v>
      </c>
      <c r="AD953" t="s">
        <v>74</v>
      </c>
      <c r="AE953" t="s">
        <v>74</v>
      </c>
      <c r="AF953" t="s">
        <v>74</v>
      </c>
      <c r="AG953">
        <v>5</v>
      </c>
      <c r="AH953">
        <v>2</v>
      </c>
      <c r="AI953">
        <v>2</v>
      </c>
      <c r="AJ953">
        <v>0</v>
      </c>
      <c r="AK953">
        <v>0</v>
      </c>
      <c r="AL953" t="s">
        <v>17642</v>
      </c>
      <c r="AM953" t="s">
        <v>11433</v>
      </c>
      <c r="AN953" t="s">
        <v>17643</v>
      </c>
      <c r="AO953" t="s">
        <v>17644</v>
      </c>
      <c r="AP953" t="s">
        <v>74</v>
      </c>
      <c r="AQ953" t="s">
        <v>17645</v>
      </c>
      <c r="AR953" t="s">
        <v>17646</v>
      </c>
      <c r="AS953" t="s">
        <v>74</v>
      </c>
      <c r="AT953" t="s">
        <v>74</v>
      </c>
      <c r="AU953">
        <v>2016</v>
      </c>
      <c r="AV953">
        <v>46</v>
      </c>
      <c r="AW953" t="s">
        <v>74</v>
      </c>
      <c r="AX953" t="s">
        <v>74</v>
      </c>
      <c r="AY953" t="s">
        <v>74</v>
      </c>
      <c r="AZ953" t="s">
        <v>74</v>
      </c>
      <c r="BA953" t="s">
        <v>74</v>
      </c>
      <c r="BB953">
        <v>213</v>
      </c>
      <c r="BC953">
        <v>214</v>
      </c>
      <c r="BD953" t="s">
        <v>74</v>
      </c>
      <c r="BE953" t="s">
        <v>17791</v>
      </c>
      <c r="BF953" t="str">
        <f>HYPERLINK("http://dx.doi.org/10.1144/M46.116","http://dx.doi.org/10.1144/M46.116")</f>
        <v>http://dx.doi.org/10.1144/M46.116</v>
      </c>
      <c r="BG953" t="s">
        <v>74</v>
      </c>
      <c r="BH953" t="s">
        <v>74</v>
      </c>
      <c r="BI953">
        <v>2</v>
      </c>
      <c r="BJ953" t="s">
        <v>270</v>
      </c>
      <c r="BK953" t="s">
        <v>17648</v>
      </c>
      <c r="BL953" t="s">
        <v>270</v>
      </c>
      <c r="BM953" t="s">
        <v>17649</v>
      </c>
      <c r="BN953" t="s">
        <v>74</v>
      </c>
      <c r="BO953" t="s">
        <v>74</v>
      </c>
      <c r="BP953" t="s">
        <v>74</v>
      </c>
      <c r="BQ953" t="s">
        <v>74</v>
      </c>
      <c r="BR953" t="s">
        <v>106</v>
      </c>
      <c r="BS953" t="s">
        <v>17792</v>
      </c>
      <c r="BT953" t="str">
        <f>HYPERLINK("https%3A%2F%2Fwww.webofscience.com%2Fwos%2Fwoscc%2Ffull-record%2FWOS:000399497100080","View Full Record in Web of Science")</f>
        <v>View Full Record in Web of Science</v>
      </c>
    </row>
    <row r="954" spans="1:72" x14ac:dyDescent="0.15">
      <c r="A954" t="s">
        <v>3136</v>
      </c>
      <c r="B954" t="s">
        <v>17793</v>
      </c>
      <c r="C954" t="s">
        <v>74</v>
      </c>
      <c r="D954" t="s">
        <v>17628</v>
      </c>
      <c r="E954" t="s">
        <v>74</v>
      </c>
      <c r="F954" t="s">
        <v>17794</v>
      </c>
      <c r="G954" t="s">
        <v>74</v>
      </c>
      <c r="H954" t="s">
        <v>74</v>
      </c>
      <c r="I954" t="s">
        <v>17795</v>
      </c>
      <c r="J954" t="s">
        <v>17631</v>
      </c>
      <c r="K954" t="s">
        <v>17632</v>
      </c>
      <c r="L954" t="s">
        <v>74</v>
      </c>
      <c r="M954" t="s">
        <v>78</v>
      </c>
      <c r="N954" t="s">
        <v>17520</v>
      </c>
      <c r="O954" t="s">
        <v>74</v>
      </c>
      <c r="P954" t="s">
        <v>74</v>
      </c>
      <c r="Q954" t="s">
        <v>74</v>
      </c>
      <c r="R954" t="s">
        <v>74</v>
      </c>
      <c r="S954" t="s">
        <v>74</v>
      </c>
      <c r="T954" t="s">
        <v>74</v>
      </c>
      <c r="U954" t="s">
        <v>17796</v>
      </c>
      <c r="V954" t="s">
        <v>74</v>
      </c>
      <c r="W954" t="s">
        <v>17797</v>
      </c>
      <c r="X954" t="s">
        <v>17798</v>
      </c>
      <c r="Y954" t="s">
        <v>17799</v>
      </c>
      <c r="Z954" t="s">
        <v>17800</v>
      </c>
      <c r="AA954" t="s">
        <v>74</v>
      </c>
      <c r="AB954" t="s">
        <v>17639</v>
      </c>
      <c r="AC954" t="s">
        <v>17640</v>
      </c>
      <c r="AD954" t="s">
        <v>17641</v>
      </c>
      <c r="AE954" t="s">
        <v>74</v>
      </c>
      <c r="AF954" t="s">
        <v>74</v>
      </c>
      <c r="AG954">
        <v>7</v>
      </c>
      <c r="AH954">
        <v>7</v>
      </c>
      <c r="AI954">
        <v>8</v>
      </c>
      <c r="AJ954">
        <v>0</v>
      </c>
      <c r="AK954">
        <v>1</v>
      </c>
      <c r="AL954" t="s">
        <v>17642</v>
      </c>
      <c r="AM954" t="s">
        <v>11433</v>
      </c>
      <c r="AN954" t="s">
        <v>17643</v>
      </c>
      <c r="AO954" t="s">
        <v>17644</v>
      </c>
      <c r="AP954" t="s">
        <v>74</v>
      </c>
      <c r="AQ954" t="s">
        <v>17645</v>
      </c>
      <c r="AR954" t="s">
        <v>17646</v>
      </c>
      <c r="AS954" t="s">
        <v>74</v>
      </c>
      <c r="AT954" t="s">
        <v>74</v>
      </c>
      <c r="AU954">
        <v>2016</v>
      </c>
      <c r="AV954">
        <v>46</v>
      </c>
      <c r="AW954" t="s">
        <v>74</v>
      </c>
      <c r="AX954" t="s">
        <v>74</v>
      </c>
      <c r="AY954" t="s">
        <v>74</v>
      </c>
      <c r="AZ954" t="s">
        <v>74</v>
      </c>
      <c r="BA954" t="s">
        <v>74</v>
      </c>
      <c r="BB954">
        <v>215</v>
      </c>
      <c r="BC954">
        <v>216</v>
      </c>
      <c r="BD954" t="s">
        <v>74</v>
      </c>
      <c r="BE954" t="s">
        <v>17801</v>
      </c>
      <c r="BF954" t="str">
        <f>HYPERLINK("http://dx.doi.org/10.1144/M46.178","http://dx.doi.org/10.1144/M46.178")</f>
        <v>http://dx.doi.org/10.1144/M46.178</v>
      </c>
      <c r="BG954" t="s">
        <v>74</v>
      </c>
      <c r="BH954" t="s">
        <v>74</v>
      </c>
      <c r="BI954">
        <v>2</v>
      </c>
      <c r="BJ954" t="s">
        <v>270</v>
      </c>
      <c r="BK954" t="s">
        <v>17648</v>
      </c>
      <c r="BL954" t="s">
        <v>270</v>
      </c>
      <c r="BM954" t="s">
        <v>17649</v>
      </c>
      <c r="BN954" t="s">
        <v>74</v>
      </c>
      <c r="BO954" t="s">
        <v>74</v>
      </c>
      <c r="BP954" t="s">
        <v>74</v>
      </c>
      <c r="BQ954" t="s">
        <v>74</v>
      </c>
      <c r="BR954" t="s">
        <v>106</v>
      </c>
      <c r="BS954" t="s">
        <v>17802</v>
      </c>
      <c r="BT954" t="str">
        <f>HYPERLINK("https%3A%2F%2Fwww.webofscience.com%2Fwos%2Fwoscc%2Ffull-record%2FWOS:000399497100081","View Full Record in Web of Science")</f>
        <v>View Full Record in Web of Science</v>
      </c>
    </row>
    <row r="955" spans="1:72" x14ac:dyDescent="0.15">
      <c r="A955" t="s">
        <v>3136</v>
      </c>
      <c r="B955" t="s">
        <v>17769</v>
      </c>
      <c r="C955" t="s">
        <v>74</v>
      </c>
      <c r="D955" t="s">
        <v>17628</v>
      </c>
      <c r="E955" t="s">
        <v>74</v>
      </c>
      <c r="F955" t="s">
        <v>17770</v>
      </c>
      <c r="G955" t="s">
        <v>74</v>
      </c>
      <c r="H955" t="s">
        <v>74</v>
      </c>
      <c r="I955" t="s">
        <v>17803</v>
      </c>
      <c r="J955" t="s">
        <v>17631</v>
      </c>
      <c r="K955" t="s">
        <v>17632</v>
      </c>
      <c r="L955" t="s">
        <v>74</v>
      </c>
      <c r="M955" t="s">
        <v>78</v>
      </c>
      <c r="N955" t="s">
        <v>17520</v>
      </c>
      <c r="O955" t="s">
        <v>74</v>
      </c>
      <c r="P955" t="s">
        <v>74</v>
      </c>
      <c r="Q955" t="s">
        <v>74</v>
      </c>
      <c r="R955" t="s">
        <v>74</v>
      </c>
      <c r="S955" t="s">
        <v>74</v>
      </c>
      <c r="T955" t="s">
        <v>74</v>
      </c>
      <c r="U955" t="s">
        <v>17804</v>
      </c>
      <c r="V955" t="s">
        <v>74</v>
      </c>
      <c r="W955" t="s">
        <v>17773</v>
      </c>
      <c r="X955" t="s">
        <v>17774</v>
      </c>
      <c r="Y955" t="s">
        <v>17775</v>
      </c>
      <c r="Z955" t="s">
        <v>17776</v>
      </c>
      <c r="AA955" t="s">
        <v>17777</v>
      </c>
      <c r="AB955" t="s">
        <v>17778</v>
      </c>
      <c r="AC955" t="s">
        <v>17640</v>
      </c>
      <c r="AD955" t="s">
        <v>17641</v>
      </c>
      <c r="AE955" t="s">
        <v>74</v>
      </c>
      <c r="AF955" t="s">
        <v>74</v>
      </c>
      <c r="AG955">
        <v>8</v>
      </c>
      <c r="AH955">
        <v>5</v>
      </c>
      <c r="AI955">
        <v>5</v>
      </c>
      <c r="AJ955">
        <v>0</v>
      </c>
      <c r="AK955">
        <v>1</v>
      </c>
      <c r="AL955" t="s">
        <v>17642</v>
      </c>
      <c r="AM955" t="s">
        <v>11433</v>
      </c>
      <c r="AN955" t="s">
        <v>17643</v>
      </c>
      <c r="AO955" t="s">
        <v>17644</v>
      </c>
      <c r="AP955" t="s">
        <v>74</v>
      </c>
      <c r="AQ955" t="s">
        <v>17645</v>
      </c>
      <c r="AR955" t="s">
        <v>17646</v>
      </c>
      <c r="AS955" t="s">
        <v>74</v>
      </c>
      <c r="AT955" t="s">
        <v>74</v>
      </c>
      <c r="AU955">
        <v>2016</v>
      </c>
      <c r="AV955">
        <v>46</v>
      </c>
      <c r="AW955" t="s">
        <v>74</v>
      </c>
      <c r="AX955" t="s">
        <v>74</v>
      </c>
      <c r="AY955" t="s">
        <v>74</v>
      </c>
      <c r="AZ955" t="s">
        <v>74</v>
      </c>
      <c r="BA955" t="s">
        <v>74</v>
      </c>
      <c r="BB955">
        <v>217</v>
      </c>
      <c r="BC955">
        <v>218</v>
      </c>
      <c r="BD955" t="s">
        <v>74</v>
      </c>
      <c r="BE955" t="s">
        <v>17805</v>
      </c>
      <c r="BF955" t="str">
        <f>HYPERLINK("http://dx.doi.org/10.1144/M46.1","http://dx.doi.org/10.1144/M46.1")</f>
        <v>http://dx.doi.org/10.1144/M46.1</v>
      </c>
      <c r="BG955" t="s">
        <v>74</v>
      </c>
      <c r="BH955" t="s">
        <v>74</v>
      </c>
      <c r="BI955">
        <v>2</v>
      </c>
      <c r="BJ955" t="s">
        <v>270</v>
      </c>
      <c r="BK955" t="s">
        <v>17648</v>
      </c>
      <c r="BL955" t="s">
        <v>270</v>
      </c>
      <c r="BM955" t="s">
        <v>17649</v>
      </c>
      <c r="BN955" t="s">
        <v>74</v>
      </c>
      <c r="BO955" t="s">
        <v>1143</v>
      </c>
      <c r="BP955" t="s">
        <v>74</v>
      </c>
      <c r="BQ955" t="s">
        <v>74</v>
      </c>
      <c r="BR955" t="s">
        <v>106</v>
      </c>
      <c r="BS955" t="s">
        <v>17806</v>
      </c>
      <c r="BT955" t="str">
        <f>HYPERLINK("https%3A%2F%2Fwww.webofscience.com%2Fwos%2Fwoscc%2Ffull-record%2FWOS:000399497100082","View Full Record in Web of Science")</f>
        <v>View Full Record in Web of Science</v>
      </c>
    </row>
    <row r="956" spans="1:72" x14ac:dyDescent="0.15">
      <c r="A956" t="s">
        <v>3136</v>
      </c>
      <c r="B956" t="s">
        <v>17807</v>
      </c>
      <c r="C956" t="s">
        <v>74</v>
      </c>
      <c r="D956" t="s">
        <v>17628</v>
      </c>
      <c r="E956" t="s">
        <v>74</v>
      </c>
      <c r="F956" t="s">
        <v>17808</v>
      </c>
      <c r="G956" t="s">
        <v>74</v>
      </c>
      <c r="H956" t="s">
        <v>74</v>
      </c>
      <c r="I956" t="s">
        <v>17809</v>
      </c>
      <c r="J956" t="s">
        <v>17631</v>
      </c>
      <c r="K956" t="s">
        <v>17632</v>
      </c>
      <c r="L956" t="s">
        <v>74</v>
      </c>
      <c r="M956" t="s">
        <v>78</v>
      </c>
      <c r="N956" t="s">
        <v>17520</v>
      </c>
      <c r="O956" t="s">
        <v>74</v>
      </c>
      <c r="P956" t="s">
        <v>74</v>
      </c>
      <c r="Q956" t="s">
        <v>74</v>
      </c>
      <c r="R956" t="s">
        <v>74</v>
      </c>
      <c r="S956" t="s">
        <v>74</v>
      </c>
      <c r="T956" t="s">
        <v>74</v>
      </c>
      <c r="U956" t="s">
        <v>17810</v>
      </c>
      <c r="V956" t="s">
        <v>74</v>
      </c>
      <c r="W956" t="s">
        <v>17811</v>
      </c>
      <c r="X956" t="s">
        <v>17812</v>
      </c>
      <c r="Y956" t="s">
        <v>17813</v>
      </c>
      <c r="Z956" t="s">
        <v>17814</v>
      </c>
      <c r="AA956" t="s">
        <v>17815</v>
      </c>
      <c r="AB956" t="s">
        <v>17816</v>
      </c>
      <c r="AC956" t="s">
        <v>17817</v>
      </c>
      <c r="AD956" t="s">
        <v>17641</v>
      </c>
      <c r="AE956" t="s">
        <v>74</v>
      </c>
      <c r="AF956" t="s">
        <v>74</v>
      </c>
      <c r="AG956">
        <v>11</v>
      </c>
      <c r="AH956">
        <v>6</v>
      </c>
      <c r="AI956">
        <v>6</v>
      </c>
      <c r="AJ956">
        <v>0</v>
      </c>
      <c r="AK956">
        <v>0</v>
      </c>
      <c r="AL956" t="s">
        <v>17642</v>
      </c>
      <c r="AM956" t="s">
        <v>11433</v>
      </c>
      <c r="AN956" t="s">
        <v>17643</v>
      </c>
      <c r="AO956" t="s">
        <v>17644</v>
      </c>
      <c r="AP956" t="s">
        <v>74</v>
      </c>
      <c r="AQ956" t="s">
        <v>17645</v>
      </c>
      <c r="AR956" t="s">
        <v>17646</v>
      </c>
      <c r="AS956" t="s">
        <v>74</v>
      </c>
      <c r="AT956" t="s">
        <v>74</v>
      </c>
      <c r="AU956">
        <v>2016</v>
      </c>
      <c r="AV956">
        <v>46</v>
      </c>
      <c r="AW956" t="s">
        <v>74</v>
      </c>
      <c r="AX956" t="s">
        <v>74</v>
      </c>
      <c r="AY956" t="s">
        <v>74</v>
      </c>
      <c r="AZ956" t="s">
        <v>74</v>
      </c>
      <c r="BA956" t="s">
        <v>74</v>
      </c>
      <c r="BB956">
        <v>219</v>
      </c>
      <c r="BC956">
        <v>220</v>
      </c>
      <c r="BD956" t="s">
        <v>74</v>
      </c>
      <c r="BE956" t="s">
        <v>17818</v>
      </c>
      <c r="BF956" t="str">
        <f>HYPERLINK("http://dx.doi.org/10.1144/M46.79","http://dx.doi.org/10.1144/M46.79")</f>
        <v>http://dx.doi.org/10.1144/M46.79</v>
      </c>
      <c r="BG956" t="s">
        <v>74</v>
      </c>
      <c r="BH956" t="s">
        <v>74</v>
      </c>
      <c r="BI956">
        <v>2</v>
      </c>
      <c r="BJ956" t="s">
        <v>270</v>
      </c>
      <c r="BK956" t="s">
        <v>17648</v>
      </c>
      <c r="BL956" t="s">
        <v>270</v>
      </c>
      <c r="BM956" t="s">
        <v>17649</v>
      </c>
      <c r="BN956" t="s">
        <v>74</v>
      </c>
      <c r="BO956" t="s">
        <v>74</v>
      </c>
      <c r="BP956" t="s">
        <v>74</v>
      </c>
      <c r="BQ956" t="s">
        <v>74</v>
      </c>
      <c r="BR956" t="s">
        <v>106</v>
      </c>
      <c r="BS956" t="s">
        <v>17819</v>
      </c>
      <c r="BT956" t="str">
        <f>HYPERLINK("https%3A%2F%2Fwww.webofscience.com%2Fwos%2Fwoscc%2Ffull-record%2FWOS:000399497100083","View Full Record in Web of Science")</f>
        <v>View Full Record in Web of Science</v>
      </c>
    </row>
    <row r="957" spans="1:72" x14ac:dyDescent="0.15">
      <c r="A957" t="s">
        <v>3136</v>
      </c>
      <c r="B957" t="s">
        <v>17820</v>
      </c>
      <c r="C957" t="s">
        <v>74</v>
      </c>
      <c r="D957" t="s">
        <v>17628</v>
      </c>
      <c r="E957" t="s">
        <v>74</v>
      </c>
      <c r="F957" t="s">
        <v>17821</v>
      </c>
      <c r="G957" t="s">
        <v>74</v>
      </c>
      <c r="H957" t="s">
        <v>74</v>
      </c>
      <c r="I957" t="s">
        <v>17822</v>
      </c>
      <c r="J957" t="s">
        <v>17631</v>
      </c>
      <c r="K957" t="s">
        <v>17632</v>
      </c>
      <c r="L957" t="s">
        <v>74</v>
      </c>
      <c r="M957" t="s">
        <v>78</v>
      </c>
      <c r="N957" t="s">
        <v>17520</v>
      </c>
      <c r="O957" t="s">
        <v>74</v>
      </c>
      <c r="P957" t="s">
        <v>74</v>
      </c>
      <c r="Q957" t="s">
        <v>74</v>
      </c>
      <c r="R957" t="s">
        <v>74</v>
      </c>
      <c r="S957" t="s">
        <v>74</v>
      </c>
      <c r="T957" t="s">
        <v>74</v>
      </c>
      <c r="U957" t="s">
        <v>74</v>
      </c>
      <c r="V957" t="s">
        <v>74</v>
      </c>
      <c r="W957" t="s">
        <v>17823</v>
      </c>
      <c r="X957" t="s">
        <v>17683</v>
      </c>
      <c r="Y957" t="s">
        <v>17684</v>
      </c>
      <c r="Z957" t="s">
        <v>17685</v>
      </c>
      <c r="AA957" t="s">
        <v>74</v>
      </c>
      <c r="AB957" t="s">
        <v>74</v>
      </c>
      <c r="AC957" t="s">
        <v>17640</v>
      </c>
      <c r="AD957" t="s">
        <v>17641</v>
      </c>
      <c r="AE957" t="s">
        <v>74</v>
      </c>
      <c r="AF957" t="s">
        <v>74</v>
      </c>
      <c r="AG957">
        <v>4</v>
      </c>
      <c r="AH957">
        <v>6</v>
      </c>
      <c r="AI957">
        <v>7</v>
      </c>
      <c r="AJ957">
        <v>0</v>
      </c>
      <c r="AK957">
        <v>0</v>
      </c>
      <c r="AL957" t="s">
        <v>17642</v>
      </c>
      <c r="AM957" t="s">
        <v>11433</v>
      </c>
      <c r="AN957" t="s">
        <v>17643</v>
      </c>
      <c r="AO957" t="s">
        <v>17644</v>
      </c>
      <c r="AP957" t="s">
        <v>74</v>
      </c>
      <c r="AQ957" t="s">
        <v>17645</v>
      </c>
      <c r="AR957" t="s">
        <v>17646</v>
      </c>
      <c r="AS957" t="s">
        <v>74</v>
      </c>
      <c r="AT957" t="s">
        <v>74</v>
      </c>
      <c r="AU957">
        <v>2016</v>
      </c>
      <c r="AV957">
        <v>46</v>
      </c>
      <c r="AW957" t="s">
        <v>74</v>
      </c>
      <c r="AX957" t="s">
        <v>74</v>
      </c>
      <c r="AY957" t="s">
        <v>74</v>
      </c>
      <c r="AZ957" t="s">
        <v>74</v>
      </c>
      <c r="BA957" t="s">
        <v>74</v>
      </c>
      <c r="BB957">
        <v>221</v>
      </c>
      <c r="BC957">
        <v>222</v>
      </c>
      <c r="BD957" t="s">
        <v>74</v>
      </c>
      <c r="BE957" t="s">
        <v>17824</v>
      </c>
      <c r="BF957" t="str">
        <f>HYPERLINK("http://dx.doi.org/10.1144/M46.166","http://dx.doi.org/10.1144/M46.166")</f>
        <v>http://dx.doi.org/10.1144/M46.166</v>
      </c>
      <c r="BG957" t="s">
        <v>74</v>
      </c>
      <c r="BH957" t="s">
        <v>74</v>
      </c>
      <c r="BI957">
        <v>2</v>
      </c>
      <c r="BJ957" t="s">
        <v>270</v>
      </c>
      <c r="BK957" t="s">
        <v>17648</v>
      </c>
      <c r="BL957" t="s">
        <v>270</v>
      </c>
      <c r="BM957" t="s">
        <v>17649</v>
      </c>
      <c r="BN957" t="s">
        <v>74</v>
      </c>
      <c r="BO957" t="s">
        <v>74</v>
      </c>
      <c r="BP957" t="s">
        <v>74</v>
      </c>
      <c r="BQ957" t="s">
        <v>74</v>
      </c>
      <c r="BR957" t="s">
        <v>106</v>
      </c>
      <c r="BS957" t="s">
        <v>17825</v>
      </c>
      <c r="BT957" t="str">
        <f>HYPERLINK("https%3A%2F%2Fwww.webofscience.com%2Fwos%2Fwoscc%2Ffull-record%2FWOS:000399497100084","View Full Record in Web of Science")</f>
        <v>View Full Record in Web of Science</v>
      </c>
    </row>
    <row r="958" spans="1:72" x14ac:dyDescent="0.15">
      <c r="A958" t="s">
        <v>3136</v>
      </c>
      <c r="B958" t="s">
        <v>17826</v>
      </c>
      <c r="C958" t="s">
        <v>74</v>
      </c>
      <c r="D958" t="s">
        <v>17628</v>
      </c>
      <c r="E958" t="s">
        <v>74</v>
      </c>
      <c r="F958" t="s">
        <v>17827</v>
      </c>
      <c r="G958" t="s">
        <v>74</v>
      </c>
      <c r="H958" t="s">
        <v>74</v>
      </c>
      <c r="I958" t="s">
        <v>17828</v>
      </c>
      <c r="J958" t="s">
        <v>17631</v>
      </c>
      <c r="K958" t="s">
        <v>17632</v>
      </c>
      <c r="L958" t="s">
        <v>74</v>
      </c>
      <c r="M958" t="s">
        <v>78</v>
      </c>
      <c r="N958" t="s">
        <v>17520</v>
      </c>
      <c r="O958" t="s">
        <v>74</v>
      </c>
      <c r="P958" t="s">
        <v>74</v>
      </c>
      <c r="Q958" t="s">
        <v>74</v>
      </c>
      <c r="R958" t="s">
        <v>74</v>
      </c>
      <c r="S958" t="s">
        <v>74</v>
      </c>
      <c r="T958" t="s">
        <v>74</v>
      </c>
      <c r="U958" t="s">
        <v>17829</v>
      </c>
      <c r="V958" t="s">
        <v>74</v>
      </c>
      <c r="W958" t="s">
        <v>17830</v>
      </c>
      <c r="X958" t="s">
        <v>17831</v>
      </c>
      <c r="Y958" t="s">
        <v>17832</v>
      </c>
      <c r="Z958" t="s">
        <v>17833</v>
      </c>
      <c r="AA958" t="s">
        <v>74</v>
      </c>
      <c r="AB958" t="s">
        <v>74</v>
      </c>
      <c r="AC958" t="s">
        <v>17640</v>
      </c>
      <c r="AD958" t="s">
        <v>17641</v>
      </c>
      <c r="AE958" t="s">
        <v>74</v>
      </c>
      <c r="AF958" t="s">
        <v>74</v>
      </c>
      <c r="AG958">
        <v>8</v>
      </c>
      <c r="AH958">
        <v>5</v>
      </c>
      <c r="AI958">
        <v>5</v>
      </c>
      <c r="AJ958">
        <v>0</v>
      </c>
      <c r="AK958">
        <v>1</v>
      </c>
      <c r="AL958" t="s">
        <v>17642</v>
      </c>
      <c r="AM958" t="s">
        <v>11433</v>
      </c>
      <c r="AN958" t="s">
        <v>17643</v>
      </c>
      <c r="AO958" t="s">
        <v>17644</v>
      </c>
      <c r="AP958" t="s">
        <v>74</v>
      </c>
      <c r="AQ958" t="s">
        <v>17645</v>
      </c>
      <c r="AR958" t="s">
        <v>17646</v>
      </c>
      <c r="AS958" t="s">
        <v>74</v>
      </c>
      <c r="AT958" t="s">
        <v>74</v>
      </c>
      <c r="AU958">
        <v>2016</v>
      </c>
      <c r="AV958">
        <v>46</v>
      </c>
      <c r="AW958" t="s">
        <v>74</v>
      </c>
      <c r="AX958" t="s">
        <v>74</v>
      </c>
      <c r="AY958" t="s">
        <v>74</v>
      </c>
      <c r="AZ958" t="s">
        <v>74</v>
      </c>
      <c r="BA958" t="s">
        <v>74</v>
      </c>
      <c r="BB958">
        <v>237</v>
      </c>
      <c r="BC958">
        <v>238</v>
      </c>
      <c r="BD958" t="s">
        <v>74</v>
      </c>
      <c r="BE958" t="s">
        <v>17834</v>
      </c>
      <c r="BF958" t="str">
        <f>HYPERLINK("http://dx.doi.org/10.1144/M46.3","http://dx.doi.org/10.1144/M46.3")</f>
        <v>http://dx.doi.org/10.1144/M46.3</v>
      </c>
      <c r="BG958" t="s">
        <v>74</v>
      </c>
      <c r="BH958" t="s">
        <v>74</v>
      </c>
      <c r="BI958">
        <v>2</v>
      </c>
      <c r="BJ958" t="s">
        <v>270</v>
      </c>
      <c r="BK958" t="s">
        <v>17648</v>
      </c>
      <c r="BL958" t="s">
        <v>270</v>
      </c>
      <c r="BM958" t="s">
        <v>17649</v>
      </c>
      <c r="BN958" t="s">
        <v>74</v>
      </c>
      <c r="BO958" t="s">
        <v>3346</v>
      </c>
      <c r="BP958" t="s">
        <v>74</v>
      </c>
      <c r="BQ958" t="s">
        <v>74</v>
      </c>
      <c r="BR958" t="s">
        <v>106</v>
      </c>
      <c r="BS958" t="s">
        <v>17835</v>
      </c>
      <c r="BT958" t="str">
        <f>HYPERLINK("https%3A%2F%2Fwww.webofscience.com%2Fwos%2Fwoscc%2Ffull-record%2FWOS:000399497100092","View Full Record in Web of Science")</f>
        <v>View Full Record in Web of Science</v>
      </c>
    </row>
    <row r="959" spans="1:72" x14ac:dyDescent="0.15">
      <c r="A959" t="s">
        <v>3136</v>
      </c>
      <c r="B959" t="s">
        <v>17836</v>
      </c>
      <c r="C959" t="s">
        <v>74</v>
      </c>
      <c r="D959" t="s">
        <v>17628</v>
      </c>
      <c r="E959" t="s">
        <v>74</v>
      </c>
      <c r="F959" t="s">
        <v>17837</v>
      </c>
      <c r="G959" t="s">
        <v>74</v>
      </c>
      <c r="H959" t="s">
        <v>74</v>
      </c>
      <c r="I959" t="s">
        <v>17838</v>
      </c>
      <c r="J959" t="s">
        <v>17631</v>
      </c>
      <c r="K959" t="s">
        <v>17632</v>
      </c>
      <c r="L959" t="s">
        <v>74</v>
      </c>
      <c r="M959" t="s">
        <v>78</v>
      </c>
      <c r="N959" t="s">
        <v>17520</v>
      </c>
      <c r="O959" t="s">
        <v>74</v>
      </c>
      <c r="P959" t="s">
        <v>74</v>
      </c>
      <c r="Q959" t="s">
        <v>74</v>
      </c>
      <c r="R959" t="s">
        <v>74</v>
      </c>
      <c r="S959" t="s">
        <v>74</v>
      </c>
      <c r="T959" t="s">
        <v>74</v>
      </c>
      <c r="U959" t="s">
        <v>17839</v>
      </c>
      <c r="V959" t="s">
        <v>74</v>
      </c>
      <c r="W959" t="s">
        <v>17840</v>
      </c>
      <c r="X959" t="s">
        <v>17841</v>
      </c>
      <c r="Y959" t="s">
        <v>17842</v>
      </c>
      <c r="Z959" t="s">
        <v>17843</v>
      </c>
      <c r="AA959" t="s">
        <v>17844</v>
      </c>
      <c r="AB959" t="s">
        <v>17845</v>
      </c>
      <c r="AC959" t="s">
        <v>74</v>
      </c>
      <c r="AD959" t="s">
        <v>74</v>
      </c>
      <c r="AE959" t="s">
        <v>74</v>
      </c>
      <c r="AF959" t="s">
        <v>74</v>
      </c>
      <c r="AG959">
        <v>13</v>
      </c>
      <c r="AH959">
        <v>6</v>
      </c>
      <c r="AI959">
        <v>6</v>
      </c>
      <c r="AJ959">
        <v>0</v>
      </c>
      <c r="AK959">
        <v>0</v>
      </c>
      <c r="AL959" t="s">
        <v>17642</v>
      </c>
      <c r="AM959" t="s">
        <v>11433</v>
      </c>
      <c r="AN959" t="s">
        <v>17643</v>
      </c>
      <c r="AO959" t="s">
        <v>17644</v>
      </c>
      <c r="AP959" t="s">
        <v>74</v>
      </c>
      <c r="AQ959" t="s">
        <v>17645</v>
      </c>
      <c r="AR959" t="s">
        <v>17646</v>
      </c>
      <c r="AS959" t="s">
        <v>74</v>
      </c>
      <c r="AT959" t="s">
        <v>74</v>
      </c>
      <c r="AU959">
        <v>2016</v>
      </c>
      <c r="AV959">
        <v>46</v>
      </c>
      <c r="AW959" t="s">
        <v>74</v>
      </c>
      <c r="AX959" t="s">
        <v>74</v>
      </c>
      <c r="AY959" t="s">
        <v>74</v>
      </c>
      <c r="AZ959" t="s">
        <v>74</v>
      </c>
      <c r="BA959" t="s">
        <v>74</v>
      </c>
      <c r="BB959">
        <v>243</v>
      </c>
      <c r="BC959">
        <v>244</v>
      </c>
      <c r="BD959" t="s">
        <v>74</v>
      </c>
      <c r="BE959" t="s">
        <v>17846</v>
      </c>
      <c r="BF959" t="str">
        <f>HYPERLINK("http://dx.doi.org/10.1144/M46.7","http://dx.doi.org/10.1144/M46.7")</f>
        <v>http://dx.doi.org/10.1144/M46.7</v>
      </c>
      <c r="BG959" t="s">
        <v>74</v>
      </c>
      <c r="BH959" t="s">
        <v>74</v>
      </c>
      <c r="BI959">
        <v>2</v>
      </c>
      <c r="BJ959" t="s">
        <v>270</v>
      </c>
      <c r="BK959" t="s">
        <v>17648</v>
      </c>
      <c r="BL959" t="s">
        <v>270</v>
      </c>
      <c r="BM959" t="s">
        <v>17649</v>
      </c>
      <c r="BN959" t="s">
        <v>74</v>
      </c>
      <c r="BO959" t="s">
        <v>74</v>
      </c>
      <c r="BP959" t="s">
        <v>74</v>
      </c>
      <c r="BQ959" t="s">
        <v>74</v>
      </c>
      <c r="BR959" t="s">
        <v>106</v>
      </c>
      <c r="BS959" t="s">
        <v>17847</v>
      </c>
      <c r="BT959" t="str">
        <f>HYPERLINK("https%3A%2F%2Fwww.webofscience.com%2Fwos%2Fwoscc%2Ffull-record%2FWOS:000399497100095","View Full Record in Web of Science")</f>
        <v>View Full Record in Web of Science</v>
      </c>
    </row>
    <row r="960" spans="1:72" x14ac:dyDescent="0.15">
      <c r="A960" t="s">
        <v>3136</v>
      </c>
      <c r="B960" t="s">
        <v>17848</v>
      </c>
      <c r="C960" t="s">
        <v>74</v>
      </c>
      <c r="D960" t="s">
        <v>17628</v>
      </c>
      <c r="E960" t="s">
        <v>74</v>
      </c>
      <c r="F960" t="s">
        <v>17849</v>
      </c>
      <c r="G960" t="s">
        <v>74</v>
      </c>
      <c r="H960" t="s">
        <v>74</v>
      </c>
      <c r="I960" t="s">
        <v>17850</v>
      </c>
      <c r="J960" t="s">
        <v>17631</v>
      </c>
      <c r="K960" t="s">
        <v>17632</v>
      </c>
      <c r="L960" t="s">
        <v>74</v>
      </c>
      <c r="M960" t="s">
        <v>78</v>
      </c>
      <c r="N960" t="s">
        <v>17520</v>
      </c>
      <c r="O960" t="s">
        <v>74</v>
      </c>
      <c r="P960" t="s">
        <v>74</v>
      </c>
      <c r="Q960" t="s">
        <v>74</v>
      </c>
      <c r="R960" t="s">
        <v>74</v>
      </c>
      <c r="S960" t="s">
        <v>74</v>
      </c>
      <c r="T960" t="s">
        <v>74</v>
      </c>
      <c r="U960" t="s">
        <v>17851</v>
      </c>
      <c r="V960" t="s">
        <v>74</v>
      </c>
      <c r="W960" t="s">
        <v>17852</v>
      </c>
      <c r="X960" t="s">
        <v>17853</v>
      </c>
      <c r="Y960" t="s">
        <v>17854</v>
      </c>
      <c r="Z960" t="s">
        <v>17855</v>
      </c>
      <c r="AA960" t="s">
        <v>74</v>
      </c>
      <c r="AB960" t="s">
        <v>17639</v>
      </c>
      <c r="AC960" t="s">
        <v>17640</v>
      </c>
      <c r="AD960" t="s">
        <v>17641</v>
      </c>
      <c r="AE960" t="s">
        <v>74</v>
      </c>
      <c r="AF960" t="s">
        <v>74</v>
      </c>
      <c r="AG960">
        <v>7</v>
      </c>
      <c r="AH960">
        <v>2</v>
      </c>
      <c r="AI960">
        <v>2</v>
      </c>
      <c r="AJ960">
        <v>0</v>
      </c>
      <c r="AK960">
        <v>2</v>
      </c>
      <c r="AL960" t="s">
        <v>17642</v>
      </c>
      <c r="AM960" t="s">
        <v>11433</v>
      </c>
      <c r="AN960" t="s">
        <v>17643</v>
      </c>
      <c r="AO960" t="s">
        <v>17644</v>
      </c>
      <c r="AP960" t="s">
        <v>74</v>
      </c>
      <c r="AQ960" t="s">
        <v>17645</v>
      </c>
      <c r="AR960" t="s">
        <v>17646</v>
      </c>
      <c r="AS960" t="s">
        <v>74</v>
      </c>
      <c r="AT960" t="s">
        <v>74</v>
      </c>
      <c r="AU960">
        <v>2016</v>
      </c>
      <c r="AV960">
        <v>46</v>
      </c>
      <c r="AW960" t="s">
        <v>74</v>
      </c>
      <c r="AX960" t="s">
        <v>74</v>
      </c>
      <c r="AY960" t="s">
        <v>74</v>
      </c>
      <c r="AZ960" t="s">
        <v>74</v>
      </c>
      <c r="BA960" t="s">
        <v>74</v>
      </c>
      <c r="BB960">
        <v>251</v>
      </c>
      <c r="BC960">
        <v>252</v>
      </c>
      <c r="BD960" t="s">
        <v>74</v>
      </c>
      <c r="BE960" t="s">
        <v>17856</v>
      </c>
      <c r="BF960" t="str">
        <f>HYPERLINK("http://dx.doi.org/10.1144/M46.47","http://dx.doi.org/10.1144/M46.47")</f>
        <v>http://dx.doi.org/10.1144/M46.47</v>
      </c>
      <c r="BG960" t="s">
        <v>74</v>
      </c>
      <c r="BH960" t="s">
        <v>74</v>
      </c>
      <c r="BI960">
        <v>2</v>
      </c>
      <c r="BJ960" t="s">
        <v>270</v>
      </c>
      <c r="BK960" t="s">
        <v>17648</v>
      </c>
      <c r="BL960" t="s">
        <v>270</v>
      </c>
      <c r="BM960" t="s">
        <v>17649</v>
      </c>
      <c r="BN960" t="s">
        <v>74</v>
      </c>
      <c r="BO960" t="s">
        <v>74</v>
      </c>
      <c r="BP960" t="s">
        <v>74</v>
      </c>
      <c r="BQ960" t="s">
        <v>74</v>
      </c>
      <c r="BR960" t="s">
        <v>106</v>
      </c>
      <c r="BS960" t="s">
        <v>17857</v>
      </c>
      <c r="BT960" t="str">
        <f>HYPERLINK("https%3A%2F%2Fwww.webofscience.com%2Fwos%2Fwoscc%2Ffull-record%2FWOS:000399497100099","View Full Record in Web of Science")</f>
        <v>View Full Record in Web of Science</v>
      </c>
    </row>
    <row r="961" spans="1:72" x14ac:dyDescent="0.15">
      <c r="A961" t="s">
        <v>3136</v>
      </c>
      <c r="B961" t="s">
        <v>17858</v>
      </c>
      <c r="C961" t="s">
        <v>74</v>
      </c>
      <c r="D961" t="s">
        <v>17628</v>
      </c>
      <c r="E961" t="s">
        <v>74</v>
      </c>
      <c r="F961" t="s">
        <v>17859</v>
      </c>
      <c r="G961" t="s">
        <v>74</v>
      </c>
      <c r="H961" t="s">
        <v>74</v>
      </c>
      <c r="I961" t="s">
        <v>17860</v>
      </c>
      <c r="J961" t="s">
        <v>17631</v>
      </c>
      <c r="K961" t="s">
        <v>17632</v>
      </c>
      <c r="L961" t="s">
        <v>74</v>
      </c>
      <c r="M961" t="s">
        <v>78</v>
      </c>
      <c r="N961" t="s">
        <v>17520</v>
      </c>
      <c r="O961" t="s">
        <v>74</v>
      </c>
      <c r="P961" t="s">
        <v>74</v>
      </c>
      <c r="Q961" t="s">
        <v>74</v>
      </c>
      <c r="R961" t="s">
        <v>74</v>
      </c>
      <c r="S961" t="s">
        <v>74</v>
      </c>
      <c r="T961" t="s">
        <v>74</v>
      </c>
      <c r="U961" t="s">
        <v>17861</v>
      </c>
      <c r="V961" t="s">
        <v>74</v>
      </c>
      <c r="W961" t="s">
        <v>17862</v>
      </c>
      <c r="X961" t="s">
        <v>8473</v>
      </c>
      <c r="Y961" t="s">
        <v>17636</v>
      </c>
      <c r="Z961" t="s">
        <v>17637</v>
      </c>
      <c r="AA961" t="s">
        <v>74</v>
      </c>
      <c r="AB961" t="s">
        <v>17639</v>
      </c>
      <c r="AC961" t="s">
        <v>17640</v>
      </c>
      <c r="AD961" t="s">
        <v>17641</v>
      </c>
      <c r="AE961" t="s">
        <v>74</v>
      </c>
      <c r="AF961" t="s">
        <v>74</v>
      </c>
      <c r="AG961">
        <v>9</v>
      </c>
      <c r="AH961">
        <v>12</v>
      </c>
      <c r="AI961">
        <v>12</v>
      </c>
      <c r="AJ961">
        <v>0</v>
      </c>
      <c r="AK961">
        <v>1</v>
      </c>
      <c r="AL961" t="s">
        <v>17642</v>
      </c>
      <c r="AM961" t="s">
        <v>11433</v>
      </c>
      <c r="AN961" t="s">
        <v>17643</v>
      </c>
      <c r="AO961" t="s">
        <v>17644</v>
      </c>
      <c r="AP961" t="s">
        <v>74</v>
      </c>
      <c r="AQ961" t="s">
        <v>17645</v>
      </c>
      <c r="AR961" t="s">
        <v>17646</v>
      </c>
      <c r="AS961" t="s">
        <v>74</v>
      </c>
      <c r="AT961" t="s">
        <v>74</v>
      </c>
      <c r="AU961">
        <v>2016</v>
      </c>
      <c r="AV961">
        <v>46</v>
      </c>
      <c r="AW961" t="s">
        <v>74</v>
      </c>
      <c r="AX961" t="s">
        <v>74</v>
      </c>
      <c r="AY961" t="s">
        <v>74</v>
      </c>
      <c r="AZ961" t="s">
        <v>74</v>
      </c>
      <c r="BA961" t="s">
        <v>74</v>
      </c>
      <c r="BB961">
        <v>269</v>
      </c>
      <c r="BC961">
        <v>270</v>
      </c>
      <c r="BD961" t="s">
        <v>74</v>
      </c>
      <c r="BE961" t="s">
        <v>17863</v>
      </c>
      <c r="BF961" t="str">
        <f>HYPERLINK("http://dx.doi.org/10.1144/M46.4","http://dx.doi.org/10.1144/M46.4")</f>
        <v>http://dx.doi.org/10.1144/M46.4</v>
      </c>
      <c r="BG961" t="s">
        <v>74</v>
      </c>
      <c r="BH961" t="s">
        <v>74</v>
      </c>
      <c r="BI961">
        <v>2</v>
      </c>
      <c r="BJ961" t="s">
        <v>270</v>
      </c>
      <c r="BK961" t="s">
        <v>17648</v>
      </c>
      <c r="BL961" t="s">
        <v>270</v>
      </c>
      <c r="BM961" t="s">
        <v>17649</v>
      </c>
      <c r="BN961" t="s">
        <v>74</v>
      </c>
      <c r="BO961" t="s">
        <v>380</v>
      </c>
      <c r="BP961" t="s">
        <v>74</v>
      </c>
      <c r="BQ961" t="s">
        <v>74</v>
      </c>
      <c r="BR961" t="s">
        <v>106</v>
      </c>
      <c r="BS961" t="s">
        <v>17864</v>
      </c>
      <c r="BT961" t="str">
        <f>HYPERLINK("https%3A%2F%2Fwww.webofscience.com%2Fwos%2Fwoscc%2Ffull-record%2FWOS:000399497100108","View Full Record in Web of Science")</f>
        <v>View Full Record in Web of Science</v>
      </c>
    </row>
    <row r="962" spans="1:72" x14ac:dyDescent="0.15">
      <c r="A962" t="s">
        <v>3136</v>
      </c>
      <c r="B962" t="s">
        <v>17865</v>
      </c>
      <c r="C962" t="s">
        <v>74</v>
      </c>
      <c r="D962" t="s">
        <v>17628</v>
      </c>
      <c r="E962" t="s">
        <v>74</v>
      </c>
      <c r="F962" t="s">
        <v>17866</v>
      </c>
      <c r="G962" t="s">
        <v>74</v>
      </c>
      <c r="H962" t="s">
        <v>74</v>
      </c>
      <c r="I962" t="s">
        <v>17867</v>
      </c>
      <c r="J962" t="s">
        <v>17631</v>
      </c>
      <c r="K962" t="s">
        <v>17632</v>
      </c>
      <c r="L962" t="s">
        <v>74</v>
      </c>
      <c r="M962" t="s">
        <v>78</v>
      </c>
      <c r="N962" t="s">
        <v>17520</v>
      </c>
      <c r="O962" t="s">
        <v>74</v>
      </c>
      <c r="P962" t="s">
        <v>74</v>
      </c>
      <c r="Q962" t="s">
        <v>74</v>
      </c>
      <c r="R962" t="s">
        <v>74</v>
      </c>
      <c r="S962" t="s">
        <v>74</v>
      </c>
      <c r="T962" t="s">
        <v>74</v>
      </c>
      <c r="U962" t="s">
        <v>74</v>
      </c>
      <c r="V962" t="s">
        <v>74</v>
      </c>
      <c r="W962" t="s">
        <v>17868</v>
      </c>
      <c r="X962" t="s">
        <v>17869</v>
      </c>
      <c r="Y962" t="s">
        <v>17870</v>
      </c>
      <c r="Z962" t="s">
        <v>17871</v>
      </c>
      <c r="AA962" t="s">
        <v>74</v>
      </c>
      <c r="AB962" t="s">
        <v>74</v>
      </c>
      <c r="AC962" t="s">
        <v>74</v>
      </c>
      <c r="AD962" t="s">
        <v>74</v>
      </c>
      <c r="AE962" t="s">
        <v>74</v>
      </c>
      <c r="AF962" t="s">
        <v>74</v>
      </c>
      <c r="AG962">
        <v>6</v>
      </c>
      <c r="AH962">
        <v>7</v>
      </c>
      <c r="AI962">
        <v>8</v>
      </c>
      <c r="AJ962">
        <v>0</v>
      </c>
      <c r="AK962">
        <v>0</v>
      </c>
      <c r="AL962" t="s">
        <v>17642</v>
      </c>
      <c r="AM962" t="s">
        <v>11433</v>
      </c>
      <c r="AN962" t="s">
        <v>17643</v>
      </c>
      <c r="AO962" t="s">
        <v>17644</v>
      </c>
      <c r="AP962" t="s">
        <v>74</v>
      </c>
      <c r="AQ962" t="s">
        <v>17645</v>
      </c>
      <c r="AR962" t="s">
        <v>17646</v>
      </c>
      <c r="AS962" t="s">
        <v>74</v>
      </c>
      <c r="AT962" t="s">
        <v>74</v>
      </c>
      <c r="AU962">
        <v>2016</v>
      </c>
      <c r="AV962">
        <v>46</v>
      </c>
      <c r="AW962" t="s">
        <v>74</v>
      </c>
      <c r="AX962" t="s">
        <v>74</v>
      </c>
      <c r="AY962" t="s">
        <v>74</v>
      </c>
      <c r="AZ962" t="s">
        <v>74</v>
      </c>
      <c r="BA962" t="s">
        <v>74</v>
      </c>
      <c r="BB962">
        <v>275</v>
      </c>
      <c r="BC962">
        <v>276</v>
      </c>
      <c r="BD962" t="s">
        <v>74</v>
      </c>
      <c r="BE962" t="s">
        <v>17872</v>
      </c>
      <c r="BF962" t="str">
        <f>HYPERLINK("http://dx.doi.org/10.1144/M46.87","http://dx.doi.org/10.1144/M46.87")</f>
        <v>http://dx.doi.org/10.1144/M46.87</v>
      </c>
      <c r="BG962" t="s">
        <v>74</v>
      </c>
      <c r="BH962" t="s">
        <v>74</v>
      </c>
      <c r="BI962">
        <v>2</v>
      </c>
      <c r="BJ962" t="s">
        <v>270</v>
      </c>
      <c r="BK962" t="s">
        <v>17648</v>
      </c>
      <c r="BL962" t="s">
        <v>270</v>
      </c>
      <c r="BM962" t="s">
        <v>17649</v>
      </c>
      <c r="BN962" t="s">
        <v>74</v>
      </c>
      <c r="BO962" t="s">
        <v>74</v>
      </c>
      <c r="BP962" t="s">
        <v>74</v>
      </c>
      <c r="BQ962" t="s">
        <v>74</v>
      </c>
      <c r="BR962" t="s">
        <v>106</v>
      </c>
      <c r="BS962" t="s">
        <v>17873</v>
      </c>
      <c r="BT962" t="str">
        <f>HYPERLINK("https%3A%2F%2Fwww.webofscience.com%2Fwos%2Fwoscc%2Ffull-record%2FWOS:000399497100111","View Full Record in Web of Science")</f>
        <v>View Full Record in Web of Science</v>
      </c>
    </row>
    <row r="963" spans="1:72" x14ac:dyDescent="0.15">
      <c r="A963" t="s">
        <v>3136</v>
      </c>
      <c r="B963" t="s">
        <v>17874</v>
      </c>
      <c r="C963" t="s">
        <v>74</v>
      </c>
      <c r="D963" t="s">
        <v>17628</v>
      </c>
      <c r="E963" t="s">
        <v>74</v>
      </c>
      <c r="F963" t="s">
        <v>17875</v>
      </c>
      <c r="G963" t="s">
        <v>74</v>
      </c>
      <c r="H963" t="s">
        <v>74</v>
      </c>
      <c r="I963" t="s">
        <v>17876</v>
      </c>
      <c r="J963" t="s">
        <v>17631</v>
      </c>
      <c r="K963" t="s">
        <v>17632</v>
      </c>
      <c r="L963" t="s">
        <v>74</v>
      </c>
      <c r="M963" t="s">
        <v>78</v>
      </c>
      <c r="N963" t="s">
        <v>17520</v>
      </c>
      <c r="O963" t="s">
        <v>74</v>
      </c>
      <c r="P963" t="s">
        <v>74</v>
      </c>
      <c r="Q963" t="s">
        <v>74</v>
      </c>
      <c r="R963" t="s">
        <v>74</v>
      </c>
      <c r="S963" t="s">
        <v>74</v>
      </c>
      <c r="T963" t="s">
        <v>74</v>
      </c>
      <c r="U963" t="s">
        <v>17877</v>
      </c>
      <c r="V963" t="s">
        <v>74</v>
      </c>
      <c r="W963" t="s">
        <v>17878</v>
      </c>
      <c r="X963" t="s">
        <v>17879</v>
      </c>
      <c r="Y963" t="s">
        <v>17880</v>
      </c>
      <c r="Z963" t="s">
        <v>17881</v>
      </c>
      <c r="AA963" t="s">
        <v>74</v>
      </c>
      <c r="AB963" t="s">
        <v>17882</v>
      </c>
      <c r="AC963" t="s">
        <v>17640</v>
      </c>
      <c r="AD963" t="s">
        <v>17641</v>
      </c>
      <c r="AE963" t="s">
        <v>74</v>
      </c>
      <c r="AF963" t="s">
        <v>74</v>
      </c>
      <c r="AG963">
        <v>6</v>
      </c>
      <c r="AH963">
        <v>4</v>
      </c>
      <c r="AI963">
        <v>4</v>
      </c>
      <c r="AJ963">
        <v>0</v>
      </c>
      <c r="AK963">
        <v>1</v>
      </c>
      <c r="AL963" t="s">
        <v>17642</v>
      </c>
      <c r="AM963" t="s">
        <v>11433</v>
      </c>
      <c r="AN963" t="s">
        <v>17643</v>
      </c>
      <c r="AO963" t="s">
        <v>17644</v>
      </c>
      <c r="AP963" t="s">
        <v>74</v>
      </c>
      <c r="AQ963" t="s">
        <v>17645</v>
      </c>
      <c r="AR963" t="s">
        <v>17646</v>
      </c>
      <c r="AS963" t="s">
        <v>74</v>
      </c>
      <c r="AT963" t="s">
        <v>74</v>
      </c>
      <c r="AU963">
        <v>2016</v>
      </c>
      <c r="AV963">
        <v>46</v>
      </c>
      <c r="AW963" t="s">
        <v>74</v>
      </c>
      <c r="AX963" t="s">
        <v>74</v>
      </c>
      <c r="AY963" t="s">
        <v>74</v>
      </c>
      <c r="AZ963" t="s">
        <v>74</v>
      </c>
      <c r="BA963" t="s">
        <v>74</v>
      </c>
      <c r="BB963">
        <v>289</v>
      </c>
      <c r="BC963">
        <v>290</v>
      </c>
      <c r="BD963" t="s">
        <v>74</v>
      </c>
      <c r="BE963" t="s">
        <v>17883</v>
      </c>
      <c r="BF963" t="str">
        <f>HYPERLINK("http://dx.doi.org/10.1144/M46.11","http://dx.doi.org/10.1144/M46.11")</f>
        <v>http://dx.doi.org/10.1144/M46.11</v>
      </c>
      <c r="BG963" t="s">
        <v>74</v>
      </c>
      <c r="BH963" t="s">
        <v>74</v>
      </c>
      <c r="BI963">
        <v>2</v>
      </c>
      <c r="BJ963" t="s">
        <v>270</v>
      </c>
      <c r="BK963" t="s">
        <v>17648</v>
      </c>
      <c r="BL963" t="s">
        <v>270</v>
      </c>
      <c r="BM963" t="s">
        <v>17649</v>
      </c>
      <c r="BN963" t="s">
        <v>74</v>
      </c>
      <c r="BO963" t="s">
        <v>74</v>
      </c>
      <c r="BP963" t="s">
        <v>74</v>
      </c>
      <c r="BQ963" t="s">
        <v>74</v>
      </c>
      <c r="BR963" t="s">
        <v>106</v>
      </c>
      <c r="BS963" t="s">
        <v>17884</v>
      </c>
      <c r="BT963" t="str">
        <f>HYPERLINK("https%3A%2F%2Fwww.webofscience.com%2Fwos%2Fwoscc%2Ffull-record%2FWOS:000399497100118","View Full Record in Web of Science")</f>
        <v>View Full Record in Web of Science</v>
      </c>
    </row>
    <row r="964" spans="1:72" x14ac:dyDescent="0.15">
      <c r="A964" t="s">
        <v>3136</v>
      </c>
      <c r="B964" t="s">
        <v>17885</v>
      </c>
      <c r="C964" t="s">
        <v>74</v>
      </c>
      <c r="D964" t="s">
        <v>17628</v>
      </c>
      <c r="E964" t="s">
        <v>74</v>
      </c>
      <c r="F964" t="s">
        <v>17886</v>
      </c>
      <c r="G964" t="s">
        <v>74</v>
      </c>
      <c r="H964" t="s">
        <v>74</v>
      </c>
      <c r="I964" t="s">
        <v>17887</v>
      </c>
      <c r="J964" t="s">
        <v>17631</v>
      </c>
      <c r="K964" t="s">
        <v>17632</v>
      </c>
      <c r="L964" t="s">
        <v>74</v>
      </c>
      <c r="M964" t="s">
        <v>78</v>
      </c>
      <c r="N964" t="s">
        <v>17520</v>
      </c>
      <c r="O964" t="s">
        <v>74</v>
      </c>
      <c r="P964" t="s">
        <v>74</v>
      </c>
      <c r="Q964" t="s">
        <v>74</v>
      </c>
      <c r="R964" t="s">
        <v>74</v>
      </c>
      <c r="S964" t="s">
        <v>74</v>
      </c>
      <c r="T964" t="s">
        <v>74</v>
      </c>
      <c r="U964" t="s">
        <v>74</v>
      </c>
      <c r="V964" t="s">
        <v>74</v>
      </c>
      <c r="W964" t="s">
        <v>17888</v>
      </c>
      <c r="X964" t="s">
        <v>3981</v>
      </c>
      <c r="Y964" t="s">
        <v>17889</v>
      </c>
      <c r="Z964" t="s">
        <v>17890</v>
      </c>
      <c r="AA964" t="s">
        <v>74</v>
      </c>
      <c r="AB964" t="s">
        <v>74</v>
      </c>
      <c r="AC964" t="s">
        <v>17891</v>
      </c>
      <c r="AD964" t="s">
        <v>17641</v>
      </c>
      <c r="AE964" t="s">
        <v>74</v>
      </c>
      <c r="AF964" t="s">
        <v>74</v>
      </c>
      <c r="AG964">
        <v>4</v>
      </c>
      <c r="AH964">
        <v>2</v>
      </c>
      <c r="AI964">
        <v>3</v>
      </c>
      <c r="AJ964">
        <v>0</v>
      </c>
      <c r="AK964">
        <v>1</v>
      </c>
      <c r="AL964" t="s">
        <v>17642</v>
      </c>
      <c r="AM964" t="s">
        <v>11433</v>
      </c>
      <c r="AN964" t="s">
        <v>17643</v>
      </c>
      <c r="AO964" t="s">
        <v>17644</v>
      </c>
      <c r="AP964" t="s">
        <v>74</v>
      </c>
      <c r="AQ964" t="s">
        <v>17645</v>
      </c>
      <c r="AR964" t="s">
        <v>17646</v>
      </c>
      <c r="AS964" t="s">
        <v>74</v>
      </c>
      <c r="AT964" t="s">
        <v>74</v>
      </c>
      <c r="AU964">
        <v>2016</v>
      </c>
      <c r="AV964">
        <v>46</v>
      </c>
      <c r="AW964" t="s">
        <v>74</v>
      </c>
      <c r="AX964" t="s">
        <v>74</v>
      </c>
      <c r="AY964" t="s">
        <v>74</v>
      </c>
      <c r="AZ964" t="s">
        <v>74</v>
      </c>
      <c r="BA964" t="s">
        <v>74</v>
      </c>
      <c r="BB964">
        <v>303</v>
      </c>
      <c r="BC964">
        <v>304</v>
      </c>
      <c r="BD964" t="s">
        <v>74</v>
      </c>
      <c r="BE964" t="s">
        <v>17892</v>
      </c>
      <c r="BF964" t="str">
        <f>HYPERLINK("http://dx.doi.org/10.1144/M46.181","http://dx.doi.org/10.1144/M46.181")</f>
        <v>http://dx.doi.org/10.1144/M46.181</v>
      </c>
      <c r="BG964" t="s">
        <v>74</v>
      </c>
      <c r="BH964" t="s">
        <v>74</v>
      </c>
      <c r="BI964">
        <v>2</v>
      </c>
      <c r="BJ964" t="s">
        <v>270</v>
      </c>
      <c r="BK964" t="s">
        <v>17648</v>
      </c>
      <c r="BL964" t="s">
        <v>270</v>
      </c>
      <c r="BM964" t="s">
        <v>17649</v>
      </c>
      <c r="BN964" t="s">
        <v>74</v>
      </c>
      <c r="BO964" t="s">
        <v>74</v>
      </c>
      <c r="BP964" t="s">
        <v>74</v>
      </c>
      <c r="BQ964" t="s">
        <v>74</v>
      </c>
      <c r="BR964" t="s">
        <v>106</v>
      </c>
      <c r="BS964" t="s">
        <v>17893</v>
      </c>
      <c r="BT964" t="str">
        <f>HYPERLINK("https%3A%2F%2Fwww.webofscience.com%2Fwos%2Fwoscc%2Ffull-record%2FWOS:000399497100125","View Full Record in Web of Science")</f>
        <v>View Full Record in Web of Science</v>
      </c>
    </row>
    <row r="965" spans="1:72" x14ac:dyDescent="0.15">
      <c r="A965" t="s">
        <v>3136</v>
      </c>
      <c r="B965" t="s">
        <v>17749</v>
      </c>
      <c r="C965" t="s">
        <v>74</v>
      </c>
      <c r="D965" t="s">
        <v>17628</v>
      </c>
      <c r="E965" t="s">
        <v>74</v>
      </c>
      <c r="F965" t="s">
        <v>17750</v>
      </c>
      <c r="G965" t="s">
        <v>74</v>
      </c>
      <c r="H965" t="s">
        <v>74</v>
      </c>
      <c r="I965" t="s">
        <v>17894</v>
      </c>
      <c r="J965" t="s">
        <v>17631</v>
      </c>
      <c r="K965" t="s">
        <v>17632</v>
      </c>
      <c r="L965" t="s">
        <v>74</v>
      </c>
      <c r="M965" t="s">
        <v>78</v>
      </c>
      <c r="N965" t="s">
        <v>17520</v>
      </c>
      <c r="O965" t="s">
        <v>74</v>
      </c>
      <c r="P965" t="s">
        <v>74</v>
      </c>
      <c r="Q965" t="s">
        <v>74</v>
      </c>
      <c r="R965" t="s">
        <v>74</v>
      </c>
      <c r="S965" t="s">
        <v>74</v>
      </c>
      <c r="T965" t="s">
        <v>74</v>
      </c>
      <c r="U965" t="s">
        <v>74</v>
      </c>
      <c r="V965" t="s">
        <v>74</v>
      </c>
      <c r="W965" t="s">
        <v>17753</v>
      </c>
      <c r="X965" t="s">
        <v>17732</v>
      </c>
      <c r="Y965" t="s">
        <v>17733</v>
      </c>
      <c r="Z965" t="s">
        <v>17734</v>
      </c>
      <c r="AA965" t="s">
        <v>17787</v>
      </c>
      <c r="AB965" t="s">
        <v>74</v>
      </c>
      <c r="AC965" t="s">
        <v>74</v>
      </c>
      <c r="AD965" t="s">
        <v>74</v>
      </c>
      <c r="AE965" t="s">
        <v>74</v>
      </c>
      <c r="AF965" t="s">
        <v>74</v>
      </c>
      <c r="AG965">
        <v>9</v>
      </c>
      <c r="AH965">
        <v>2</v>
      </c>
      <c r="AI965">
        <v>3</v>
      </c>
      <c r="AJ965">
        <v>0</v>
      </c>
      <c r="AK965">
        <v>1</v>
      </c>
      <c r="AL965" t="s">
        <v>17642</v>
      </c>
      <c r="AM965" t="s">
        <v>11433</v>
      </c>
      <c r="AN965" t="s">
        <v>17643</v>
      </c>
      <c r="AO965" t="s">
        <v>17644</v>
      </c>
      <c r="AP965" t="s">
        <v>74</v>
      </c>
      <c r="AQ965" t="s">
        <v>17645</v>
      </c>
      <c r="AR965" t="s">
        <v>17646</v>
      </c>
      <c r="AS965" t="s">
        <v>74</v>
      </c>
      <c r="AT965" t="s">
        <v>74</v>
      </c>
      <c r="AU965">
        <v>2016</v>
      </c>
      <c r="AV965">
        <v>46</v>
      </c>
      <c r="AW965" t="s">
        <v>74</v>
      </c>
      <c r="AX965" t="s">
        <v>74</v>
      </c>
      <c r="AY965" t="s">
        <v>74</v>
      </c>
      <c r="AZ965" t="s">
        <v>74</v>
      </c>
      <c r="BA965" t="s">
        <v>74</v>
      </c>
      <c r="BB965">
        <v>313</v>
      </c>
      <c r="BC965">
        <v>314</v>
      </c>
      <c r="BD965" t="s">
        <v>74</v>
      </c>
      <c r="BE965" t="s">
        <v>17895</v>
      </c>
      <c r="BF965" t="str">
        <f>HYPERLINK("http://dx.doi.org/10.1144/M46.16","http://dx.doi.org/10.1144/M46.16")</f>
        <v>http://dx.doi.org/10.1144/M46.16</v>
      </c>
      <c r="BG965" t="s">
        <v>74</v>
      </c>
      <c r="BH965" t="s">
        <v>74</v>
      </c>
      <c r="BI965">
        <v>2</v>
      </c>
      <c r="BJ965" t="s">
        <v>270</v>
      </c>
      <c r="BK965" t="s">
        <v>17648</v>
      </c>
      <c r="BL965" t="s">
        <v>270</v>
      </c>
      <c r="BM965" t="s">
        <v>17649</v>
      </c>
      <c r="BN965" t="s">
        <v>74</v>
      </c>
      <c r="BO965" t="s">
        <v>74</v>
      </c>
      <c r="BP965" t="s">
        <v>74</v>
      </c>
      <c r="BQ965" t="s">
        <v>74</v>
      </c>
      <c r="BR965" t="s">
        <v>106</v>
      </c>
      <c r="BS965" t="s">
        <v>17896</v>
      </c>
      <c r="BT965" t="str">
        <f>HYPERLINK("https%3A%2F%2Fwww.webofscience.com%2Fwos%2Fwoscc%2Ffull-record%2FWOS:000399497100130","View Full Record in Web of Science")</f>
        <v>View Full Record in Web of Science</v>
      </c>
    </row>
    <row r="966" spans="1:72" x14ac:dyDescent="0.15">
      <c r="A966" t="s">
        <v>3136</v>
      </c>
      <c r="B966" t="s">
        <v>17897</v>
      </c>
      <c r="C966" t="s">
        <v>74</v>
      </c>
      <c r="D966" t="s">
        <v>17628</v>
      </c>
      <c r="E966" t="s">
        <v>74</v>
      </c>
      <c r="F966" t="s">
        <v>17898</v>
      </c>
      <c r="G966" t="s">
        <v>74</v>
      </c>
      <c r="H966" t="s">
        <v>74</v>
      </c>
      <c r="I966" t="s">
        <v>17899</v>
      </c>
      <c r="J966" t="s">
        <v>17631</v>
      </c>
      <c r="K966" t="s">
        <v>17632</v>
      </c>
      <c r="L966" t="s">
        <v>74</v>
      </c>
      <c r="M966" t="s">
        <v>78</v>
      </c>
      <c r="N966" t="s">
        <v>17520</v>
      </c>
      <c r="O966" t="s">
        <v>74</v>
      </c>
      <c r="P966" t="s">
        <v>74</v>
      </c>
      <c r="Q966" t="s">
        <v>74</v>
      </c>
      <c r="R966" t="s">
        <v>74</v>
      </c>
      <c r="S966" t="s">
        <v>74</v>
      </c>
      <c r="T966" t="s">
        <v>74</v>
      </c>
      <c r="U966" t="s">
        <v>17900</v>
      </c>
      <c r="V966" t="s">
        <v>74</v>
      </c>
      <c r="W966" t="s">
        <v>17901</v>
      </c>
      <c r="X966" t="s">
        <v>17902</v>
      </c>
      <c r="Y966" t="s">
        <v>17903</v>
      </c>
      <c r="Z966" t="s">
        <v>17904</v>
      </c>
      <c r="AA966" t="s">
        <v>17905</v>
      </c>
      <c r="AB966" t="s">
        <v>17906</v>
      </c>
      <c r="AC966" t="s">
        <v>17640</v>
      </c>
      <c r="AD966" t="s">
        <v>17641</v>
      </c>
      <c r="AE966" t="s">
        <v>74</v>
      </c>
      <c r="AF966" t="s">
        <v>74</v>
      </c>
      <c r="AG966">
        <v>16</v>
      </c>
      <c r="AH966">
        <v>0</v>
      </c>
      <c r="AI966">
        <v>0</v>
      </c>
      <c r="AJ966">
        <v>0</v>
      </c>
      <c r="AK966">
        <v>0</v>
      </c>
      <c r="AL966" t="s">
        <v>17642</v>
      </c>
      <c r="AM966" t="s">
        <v>11433</v>
      </c>
      <c r="AN966" t="s">
        <v>17643</v>
      </c>
      <c r="AO966" t="s">
        <v>17644</v>
      </c>
      <c r="AP966" t="s">
        <v>74</v>
      </c>
      <c r="AQ966" t="s">
        <v>17645</v>
      </c>
      <c r="AR966" t="s">
        <v>17646</v>
      </c>
      <c r="AS966" t="s">
        <v>74</v>
      </c>
      <c r="AT966" t="s">
        <v>74</v>
      </c>
      <c r="AU966">
        <v>2016</v>
      </c>
      <c r="AV966">
        <v>46</v>
      </c>
      <c r="AW966" t="s">
        <v>74</v>
      </c>
      <c r="AX966" t="s">
        <v>74</v>
      </c>
      <c r="AY966" t="s">
        <v>74</v>
      </c>
      <c r="AZ966" t="s">
        <v>74</v>
      </c>
      <c r="BA966" t="s">
        <v>74</v>
      </c>
      <c r="BB966">
        <v>329</v>
      </c>
      <c r="BC966">
        <v>332</v>
      </c>
      <c r="BD966" t="s">
        <v>74</v>
      </c>
      <c r="BE966" t="s">
        <v>17907</v>
      </c>
      <c r="BF966" t="str">
        <f>HYPERLINK("http://dx.doi.org/10.1144/M46.169","http://dx.doi.org/10.1144/M46.169")</f>
        <v>http://dx.doi.org/10.1144/M46.169</v>
      </c>
      <c r="BG966" t="s">
        <v>74</v>
      </c>
      <c r="BH966" t="s">
        <v>74</v>
      </c>
      <c r="BI966">
        <v>4</v>
      </c>
      <c r="BJ966" t="s">
        <v>270</v>
      </c>
      <c r="BK966" t="s">
        <v>17648</v>
      </c>
      <c r="BL966" t="s">
        <v>270</v>
      </c>
      <c r="BM966" t="s">
        <v>17649</v>
      </c>
      <c r="BN966" t="s">
        <v>74</v>
      </c>
      <c r="BO966" t="s">
        <v>74</v>
      </c>
      <c r="BP966" t="s">
        <v>74</v>
      </c>
      <c r="BQ966" t="s">
        <v>74</v>
      </c>
      <c r="BR966" t="s">
        <v>106</v>
      </c>
      <c r="BS966" t="s">
        <v>17908</v>
      </c>
      <c r="BT966" t="str">
        <f>HYPERLINK("https%3A%2F%2Fwww.webofscience.com%2Fwos%2Fwoscc%2Ffull-record%2FWOS:000399497100134","View Full Record in Web of Science")</f>
        <v>View Full Record in Web of Science</v>
      </c>
    </row>
    <row r="967" spans="1:72" x14ac:dyDescent="0.15">
      <c r="A967" t="s">
        <v>3136</v>
      </c>
      <c r="B967" t="s">
        <v>17909</v>
      </c>
      <c r="C967" t="s">
        <v>74</v>
      </c>
      <c r="D967" t="s">
        <v>17628</v>
      </c>
      <c r="E967" t="s">
        <v>74</v>
      </c>
      <c r="F967" t="s">
        <v>17910</v>
      </c>
      <c r="G967" t="s">
        <v>74</v>
      </c>
      <c r="H967" t="s">
        <v>74</v>
      </c>
      <c r="I967" t="s">
        <v>17911</v>
      </c>
      <c r="J967" t="s">
        <v>17631</v>
      </c>
      <c r="K967" t="s">
        <v>17632</v>
      </c>
      <c r="L967" t="s">
        <v>74</v>
      </c>
      <c r="M967" t="s">
        <v>78</v>
      </c>
      <c r="N967" t="s">
        <v>17520</v>
      </c>
      <c r="O967" t="s">
        <v>74</v>
      </c>
      <c r="P967" t="s">
        <v>74</v>
      </c>
      <c r="Q967" t="s">
        <v>74</v>
      </c>
      <c r="R967" t="s">
        <v>74</v>
      </c>
      <c r="S967" t="s">
        <v>74</v>
      </c>
      <c r="T967" t="s">
        <v>74</v>
      </c>
      <c r="U967" t="s">
        <v>17912</v>
      </c>
      <c r="V967" t="s">
        <v>74</v>
      </c>
      <c r="W967" t="s">
        <v>17913</v>
      </c>
      <c r="X967" t="s">
        <v>17914</v>
      </c>
      <c r="Y967" t="s">
        <v>17799</v>
      </c>
      <c r="Z967" t="s">
        <v>17800</v>
      </c>
      <c r="AA967" t="s">
        <v>74</v>
      </c>
      <c r="AB967" t="s">
        <v>17693</v>
      </c>
      <c r="AC967" t="s">
        <v>17640</v>
      </c>
      <c r="AD967" t="s">
        <v>17641</v>
      </c>
      <c r="AE967" t="s">
        <v>74</v>
      </c>
      <c r="AF967" t="s">
        <v>74</v>
      </c>
      <c r="AG967">
        <v>16</v>
      </c>
      <c r="AH967">
        <v>0</v>
      </c>
      <c r="AI967">
        <v>0</v>
      </c>
      <c r="AJ967">
        <v>0</v>
      </c>
      <c r="AK967">
        <v>0</v>
      </c>
      <c r="AL967" t="s">
        <v>17642</v>
      </c>
      <c r="AM967" t="s">
        <v>11433</v>
      </c>
      <c r="AN967" t="s">
        <v>17643</v>
      </c>
      <c r="AO967" t="s">
        <v>17644</v>
      </c>
      <c r="AP967" t="s">
        <v>74</v>
      </c>
      <c r="AQ967" t="s">
        <v>17645</v>
      </c>
      <c r="AR967" t="s">
        <v>17646</v>
      </c>
      <c r="AS967" t="s">
        <v>74</v>
      </c>
      <c r="AT967" t="s">
        <v>74</v>
      </c>
      <c r="AU967">
        <v>2016</v>
      </c>
      <c r="AV967">
        <v>46</v>
      </c>
      <c r="AW967" t="s">
        <v>74</v>
      </c>
      <c r="AX967" t="s">
        <v>74</v>
      </c>
      <c r="AY967" t="s">
        <v>74</v>
      </c>
      <c r="AZ967" t="s">
        <v>74</v>
      </c>
      <c r="BA967" t="s">
        <v>74</v>
      </c>
      <c r="BB967">
        <v>333</v>
      </c>
      <c r="BC967">
        <v>336</v>
      </c>
      <c r="BD967" t="s">
        <v>74</v>
      </c>
      <c r="BE967" t="s">
        <v>17915</v>
      </c>
      <c r="BF967" t="str">
        <f>HYPERLINK("http://dx.doi.org/10.1144/M46.170","http://dx.doi.org/10.1144/M46.170")</f>
        <v>http://dx.doi.org/10.1144/M46.170</v>
      </c>
      <c r="BG967" t="s">
        <v>74</v>
      </c>
      <c r="BH967" t="s">
        <v>74</v>
      </c>
      <c r="BI967">
        <v>4</v>
      </c>
      <c r="BJ967" t="s">
        <v>270</v>
      </c>
      <c r="BK967" t="s">
        <v>17648</v>
      </c>
      <c r="BL967" t="s">
        <v>270</v>
      </c>
      <c r="BM967" t="s">
        <v>17649</v>
      </c>
      <c r="BN967" t="s">
        <v>74</v>
      </c>
      <c r="BO967" t="s">
        <v>74</v>
      </c>
      <c r="BP967" t="s">
        <v>74</v>
      </c>
      <c r="BQ967" t="s">
        <v>74</v>
      </c>
      <c r="BR967" t="s">
        <v>106</v>
      </c>
      <c r="BS967" t="s">
        <v>17916</v>
      </c>
      <c r="BT967" t="str">
        <f>HYPERLINK("https%3A%2F%2Fwww.webofscience.com%2Fwos%2Fwoscc%2Ffull-record%2FWOS:000399497100135","View Full Record in Web of Science")</f>
        <v>View Full Record in Web of Science</v>
      </c>
    </row>
    <row r="968" spans="1:72" x14ac:dyDescent="0.15">
      <c r="A968" t="s">
        <v>3136</v>
      </c>
      <c r="B968" t="s">
        <v>17917</v>
      </c>
      <c r="C968" t="s">
        <v>74</v>
      </c>
      <c r="D968" t="s">
        <v>17628</v>
      </c>
      <c r="E968" t="s">
        <v>74</v>
      </c>
      <c r="F968" t="s">
        <v>17918</v>
      </c>
      <c r="G968" t="s">
        <v>74</v>
      </c>
      <c r="H968" t="s">
        <v>74</v>
      </c>
      <c r="I968" t="s">
        <v>17919</v>
      </c>
      <c r="J968" t="s">
        <v>17631</v>
      </c>
      <c r="K968" t="s">
        <v>17632</v>
      </c>
      <c r="L968" t="s">
        <v>74</v>
      </c>
      <c r="M968" t="s">
        <v>78</v>
      </c>
      <c r="N968" t="s">
        <v>17520</v>
      </c>
      <c r="O968" t="s">
        <v>74</v>
      </c>
      <c r="P968" t="s">
        <v>74</v>
      </c>
      <c r="Q968" t="s">
        <v>74</v>
      </c>
      <c r="R968" t="s">
        <v>74</v>
      </c>
      <c r="S968" t="s">
        <v>74</v>
      </c>
      <c r="T968" t="s">
        <v>74</v>
      </c>
      <c r="U968" t="s">
        <v>17920</v>
      </c>
      <c r="V968" t="s">
        <v>74</v>
      </c>
      <c r="W968" t="s">
        <v>17921</v>
      </c>
      <c r="X968" t="s">
        <v>17732</v>
      </c>
      <c r="Y968" t="s">
        <v>17922</v>
      </c>
      <c r="Z968" t="s">
        <v>17923</v>
      </c>
      <c r="AA968" t="s">
        <v>17787</v>
      </c>
      <c r="AB968" t="s">
        <v>74</v>
      </c>
      <c r="AC968" t="s">
        <v>74</v>
      </c>
      <c r="AD968" t="s">
        <v>74</v>
      </c>
      <c r="AE968" t="s">
        <v>74</v>
      </c>
      <c r="AF968" t="s">
        <v>74</v>
      </c>
      <c r="AG968">
        <v>15</v>
      </c>
      <c r="AH968">
        <v>2</v>
      </c>
      <c r="AI968">
        <v>2</v>
      </c>
      <c r="AJ968">
        <v>0</v>
      </c>
      <c r="AK968">
        <v>1</v>
      </c>
      <c r="AL968" t="s">
        <v>17642</v>
      </c>
      <c r="AM968" t="s">
        <v>11433</v>
      </c>
      <c r="AN968" t="s">
        <v>17643</v>
      </c>
      <c r="AO968" t="s">
        <v>17644</v>
      </c>
      <c r="AP968" t="s">
        <v>74</v>
      </c>
      <c r="AQ968" t="s">
        <v>17645</v>
      </c>
      <c r="AR968" t="s">
        <v>17646</v>
      </c>
      <c r="AS968" t="s">
        <v>74</v>
      </c>
      <c r="AT968" t="s">
        <v>74</v>
      </c>
      <c r="AU968">
        <v>2016</v>
      </c>
      <c r="AV968">
        <v>46</v>
      </c>
      <c r="AW968" t="s">
        <v>74</v>
      </c>
      <c r="AX968" t="s">
        <v>74</v>
      </c>
      <c r="AY968" t="s">
        <v>74</v>
      </c>
      <c r="AZ968" t="s">
        <v>74</v>
      </c>
      <c r="BA968" t="s">
        <v>74</v>
      </c>
      <c r="BB968">
        <v>341</v>
      </c>
      <c r="BC968">
        <v>344</v>
      </c>
      <c r="BD968" t="s">
        <v>74</v>
      </c>
      <c r="BE968" t="s">
        <v>17924</v>
      </c>
      <c r="BF968" t="str">
        <f>HYPERLINK("http://dx.doi.org/10.1144/M46.149","http://dx.doi.org/10.1144/M46.149")</f>
        <v>http://dx.doi.org/10.1144/M46.149</v>
      </c>
      <c r="BG968" t="s">
        <v>74</v>
      </c>
      <c r="BH968" t="s">
        <v>74</v>
      </c>
      <c r="BI968">
        <v>4</v>
      </c>
      <c r="BJ968" t="s">
        <v>270</v>
      </c>
      <c r="BK968" t="s">
        <v>17648</v>
      </c>
      <c r="BL968" t="s">
        <v>270</v>
      </c>
      <c r="BM968" t="s">
        <v>17649</v>
      </c>
      <c r="BN968" t="s">
        <v>74</v>
      </c>
      <c r="BO968" t="s">
        <v>74</v>
      </c>
      <c r="BP968" t="s">
        <v>74</v>
      </c>
      <c r="BQ968" t="s">
        <v>74</v>
      </c>
      <c r="BR968" t="s">
        <v>106</v>
      </c>
      <c r="BS968" t="s">
        <v>17925</v>
      </c>
      <c r="BT968" t="str">
        <f>HYPERLINK("https%3A%2F%2Fwww.webofscience.com%2Fwos%2Fwoscc%2Ffull-record%2FWOS:000399497100137","View Full Record in Web of Science")</f>
        <v>View Full Record in Web of Science</v>
      </c>
    </row>
    <row r="969" spans="1:72" x14ac:dyDescent="0.15">
      <c r="A969" t="s">
        <v>3136</v>
      </c>
      <c r="B969" t="s">
        <v>17926</v>
      </c>
      <c r="C969" t="s">
        <v>74</v>
      </c>
      <c r="D969" t="s">
        <v>17628</v>
      </c>
      <c r="E969" t="s">
        <v>74</v>
      </c>
      <c r="F969" t="s">
        <v>17927</v>
      </c>
      <c r="G969" t="s">
        <v>74</v>
      </c>
      <c r="H969" t="s">
        <v>74</v>
      </c>
      <c r="I969" t="s">
        <v>17928</v>
      </c>
      <c r="J969" t="s">
        <v>17631</v>
      </c>
      <c r="K969" t="s">
        <v>17632</v>
      </c>
      <c r="L969" t="s">
        <v>74</v>
      </c>
      <c r="M969" t="s">
        <v>78</v>
      </c>
      <c r="N969" t="s">
        <v>17520</v>
      </c>
      <c r="O969" t="s">
        <v>74</v>
      </c>
      <c r="P969" t="s">
        <v>74</v>
      </c>
      <c r="Q969" t="s">
        <v>74</v>
      </c>
      <c r="R969" t="s">
        <v>74</v>
      </c>
      <c r="S969" t="s">
        <v>74</v>
      </c>
      <c r="T969" t="s">
        <v>74</v>
      </c>
      <c r="U969" t="s">
        <v>17929</v>
      </c>
      <c r="V969" t="s">
        <v>74</v>
      </c>
      <c r="W969" t="s">
        <v>17930</v>
      </c>
      <c r="X969" t="s">
        <v>17931</v>
      </c>
      <c r="Y969" t="s">
        <v>17684</v>
      </c>
      <c r="Z969" t="s">
        <v>17685</v>
      </c>
      <c r="AA969" t="s">
        <v>17777</v>
      </c>
      <c r="AB969" t="s">
        <v>17778</v>
      </c>
      <c r="AC969" t="s">
        <v>17640</v>
      </c>
      <c r="AD969" t="s">
        <v>17641</v>
      </c>
      <c r="AE969" t="s">
        <v>74</v>
      </c>
      <c r="AF969" t="s">
        <v>74</v>
      </c>
      <c r="AG969">
        <v>11</v>
      </c>
      <c r="AH969">
        <v>5</v>
      </c>
      <c r="AI969">
        <v>6</v>
      </c>
      <c r="AJ969">
        <v>0</v>
      </c>
      <c r="AK969">
        <v>0</v>
      </c>
      <c r="AL969" t="s">
        <v>17642</v>
      </c>
      <c r="AM969" t="s">
        <v>11433</v>
      </c>
      <c r="AN969" t="s">
        <v>17643</v>
      </c>
      <c r="AO969" t="s">
        <v>17644</v>
      </c>
      <c r="AP969" t="s">
        <v>74</v>
      </c>
      <c r="AQ969" t="s">
        <v>17645</v>
      </c>
      <c r="AR969" t="s">
        <v>17646</v>
      </c>
      <c r="AS969" t="s">
        <v>74</v>
      </c>
      <c r="AT969" t="s">
        <v>74</v>
      </c>
      <c r="AU969">
        <v>2016</v>
      </c>
      <c r="AV969">
        <v>46</v>
      </c>
      <c r="AW969" t="s">
        <v>74</v>
      </c>
      <c r="AX969" t="s">
        <v>74</v>
      </c>
      <c r="AY969" t="s">
        <v>74</v>
      </c>
      <c r="AZ969" t="s">
        <v>74</v>
      </c>
      <c r="BA969" t="s">
        <v>74</v>
      </c>
      <c r="BB969">
        <v>345</v>
      </c>
      <c r="BC969">
        <v>348</v>
      </c>
      <c r="BD969" t="s">
        <v>74</v>
      </c>
      <c r="BE969" t="s">
        <v>17932</v>
      </c>
      <c r="BF969" t="str">
        <f>HYPERLINK("http://dx.doi.org/10.1144/M46.176","http://dx.doi.org/10.1144/M46.176")</f>
        <v>http://dx.doi.org/10.1144/M46.176</v>
      </c>
      <c r="BG969" t="s">
        <v>74</v>
      </c>
      <c r="BH969" t="s">
        <v>74</v>
      </c>
      <c r="BI969">
        <v>4</v>
      </c>
      <c r="BJ969" t="s">
        <v>270</v>
      </c>
      <c r="BK969" t="s">
        <v>17648</v>
      </c>
      <c r="BL969" t="s">
        <v>270</v>
      </c>
      <c r="BM969" t="s">
        <v>17649</v>
      </c>
      <c r="BN969" t="s">
        <v>74</v>
      </c>
      <c r="BO969" t="s">
        <v>1143</v>
      </c>
      <c r="BP969" t="s">
        <v>74</v>
      </c>
      <c r="BQ969" t="s">
        <v>74</v>
      </c>
      <c r="BR969" t="s">
        <v>106</v>
      </c>
      <c r="BS969" t="s">
        <v>17933</v>
      </c>
      <c r="BT969" t="str">
        <f>HYPERLINK("https%3A%2F%2Fwww.webofscience.com%2Fwos%2Fwoscc%2Ffull-record%2FWOS:000399497100138","View Full Record in Web of Science")</f>
        <v>View Full Record in Web of Science</v>
      </c>
    </row>
    <row r="970" spans="1:72" x14ac:dyDescent="0.15">
      <c r="A970" t="s">
        <v>3136</v>
      </c>
      <c r="B970" t="s">
        <v>17934</v>
      </c>
      <c r="C970" t="s">
        <v>74</v>
      </c>
      <c r="D970" t="s">
        <v>17628</v>
      </c>
      <c r="E970" t="s">
        <v>74</v>
      </c>
      <c r="F970" t="s">
        <v>17935</v>
      </c>
      <c r="G970" t="s">
        <v>74</v>
      </c>
      <c r="H970" t="s">
        <v>74</v>
      </c>
      <c r="I970" t="s">
        <v>17936</v>
      </c>
      <c r="J970" t="s">
        <v>17631</v>
      </c>
      <c r="K970" t="s">
        <v>17632</v>
      </c>
      <c r="L970" t="s">
        <v>74</v>
      </c>
      <c r="M970" t="s">
        <v>78</v>
      </c>
      <c r="N970" t="s">
        <v>17520</v>
      </c>
      <c r="O970" t="s">
        <v>74</v>
      </c>
      <c r="P970" t="s">
        <v>74</v>
      </c>
      <c r="Q970" t="s">
        <v>74</v>
      </c>
      <c r="R970" t="s">
        <v>74</v>
      </c>
      <c r="S970" t="s">
        <v>74</v>
      </c>
      <c r="T970" t="s">
        <v>74</v>
      </c>
      <c r="U970" t="s">
        <v>17937</v>
      </c>
      <c r="V970" t="s">
        <v>74</v>
      </c>
      <c r="W970" t="s">
        <v>17938</v>
      </c>
      <c r="X970" t="s">
        <v>17939</v>
      </c>
      <c r="Y970" t="s">
        <v>17940</v>
      </c>
      <c r="Z970" t="s">
        <v>17941</v>
      </c>
      <c r="AA970" t="s">
        <v>74</v>
      </c>
      <c r="AB970" t="s">
        <v>17942</v>
      </c>
      <c r="AC970" t="s">
        <v>17640</v>
      </c>
      <c r="AD970" t="s">
        <v>17641</v>
      </c>
      <c r="AE970" t="s">
        <v>74</v>
      </c>
      <c r="AF970" t="s">
        <v>74</v>
      </c>
      <c r="AG970">
        <v>18</v>
      </c>
      <c r="AH970">
        <v>10</v>
      </c>
      <c r="AI970">
        <v>11</v>
      </c>
      <c r="AJ970">
        <v>0</v>
      </c>
      <c r="AK970">
        <v>0</v>
      </c>
      <c r="AL970" t="s">
        <v>17642</v>
      </c>
      <c r="AM970" t="s">
        <v>11433</v>
      </c>
      <c r="AN970" t="s">
        <v>17643</v>
      </c>
      <c r="AO970" t="s">
        <v>17644</v>
      </c>
      <c r="AP970" t="s">
        <v>74</v>
      </c>
      <c r="AQ970" t="s">
        <v>17645</v>
      </c>
      <c r="AR970" t="s">
        <v>17646</v>
      </c>
      <c r="AS970" t="s">
        <v>74</v>
      </c>
      <c r="AT970" t="s">
        <v>74</v>
      </c>
      <c r="AU970">
        <v>2016</v>
      </c>
      <c r="AV970">
        <v>46</v>
      </c>
      <c r="AW970" t="s">
        <v>74</v>
      </c>
      <c r="AX970" t="s">
        <v>74</v>
      </c>
      <c r="AY970" t="s">
        <v>74</v>
      </c>
      <c r="AZ970" t="s">
        <v>74</v>
      </c>
      <c r="BA970" t="s">
        <v>74</v>
      </c>
      <c r="BB970">
        <v>349</v>
      </c>
      <c r="BC970">
        <v>352</v>
      </c>
      <c r="BD970" t="s">
        <v>74</v>
      </c>
      <c r="BE970" t="s">
        <v>17943</v>
      </c>
      <c r="BF970" t="str">
        <f>HYPERLINK("http://dx.doi.org/10.1144/M46.147","http://dx.doi.org/10.1144/M46.147")</f>
        <v>http://dx.doi.org/10.1144/M46.147</v>
      </c>
      <c r="BG970" t="s">
        <v>74</v>
      </c>
      <c r="BH970" t="s">
        <v>74</v>
      </c>
      <c r="BI970">
        <v>4</v>
      </c>
      <c r="BJ970" t="s">
        <v>270</v>
      </c>
      <c r="BK970" t="s">
        <v>17648</v>
      </c>
      <c r="BL970" t="s">
        <v>270</v>
      </c>
      <c r="BM970" t="s">
        <v>17649</v>
      </c>
      <c r="BN970" t="s">
        <v>74</v>
      </c>
      <c r="BO970" t="s">
        <v>74</v>
      </c>
      <c r="BP970" t="s">
        <v>74</v>
      </c>
      <c r="BQ970" t="s">
        <v>74</v>
      </c>
      <c r="BR970" t="s">
        <v>106</v>
      </c>
      <c r="BS970" t="s">
        <v>17944</v>
      </c>
      <c r="BT970" t="str">
        <f>HYPERLINK("https%3A%2F%2Fwww.webofscience.com%2Fwos%2Fwoscc%2Ffull-record%2FWOS:000399497100139","View Full Record in Web of Science")</f>
        <v>View Full Record in Web of Science</v>
      </c>
    </row>
    <row r="971" spans="1:72" x14ac:dyDescent="0.15">
      <c r="A971" t="s">
        <v>3136</v>
      </c>
      <c r="B971" t="s">
        <v>17945</v>
      </c>
      <c r="C971" t="s">
        <v>74</v>
      </c>
      <c r="D971" t="s">
        <v>17628</v>
      </c>
      <c r="E971" t="s">
        <v>74</v>
      </c>
      <c r="F971" t="s">
        <v>17946</v>
      </c>
      <c r="G971" t="s">
        <v>74</v>
      </c>
      <c r="H971" t="s">
        <v>74</v>
      </c>
      <c r="I971" t="s">
        <v>17947</v>
      </c>
      <c r="J971" t="s">
        <v>17631</v>
      </c>
      <c r="K971" t="s">
        <v>17632</v>
      </c>
      <c r="L971" t="s">
        <v>74</v>
      </c>
      <c r="M971" t="s">
        <v>78</v>
      </c>
      <c r="N971" t="s">
        <v>17520</v>
      </c>
      <c r="O971" t="s">
        <v>74</v>
      </c>
      <c r="P971" t="s">
        <v>74</v>
      </c>
      <c r="Q971" t="s">
        <v>74</v>
      </c>
      <c r="R971" t="s">
        <v>74</v>
      </c>
      <c r="S971" t="s">
        <v>74</v>
      </c>
      <c r="T971" t="s">
        <v>74</v>
      </c>
      <c r="U971" t="s">
        <v>17948</v>
      </c>
      <c r="V971" t="s">
        <v>74</v>
      </c>
      <c r="W971" t="s">
        <v>17949</v>
      </c>
      <c r="X971" t="s">
        <v>17950</v>
      </c>
      <c r="Y971" t="s">
        <v>17880</v>
      </c>
      <c r="Z971" t="s">
        <v>17881</v>
      </c>
      <c r="AA971" t="s">
        <v>74</v>
      </c>
      <c r="AB971" t="s">
        <v>17951</v>
      </c>
      <c r="AC971" t="s">
        <v>17640</v>
      </c>
      <c r="AD971" t="s">
        <v>17641</v>
      </c>
      <c r="AE971" t="s">
        <v>74</v>
      </c>
      <c r="AF971" t="s">
        <v>74</v>
      </c>
      <c r="AG971">
        <v>8</v>
      </c>
      <c r="AH971">
        <v>3</v>
      </c>
      <c r="AI971">
        <v>3</v>
      </c>
      <c r="AJ971">
        <v>0</v>
      </c>
      <c r="AK971">
        <v>0</v>
      </c>
      <c r="AL971" t="s">
        <v>17642</v>
      </c>
      <c r="AM971" t="s">
        <v>11433</v>
      </c>
      <c r="AN971" t="s">
        <v>17643</v>
      </c>
      <c r="AO971" t="s">
        <v>17644</v>
      </c>
      <c r="AP971" t="s">
        <v>74</v>
      </c>
      <c r="AQ971" t="s">
        <v>17645</v>
      </c>
      <c r="AR971" t="s">
        <v>17646</v>
      </c>
      <c r="AS971" t="s">
        <v>74</v>
      </c>
      <c r="AT971" t="s">
        <v>74</v>
      </c>
      <c r="AU971">
        <v>2016</v>
      </c>
      <c r="AV971">
        <v>46</v>
      </c>
      <c r="AW971" t="s">
        <v>74</v>
      </c>
      <c r="AX971" t="s">
        <v>74</v>
      </c>
      <c r="AY971" t="s">
        <v>74</v>
      </c>
      <c r="AZ971" t="s">
        <v>74</v>
      </c>
      <c r="BA971" t="s">
        <v>74</v>
      </c>
      <c r="BB971">
        <v>377</v>
      </c>
      <c r="BC971">
        <v>378</v>
      </c>
      <c r="BD971" t="s">
        <v>74</v>
      </c>
      <c r="BE971" t="s">
        <v>17952</v>
      </c>
      <c r="BF971" t="str">
        <f>HYPERLINK("http://dx.doi.org/10.1144/M46.82","http://dx.doi.org/10.1144/M46.82")</f>
        <v>http://dx.doi.org/10.1144/M46.82</v>
      </c>
      <c r="BG971" t="s">
        <v>74</v>
      </c>
      <c r="BH971" t="s">
        <v>74</v>
      </c>
      <c r="BI971">
        <v>2</v>
      </c>
      <c r="BJ971" t="s">
        <v>270</v>
      </c>
      <c r="BK971" t="s">
        <v>17648</v>
      </c>
      <c r="BL971" t="s">
        <v>270</v>
      </c>
      <c r="BM971" t="s">
        <v>17649</v>
      </c>
      <c r="BN971" t="s">
        <v>74</v>
      </c>
      <c r="BO971" t="s">
        <v>74</v>
      </c>
      <c r="BP971" t="s">
        <v>74</v>
      </c>
      <c r="BQ971" t="s">
        <v>74</v>
      </c>
      <c r="BR971" t="s">
        <v>106</v>
      </c>
      <c r="BS971" t="s">
        <v>17953</v>
      </c>
      <c r="BT971" t="str">
        <f>HYPERLINK("https%3A%2F%2Fwww.webofscience.com%2Fwos%2Fwoscc%2Ffull-record%2FWOS:000399497100150","View Full Record in Web of Science")</f>
        <v>View Full Record in Web of Science</v>
      </c>
    </row>
    <row r="972" spans="1:72" x14ac:dyDescent="0.15">
      <c r="A972" t="s">
        <v>3136</v>
      </c>
      <c r="B972" t="s">
        <v>17874</v>
      </c>
      <c r="C972" t="s">
        <v>74</v>
      </c>
      <c r="D972" t="s">
        <v>17628</v>
      </c>
      <c r="E972" t="s">
        <v>74</v>
      </c>
      <c r="F972" t="s">
        <v>17875</v>
      </c>
      <c r="G972" t="s">
        <v>74</v>
      </c>
      <c r="H972" t="s">
        <v>74</v>
      </c>
      <c r="I972" t="s">
        <v>17954</v>
      </c>
      <c r="J972" t="s">
        <v>17631</v>
      </c>
      <c r="K972" t="s">
        <v>17632</v>
      </c>
      <c r="L972" t="s">
        <v>74</v>
      </c>
      <c r="M972" t="s">
        <v>78</v>
      </c>
      <c r="N972" t="s">
        <v>17520</v>
      </c>
      <c r="O972" t="s">
        <v>74</v>
      </c>
      <c r="P972" t="s">
        <v>74</v>
      </c>
      <c r="Q972" t="s">
        <v>74</v>
      </c>
      <c r="R972" t="s">
        <v>74</v>
      </c>
      <c r="S972" t="s">
        <v>74</v>
      </c>
      <c r="T972" t="s">
        <v>74</v>
      </c>
      <c r="U972" t="s">
        <v>17955</v>
      </c>
      <c r="V972" t="s">
        <v>74</v>
      </c>
      <c r="W972" t="s">
        <v>17956</v>
      </c>
      <c r="X972" t="s">
        <v>17879</v>
      </c>
      <c r="Y972" t="s">
        <v>17880</v>
      </c>
      <c r="Z972" t="s">
        <v>17881</v>
      </c>
      <c r="AA972" t="s">
        <v>74</v>
      </c>
      <c r="AB972" t="s">
        <v>17882</v>
      </c>
      <c r="AC972" t="s">
        <v>17640</v>
      </c>
      <c r="AD972" t="s">
        <v>17641</v>
      </c>
      <c r="AE972" t="s">
        <v>74</v>
      </c>
      <c r="AF972" t="s">
        <v>74</v>
      </c>
      <c r="AG972">
        <v>6</v>
      </c>
      <c r="AH972">
        <v>2</v>
      </c>
      <c r="AI972">
        <v>2</v>
      </c>
      <c r="AJ972">
        <v>0</v>
      </c>
      <c r="AK972">
        <v>0</v>
      </c>
      <c r="AL972" t="s">
        <v>17642</v>
      </c>
      <c r="AM972" t="s">
        <v>11433</v>
      </c>
      <c r="AN972" t="s">
        <v>17643</v>
      </c>
      <c r="AO972" t="s">
        <v>17644</v>
      </c>
      <c r="AP972" t="s">
        <v>74</v>
      </c>
      <c r="AQ972" t="s">
        <v>17645</v>
      </c>
      <c r="AR972" t="s">
        <v>17646</v>
      </c>
      <c r="AS972" t="s">
        <v>74</v>
      </c>
      <c r="AT972" t="s">
        <v>74</v>
      </c>
      <c r="AU972">
        <v>2016</v>
      </c>
      <c r="AV972">
        <v>46</v>
      </c>
      <c r="AW972" t="s">
        <v>74</v>
      </c>
      <c r="AX972" t="s">
        <v>74</v>
      </c>
      <c r="AY972" t="s">
        <v>74</v>
      </c>
      <c r="AZ972" t="s">
        <v>74</v>
      </c>
      <c r="BA972" t="s">
        <v>74</v>
      </c>
      <c r="BB972">
        <v>383</v>
      </c>
      <c r="BC972">
        <v>384</v>
      </c>
      <c r="BD972" t="s">
        <v>74</v>
      </c>
      <c r="BE972" t="s">
        <v>17957</v>
      </c>
      <c r="BF972" t="str">
        <f>HYPERLINK("http://dx.doi.org/10.1144/M46.12","http://dx.doi.org/10.1144/M46.12")</f>
        <v>http://dx.doi.org/10.1144/M46.12</v>
      </c>
      <c r="BG972" t="s">
        <v>74</v>
      </c>
      <c r="BH972" t="s">
        <v>74</v>
      </c>
      <c r="BI972">
        <v>2</v>
      </c>
      <c r="BJ972" t="s">
        <v>270</v>
      </c>
      <c r="BK972" t="s">
        <v>17648</v>
      </c>
      <c r="BL972" t="s">
        <v>270</v>
      </c>
      <c r="BM972" t="s">
        <v>17649</v>
      </c>
      <c r="BN972" t="s">
        <v>74</v>
      </c>
      <c r="BO972" t="s">
        <v>74</v>
      </c>
      <c r="BP972" t="s">
        <v>74</v>
      </c>
      <c r="BQ972" t="s">
        <v>74</v>
      </c>
      <c r="BR972" t="s">
        <v>106</v>
      </c>
      <c r="BS972" t="s">
        <v>17958</v>
      </c>
      <c r="BT972" t="str">
        <f>HYPERLINK("https%3A%2F%2Fwww.webofscience.com%2Fwos%2Fwoscc%2Ffull-record%2FWOS:000399497100153","View Full Record in Web of Science")</f>
        <v>View Full Record in Web of Science</v>
      </c>
    </row>
    <row r="973" spans="1:72" x14ac:dyDescent="0.15">
      <c r="A973" t="s">
        <v>3136</v>
      </c>
      <c r="B973" t="s">
        <v>17917</v>
      </c>
      <c r="C973" t="s">
        <v>74</v>
      </c>
      <c r="D973" t="s">
        <v>17628</v>
      </c>
      <c r="E973" t="s">
        <v>74</v>
      </c>
      <c r="F973" t="s">
        <v>17918</v>
      </c>
      <c r="G973" t="s">
        <v>74</v>
      </c>
      <c r="H973" t="s">
        <v>74</v>
      </c>
      <c r="I973" t="s">
        <v>17959</v>
      </c>
      <c r="J973" t="s">
        <v>17631</v>
      </c>
      <c r="K973" t="s">
        <v>17632</v>
      </c>
      <c r="L973" t="s">
        <v>74</v>
      </c>
      <c r="M973" t="s">
        <v>78</v>
      </c>
      <c r="N973" t="s">
        <v>17520</v>
      </c>
      <c r="O973" t="s">
        <v>74</v>
      </c>
      <c r="P973" t="s">
        <v>74</v>
      </c>
      <c r="Q973" t="s">
        <v>74</v>
      </c>
      <c r="R973" t="s">
        <v>74</v>
      </c>
      <c r="S973" t="s">
        <v>74</v>
      </c>
      <c r="T973" t="s">
        <v>74</v>
      </c>
      <c r="U973" t="s">
        <v>17960</v>
      </c>
      <c r="V973" t="s">
        <v>74</v>
      </c>
      <c r="W973" t="s">
        <v>17921</v>
      </c>
      <c r="X973" t="s">
        <v>17732</v>
      </c>
      <c r="Y973" t="s">
        <v>17922</v>
      </c>
      <c r="Z973" t="s">
        <v>17923</v>
      </c>
      <c r="AA973" t="s">
        <v>17787</v>
      </c>
      <c r="AB973" t="s">
        <v>74</v>
      </c>
      <c r="AC973" t="s">
        <v>74</v>
      </c>
      <c r="AD973" t="s">
        <v>74</v>
      </c>
      <c r="AE973" t="s">
        <v>74</v>
      </c>
      <c r="AF973" t="s">
        <v>74</v>
      </c>
      <c r="AG973">
        <v>10</v>
      </c>
      <c r="AH973">
        <v>11</v>
      </c>
      <c r="AI973">
        <v>11</v>
      </c>
      <c r="AJ973">
        <v>0</v>
      </c>
      <c r="AK973">
        <v>1</v>
      </c>
      <c r="AL973" t="s">
        <v>17642</v>
      </c>
      <c r="AM973" t="s">
        <v>11433</v>
      </c>
      <c r="AN973" t="s">
        <v>17643</v>
      </c>
      <c r="AO973" t="s">
        <v>17644</v>
      </c>
      <c r="AP973" t="s">
        <v>74</v>
      </c>
      <c r="AQ973" t="s">
        <v>17645</v>
      </c>
      <c r="AR973" t="s">
        <v>17646</v>
      </c>
      <c r="AS973" t="s">
        <v>74</v>
      </c>
      <c r="AT973" t="s">
        <v>74</v>
      </c>
      <c r="AU973">
        <v>2016</v>
      </c>
      <c r="AV973">
        <v>46</v>
      </c>
      <c r="AW973" t="s">
        <v>74</v>
      </c>
      <c r="AX973" t="s">
        <v>74</v>
      </c>
      <c r="AY973" t="s">
        <v>74</v>
      </c>
      <c r="AZ973" t="s">
        <v>74</v>
      </c>
      <c r="BA973" t="s">
        <v>74</v>
      </c>
      <c r="BB973">
        <v>393</v>
      </c>
      <c r="BC973">
        <v>394</v>
      </c>
      <c r="BD973" t="s">
        <v>74</v>
      </c>
      <c r="BE973" t="s">
        <v>17961</v>
      </c>
      <c r="BF973" t="str">
        <f>HYPERLINK("http://dx.doi.org/10.1144/M46.17","http://dx.doi.org/10.1144/M46.17")</f>
        <v>http://dx.doi.org/10.1144/M46.17</v>
      </c>
      <c r="BG973" t="s">
        <v>74</v>
      </c>
      <c r="BH973" t="s">
        <v>74</v>
      </c>
      <c r="BI973">
        <v>2</v>
      </c>
      <c r="BJ973" t="s">
        <v>270</v>
      </c>
      <c r="BK973" t="s">
        <v>17648</v>
      </c>
      <c r="BL973" t="s">
        <v>270</v>
      </c>
      <c r="BM973" t="s">
        <v>17649</v>
      </c>
      <c r="BN973" t="s">
        <v>74</v>
      </c>
      <c r="BO973" t="s">
        <v>74</v>
      </c>
      <c r="BP973" t="s">
        <v>74</v>
      </c>
      <c r="BQ973" t="s">
        <v>74</v>
      </c>
      <c r="BR973" t="s">
        <v>106</v>
      </c>
      <c r="BS973" t="s">
        <v>17962</v>
      </c>
      <c r="BT973" t="str">
        <f>HYPERLINK("https%3A%2F%2Fwww.webofscience.com%2Fwos%2Fwoscc%2Ffull-record%2FWOS:000399497100158","View Full Record in Web of Science")</f>
        <v>View Full Record in Web of Science</v>
      </c>
    </row>
    <row r="974" spans="1:72" x14ac:dyDescent="0.15">
      <c r="A974" t="s">
        <v>3136</v>
      </c>
      <c r="B974" t="s">
        <v>17963</v>
      </c>
      <c r="C974" t="s">
        <v>74</v>
      </c>
      <c r="D974" t="s">
        <v>17628</v>
      </c>
      <c r="E974" t="s">
        <v>74</v>
      </c>
      <c r="F974" t="s">
        <v>17964</v>
      </c>
      <c r="G974" t="s">
        <v>74</v>
      </c>
      <c r="H974" t="s">
        <v>74</v>
      </c>
      <c r="I974" t="s">
        <v>17965</v>
      </c>
      <c r="J974" t="s">
        <v>17631</v>
      </c>
      <c r="K974" t="s">
        <v>17632</v>
      </c>
      <c r="L974" t="s">
        <v>74</v>
      </c>
      <c r="M974" t="s">
        <v>78</v>
      </c>
      <c r="N974" t="s">
        <v>17520</v>
      </c>
      <c r="O974" t="s">
        <v>74</v>
      </c>
      <c r="P974" t="s">
        <v>74</v>
      </c>
      <c r="Q974" t="s">
        <v>74</v>
      </c>
      <c r="R974" t="s">
        <v>74</v>
      </c>
      <c r="S974" t="s">
        <v>74</v>
      </c>
      <c r="T974" t="s">
        <v>74</v>
      </c>
      <c r="U974" t="s">
        <v>74</v>
      </c>
      <c r="V974" t="s">
        <v>74</v>
      </c>
      <c r="W974" t="s">
        <v>17966</v>
      </c>
      <c r="X974" t="s">
        <v>17967</v>
      </c>
      <c r="Y974" t="s">
        <v>17968</v>
      </c>
      <c r="Z974" t="s">
        <v>17969</v>
      </c>
      <c r="AA974" t="s">
        <v>17970</v>
      </c>
      <c r="AB974" t="s">
        <v>17971</v>
      </c>
      <c r="AC974" t="s">
        <v>74</v>
      </c>
      <c r="AD974" t="s">
        <v>74</v>
      </c>
      <c r="AE974" t="s">
        <v>74</v>
      </c>
      <c r="AF974" t="s">
        <v>74</v>
      </c>
      <c r="AG974">
        <v>6</v>
      </c>
      <c r="AH974">
        <v>1</v>
      </c>
      <c r="AI974">
        <v>1</v>
      </c>
      <c r="AJ974">
        <v>0</v>
      </c>
      <c r="AK974">
        <v>0</v>
      </c>
      <c r="AL974" t="s">
        <v>17642</v>
      </c>
      <c r="AM974" t="s">
        <v>11433</v>
      </c>
      <c r="AN974" t="s">
        <v>17643</v>
      </c>
      <c r="AO974" t="s">
        <v>17644</v>
      </c>
      <c r="AP974" t="s">
        <v>74</v>
      </c>
      <c r="AQ974" t="s">
        <v>17645</v>
      </c>
      <c r="AR974" t="s">
        <v>17646</v>
      </c>
      <c r="AS974" t="s">
        <v>74</v>
      </c>
      <c r="AT974" t="s">
        <v>74</v>
      </c>
      <c r="AU974">
        <v>2016</v>
      </c>
      <c r="AV974">
        <v>46</v>
      </c>
      <c r="AW974" t="s">
        <v>74</v>
      </c>
      <c r="AX974" t="s">
        <v>74</v>
      </c>
      <c r="AY974" t="s">
        <v>74</v>
      </c>
      <c r="AZ974" t="s">
        <v>74</v>
      </c>
      <c r="BA974" t="s">
        <v>74</v>
      </c>
      <c r="BB974">
        <v>399</v>
      </c>
      <c r="BC974">
        <v>400</v>
      </c>
      <c r="BD974" t="s">
        <v>74</v>
      </c>
      <c r="BE974" t="s">
        <v>17972</v>
      </c>
      <c r="BF974" t="str">
        <f>HYPERLINK("http://dx.doi.org/10.1144/M46.49","http://dx.doi.org/10.1144/M46.49")</f>
        <v>http://dx.doi.org/10.1144/M46.49</v>
      </c>
      <c r="BG974" t="s">
        <v>74</v>
      </c>
      <c r="BH974" t="s">
        <v>74</v>
      </c>
      <c r="BI974">
        <v>2</v>
      </c>
      <c r="BJ974" t="s">
        <v>270</v>
      </c>
      <c r="BK974" t="s">
        <v>17648</v>
      </c>
      <c r="BL974" t="s">
        <v>270</v>
      </c>
      <c r="BM974" t="s">
        <v>17649</v>
      </c>
      <c r="BN974" t="s">
        <v>74</v>
      </c>
      <c r="BO974" t="s">
        <v>74</v>
      </c>
      <c r="BP974" t="s">
        <v>74</v>
      </c>
      <c r="BQ974" t="s">
        <v>74</v>
      </c>
      <c r="BR974" t="s">
        <v>106</v>
      </c>
      <c r="BS974" t="s">
        <v>17973</v>
      </c>
      <c r="BT974" t="str">
        <f>HYPERLINK("https%3A%2F%2Fwww.webofscience.com%2Fwos%2Fwoscc%2Ffull-record%2FWOS:000399497100161","View Full Record in Web of Science")</f>
        <v>View Full Record in Web of Science</v>
      </c>
    </row>
    <row r="975" spans="1:72" x14ac:dyDescent="0.15">
      <c r="A975" t="s">
        <v>3136</v>
      </c>
      <c r="B975" t="s">
        <v>17974</v>
      </c>
      <c r="C975" t="s">
        <v>74</v>
      </c>
      <c r="D975" t="s">
        <v>17628</v>
      </c>
      <c r="E975" t="s">
        <v>74</v>
      </c>
      <c r="F975" t="s">
        <v>17975</v>
      </c>
      <c r="G975" t="s">
        <v>74</v>
      </c>
      <c r="H975" t="s">
        <v>74</v>
      </c>
      <c r="I975" t="s">
        <v>17976</v>
      </c>
      <c r="J975" t="s">
        <v>17631</v>
      </c>
      <c r="K975" t="s">
        <v>17632</v>
      </c>
      <c r="L975" t="s">
        <v>74</v>
      </c>
      <c r="M975" t="s">
        <v>78</v>
      </c>
      <c r="N975" t="s">
        <v>17520</v>
      </c>
      <c r="O975" t="s">
        <v>74</v>
      </c>
      <c r="P975" t="s">
        <v>74</v>
      </c>
      <c r="Q975" t="s">
        <v>74</v>
      </c>
      <c r="R975" t="s">
        <v>74</v>
      </c>
      <c r="S975" t="s">
        <v>74</v>
      </c>
      <c r="T975" t="s">
        <v>74</v>
      </c>
      <c r="U975" t="s">
        <v>17977</v>
      </c>
      <c r="V975" t="s">
        <v>74</v>
      </c>
      <c r="W975" t="s">
        <v>17978</v>
      </c>
      <c r="X975" t="s">
        <v>3981</v>
      </c>
      <c r="Y975" t="s">
        <v>17979</v>
      </c>
      <c r="Z975" t="s">
        <v>17980</v>
      </c>
      <c r="AA975" t="s">
        <v>74</v>
      </c>
      <c r="AB975" t="s">
        <v>17639</v>
      </c>
      <c r="AC975" t="s">
        <v>17981</v>
      </c>
      <c r="AD975" t="s">
        <v>17641</v>
      </c>
      <c r="AE975" t="s">
        <v>74</v>
      </c>
      <c r="AF975" t="s">
        <v>74</v>
      </c>
      <c r="AG975">
        <v>6</v>
      </c>
      <c r="AH975">
        <v>4</v>
      </c>
      <c r="AI975">
        <v>4</v>
      </c>
      <c r="AJ975">
        <v>0</v>
      </c>
      <c r="AK975">
        <v>0</v>
      </c>
      <c r="AL975" t="s">
        <v>17642</v>
      </c>
      <c r="AM975" t="s">
        <v>11433</v>
      </c>
      <c r="AN975" t="s">
        <v>17643</v>
      </c>
      <c r="AO975" t="s">
        <v>17644</v>
      </c>
      <c r="AP975" t="s">
        <v>74</v>
      </c>
      <c r="AQ975" t="s">
        <v>17645</v>
      </c>
      <c r="AR975" t="s">
        <v>17646</v>
      </c>
      <c r="AS975" t="s">
        <v>74</v>
      </c>
      <c r="AT975" t="s">
        <v>74</v>
      </c>
      <c r="AU975">
        <v>2016</v>
      </c>
      <c r="AV975">
        <v>46</v>
      </c>
      <c r="AW975" t="s">
        <v>74</v>
      </c>
      <c r="AX975" t="s">
        <v>74</v>
      </c>
      <c r="AY975" t="s">
        <v>74</v>
      </c>
      <c r="AZ975" t="s">
        <v>74</v>
      </c>
      <c r="BA975" t="s">
        <v>74</v>
      </c>
      <c r="BB975">
        <v>401</v>
      </c>
      <c r="BC975">
        <v>402</v>
      </c>
      <c r="BD975" t="s">
        <v>74</v>
      </c>
      <c r="BE975" t="s">
        <v>17982</v>
      </c>
      <c r="BF975" t="str">
        <f>HYPERLINK("http://dx.doi.org/10.1144/M46.132","http://dx.doi.org/10.1144/M46.132")</f>
        <v>http://dx.doi.org/10.1144/M46.132</v>
      </c>
      <c r="BG975" t="s">
        <v>74</v>
      </c>
      <c r="BH975" t="s">
        <v>74</v>
      </c>
      <c r="BI975">
        <v>2</v>
      </c>
      <c r="BJ975" t="s">
        <v>270</v>
      </c>
      <c r="BK975" t="s">
        <v>17648</v>
      </c>
      <c r="BL975" t="s">
        <v>270</v>
      </c>
      <c r="BM975" t="s">
        <v>17649</v>
      </c>
      <c r="BN975" t="s">
        <v>74</v>
      </c>
      <c r="BO975" t="s">
        <v>74</v>
      </c>
      <c r="BP975" t="s">
        <v>74</v>
      </c>
      <c r="BQ975" t="s">
        <v>74</v>
      </c>
      <c r="BR975" t="s">
        <v>106</v>
      </c>
      <c r="BS975" t="s">
        <v>17983</v>
      </c>
      <c r="BT975" t="str">
        <f>HYPERLINK("https%3A%2F%2Fwww.webofscience.com%2Fwos%2Fwoscc%2Ffull-record%2FWOS:000399497100162","View Full Record in Web of Science")</f>
        <v>View Full Record in Web of Science</v>
      </c>
    </row>
    <row r="976" spans="1:72" x14ac:dyDescent="0.15">
      <c r="A976" t="s">
        <v>3136</v>
      </c>
      <c r="B976" t="s">
        <v>17984</v>
      </c>
      <c r="C976" t="s">
        <v>74</v>
      </c>
      <c r="D976" t="s">
        <v>17628</v>
      </c>
      <c r="E976" t="s">
        <v>74</v>
      </c>
      <c r="F976" t="s">
        <v>17985</v>
      </c>
      <c r="G976" t="s">
        <v>74</v>
      </c>
      <c r="H976" t="s">
        <v>74</v>
      </c>
      <c r="I976" t="s">
        <v>17986</v>
      </c>
      <c r="J976" t="s">
        <v>17631</v>
      </c>
      <c r="K976" t="s">
        <v>17632</v>
      </c>
      <c r="L976" t="s">
        <v>74</v>
      </c>
      <c r="M976" t="s">
        <v>78</v>
      </c>
      <c r="N976" t="s">
        <v>17520</v>
      </c>
      <c r="O976" t="s">
        <v>74</v>
      </c>
      <c r="P976" t="s">
        <v>74</v>
      </c>
      <c r="Q976" t="s">
        <v>74</v>
      </c>
      <c r="R976" t="s">
        <v>74</v>
      </c>
      <c r="S976" t="s">
        <v>74</v>
      </c>
      <c r="T976" t="s">
        <v>74</v>
      </c>
      <c r="U976" t="s">
        <v>17987</v>
      </c>
      <c r="V976" t="s">
        <v>74</v>
      </c>
      <c r="W976" t="s">
        <v>17988</v>
      </c>
      <c r="X976" t="s">
        <v>17989</v>
      </c>
      <c r="Y976" t="s">
        <v>17990</v>
      </c>
      <c r="Z976" t="s">
        <v>17800</v>
      </c>
      <c r="AA976" t="s">
        <v>74</v>
      </c>
      <c r="AB976" t="s">
        <v>17639</v>
      </c>
      <c r="AC976" t="s">
        <v>17640</v>
      </c>
      <c r="AD976" t="s">
        <v>17641</v>
      </c>
      <c r="AE976" t="s">
        <v>74</v>
      </c>
      <c r="AF976" t="s">
        <v>74</v>
      </c>
      <c r="AG976">
        <v>4</v>
      </c>
      <c r="AH976">
        <v>1</v>
      </c>
      <c r="AI976">
        <v>1</v>
      </c>
      <c r="AJ976">
        <v>0</v>
      </c>
      <c r="AK976">
        <v>1</v>
      </c>
      <c r="AL976" t="s">
        <v>17642</v>
      </c>
      <c r="AM976" t="s">
        <v>11433</v>
      </c>
      <c r="AN976" t="s">
        <v>17643</v>
      </c>
      <c r="AO976" t="s">
        <v>17644</v>
      </c>
      <c r="AP976" t="s">
        <v>74</v>
      </c>
      <c r="AQ976" t="s">
        <v>17645</v>
      </c>
      <c r="AR976" t="s">
        <v>17646</v>
      </c>
      <c r="AS976" t="s">
        <v>74</v>
      </c>
      <c r="AT976" t="s">
        <v>74</v>
      </c>
      <c r="AU976">
        <v>2016</v>
      </c>
      <c r="AV976">
        <v>46</v>
      </c>
      <c r="AW976" t="s">
        <v>74</v>
      </c>
      <c r="AX976" t="s">
        <v>74</v>
      </c>
      <c r="AY976" t="s">
        <v>74</v>
      </c>
      <c r="AZ976" t="s">
        <v>74</v>
      </c>
      <c r="BA976" t="s">
        <v>74</v>
      </c>
      <c r="BB976">
        <v>415</v>
      </c>
      <c r="BC976">
        <v>416</v>
      </c>
      <c r="BD976" t="s">
        <v>74</v>
      </c>
      <c r="BE976" t="s">
        <v>17991</v>
      </c>
      <c r="BF976" t="str">
        <f>HYPERLINK("http://dx.doi.org/10.1144/M46.123","http://dx.doi.org/10.1144/M46.123")</f>
        <v>http://dx.doi.org/10.1144/M46.123</v>
      </c>
      <c r="BG976" t="s">
        <v>74</v>
      </c>
      <c r="BH976" t="s">
        <v>74</v>
      </c>
      <c r="BI976">
        <v>2</v>
      </c>
      <c r="BJ976" t="s">
        <v>270</v>
      </c>
      <c r="BK976" t="s">
        <v>17648</v>
      </c>
      <c r="BL976" t="s">
        <v>270</v>
      </c>
      <c r="BM976" t="s">
        <v>17649</v>
      </c>
      <c r="BN976" t="s">
        <v>74</v>
      </c>
      <c r="BO976" t="s">
        <v>74</v>
      </c>
      <c r="BP976" t="s">
        <v>74</v>
      </c>
      <c r="BQ976" t="s">
        <v>74</v>
      </c>
      <c r="BR976" t="s">
        <v>106</v>
      </c>
      <c r="BS976" t="s">
        <v>17992</v>
      </c>
      <c r="BT976" t="str">
        <f>HYPERLINK("https%3A%2F%2Fwww.webofscience.com%2Fwos%2Fwoscc%2Ffull-record%2FWOS:000399497100169","View Full Record in Web of Science")</f>
        <v>View Full Record in Web of Science</v>
      </c>
    </row>
    <row r="977" spans="1:72" x14ac:dyDescent="0.15">
      <c r="A977" t="s">
        <v>3136</v>
      </c>
      <c r="B977" t="s">
        <v>17993</v>
      </c>
      <c r="C977" t="s">
        <v>74</v>
      </c>
      <c r="D977" t="s">
        <v>17628</v>
      </c>
      <c r="E977" t="s">
        <v>74</v>
      </c>
      <c r="F977" t="s">
        <v>17994</v>
      </c>
      <c r="G977" t="s">
        <v>74</v>
      </c>
      <c r="H977" t="s">
        <v>74</v>
      </c>
      <c r="I977" t="s">
        <v>17995</v>
      </c>
      <c r="J977" t="s">
        <v>17631</v>
      </c>
      <c r="K977" t="s">
        <v>17632</v>
      </c>
      <c r="L977" t="s">
        <v>74</v>
      </c>
      <c r="M977" t="s">
        <v>78</v>
      </c>
      <c r="N977" t="s">
        <v>17520</v>
      </c>
      <c r="O977" t="s">
        <v>74</v>
      </c>
      <c r="P977" t="s">
        <v>74</v>
      </c>
      <c r="Q977" t="s">
        <v>74</v>
      </c>
      <c r="R977" t="s">
        <v>74</v>
      </c>
      <c r="S977" t="s">
        <v>74</v>
      </c>
      <c r="T977" t="s">
        <v>74</v>
      </c>
      <c r="U977" t="s">
        <v>17996</v>
      </c>
      <c r="V977" t="s">
        <v>74</v>
      </c>
      <c r="W977" t="s">
        <v>17997</v>
      </c>
      <c r="X977" t="s">
        <v>17732</v>
      </c>
      <c r="Y977" t="s">
        <v>17733</v>
      </c>
      <c r="Z977" t="s">
        <v>17734</v>
      </c>
      <c r="AA977" t="s">
        <v>17998</v>
      </c>
      <c r="AB977" t="s">
        <v>17999</v>
      </c>
      <c r="AC977" t="s">
        <v>74</v>
      </c>
      <c r="AD977" t="s">
        <v>74</v>
      </c>
      <c r="AE977" t="s">
        <v>74</v>
      </c>
      <c r="AF977" t="s">
        <v>74</v>
      </c>
      <c r="AG977">
        <v>7</v>
      </c>
      <c r="AH977">
        <v>1</v>
      </c>
      <c r="AI977">
        <v>1</v>
      </c>
      <c r="AJ977">
        <v>0</v>
      </c>
      <c r="AK977">
        <v>1</v>
      </c>
      <c r="AL977" t="s">
        <v>17642</v>
      </c>
      <c r="AM977" t="s">
        <v>11433</v>
      </c>
      <c r="AN977" t="s">
        <v>17643</v>
      </c>
      <c r="AO977" t="s">
        <v>17644</v>
      </c>
      <c r="AP977" t="s">
        <v>74</v>
      </c>
      <c r="AQ977" t="s">
        <v>17645</v>
      </c>
      <c r="AR977" t="s">
        <v>17646</v>
      </c>
      <c r="AS977" t="s">
        <v>74</v>
      </c>
      <c r="AT977" t="s">
        <v>74</v>
      </c>
      <c r="AU977">
        <v>2016</v>
      </c>
      <c r="AV977">
        <v>46</v>
      </c>
      <c r="AW977" t="s">
        <v>74</v>
      </c>
      <c r="AX977" t="s">
        <v>74</v>
      </c>
      <c r="AY977" t="s">
        <v>74</v>
      </c>
      <c r="AZ977" t="s">
        <v>74</v>
      </c>
      <c r="BA977" t="s">
        <v>74</v>
      </c>
      <c r="BB977">
        <v>417</v>
      </c>
      <c r="BC977">
        <v>418</v>
      </c>
      <c r="BD977" t="s">
        <v>74</v>
      </c>
      <c r="BE977" t="s">
        <v>18000</v>
      </c>
      <c r="BF977" t="str">
        <f>HYPERLINK("http://dx.doi.org/10.1144/M46.156","http://dx.doi.org/10.1144/M46.156")</f>
        <v>http://dx.doi.org/10.1144/M46.156</v>
      </c>
      <c r="BG977" t="s">
        <v>74</v>
      </c>
      <c r="BH977" t="s">
        <v>74</v>
      </c>
      <c r="BI977">
        <v>2</v>
      </c>
      <c r="BJ977" t="s">
        <v>270</v>
      </c>
      <c r="BK977" t="s">
        <v>17648</v>
      </c>
      <c r="BL977" t="s">
        <v>270</v>
      </c>
      <c r="BM977" t="s">
        <v>17649</v>
      </c>
      <c r="BN977" t="s">
        <v>74</v>
      </c>
      <c r="BO977" t="s">
        <v>74</v>
      </c>
      <c r="BP977" t="s">
        <v>74</v>
      </c>
      <c r="BQ977" t="s">
        <v>74</v>
      </c>
      <c r="BR977" t="s">
        <v>106</v>
      </c>
      <c r="BS977" t="s">
        <v>18001</v>
      </c>
      <c r="BT977" t="str">
        <f>HYPERLINK("https%3A%2F%2Fwww.webofscience.com%2Fwos%2Fwoscc%2Ffull-record%2FWOS:000399497100170","View Full Record in Web of Science")</f>
        <v>View Full Record in Web of Science</v>
      </c>
    </row>
    <row r="978" spans="1:72" x14ac:dyDescent="0.15">
      <c r="A978" t="s">
        <v>3136</v>
      </c>
      <c r="B978" t="s">
        <v>18002</v>
      </c>
      <c r="C978" t="s">
        <v>74</v>
      </c>
      <c r="D978" t="s">
        <v>17628</v>
      </c>
      <c r="E978" t="s">
        <v>74</v>
      </c>
      <c r="F978" t="s">
        <v>18003</v>
      </c>
      <c r="G978" t="s">
        <v>74</v>
      </c>
      <c r="H978" t="s">
        <v>74</v>
      </c>
      <c r="I978" t="s">
        <v>18004</v>
      </c>
      <c r="J978" t="s">
        <v>17631</v>
      </c>
      <c r="K978" t="s">
        <v>17632</v>
      </c>
      <c r="L978" t="s">
        <v>74</v>
      </c>
      <c r="M978" t="s">
        <v>78</v>
      </c>
      <c r="N978" t="s">
        <v>17520</v>
      </c>
      <c r="O978" t="s">
        <v>74</v>
      </c>
      <c r="P978" t="s">
        <v>74</v>
      </c>
      <c r="Q978" t="s">
        <v>74</v>
      </c>
      <c r="R978" t="s">
        <v>74</v>
      </c>
      <c r="S978" t="s">
        <v>74</v>
      </c>
      <c r="T978" t="s">
        <v>74</v>
      </c>
      <c r="U978" t="s">
        <v>18005</v>
      </c>
      <c r="V978" t="s">
        <v>74</v>
      </c>
      <c r="W978" t="s">
        <v>18006</v>
      </c>
      <c r="X978" t="s">
        <v>18007</v>
      </c>
      <c r="Y978" t="s">
        <v>17636</v>
      </c>
      <c r="Z978" t="s">
        <v>17637</v>
      </c>
      <c r="AA978" t="s">
        <v>74</v>
      </c>
      <c r="AB978" t="s">
        <v>17639</v>
      </c>
      <c r="AC978" t="s">
        <v>17640</v>
      </c>
      <c r="AD978" t="s">
        <v>17641</v>
      </c>
      <c r="AE978" t="s">
        <v>74</v>
      </c>
      <c r="AF978" t="s">
        <v>74</v>
      </c>
      <c r="AG978">
        <v>41</v>
      </c>
      <c r="AH978">
        <v>6</v>
      </c>
      <c r="AI978">
        <v>6</v>
      </c>
      <c r="AJ978">
        <v>0</v>
      </c>
      <c r="AK978">
        <v>1</v>
      </c>
      <c r="AL978" t="s">
        <v>17642</v>
      </c>
      <c r="AM978" t="s">
        <v>11433</v>
      </c>
      <c r="AN978" t="s">
        <v>17643</v>
      </c>
      <c r="AO978" t="s">
        <v>17644</v>
      </c>
      <c r="AP978" t="s">
        <v>74</v>
      </c>
      <c r="AQ978" t="s">
        <v>17645</v>
      </c>
      <c r="AR978" t="s">
        <v>17646</v>
      </c>
      <c r="AS978" t="s">
        <v>74</v>
      </c>
      <c r="AT978" t="s">
        <v>74</v>
      </c>
      <c r="AU978">
        <v>2016</v>
      </c>
      <c r="AV978">
        <v>46</v>
      </c>
      <c r="AW978" t="s">
        <v>74</v>
      </c>
      <c r="AX978" t="s">
        <v>74</v>
      </c>
      <c r="AY978" t="s">
        <v>74</v>
      </c>
      <c r="AZ978" t="s">
        <v>74</v>
      </c>
      <c r="BA978" t="s">
        <v>74</v>
      </c>
      <c r="BB978">
        <v>453</v>
      </c>
      <c r="BC978">
        <v>460</v>
      </c>
      <c r="BD978" t="s">
        <v>74</v>
      </c>
      <c r="BE978" t="s">
        <v>18008</v>
      </c>
      <c r="BF978" t="str">
        <f>HYPERLINK("http://dx.doi.org/10.1144/M46.150","http://dx.doi.org/10.1144/M46.150")</f>
        <v>http://dx.doi.org/10.1144/M46.150</v>
      </c>
      <c r="BG978" t="s">
        <v>74</v>
      </c>
      <c r="BH978" t="s">
        <v>74</v>
      </c>
      <c r="BI978">
        <v>8</v>
      </c>
      <c r="BJ978" t="s">
        <v>270</v>
      </c>
      <c r="BK978" t="s">
        <v>17648</v>
      </c>
      <c r="BL978" t="s">
        <v>270</v>
      </c>
      <c r="BM978" t="s">
        <v>17649</v>
      </c>
      <c r="BN978" t="s">
        <v>74</v>
      </c>
      <c r="BO978" t="s">
        <v>74</v>
      </c>
      <c r="BP978" t="s">
        <v>74</v>
      </c>
      <c r="BQ978" t="s">
        <v>74</v>
      </c>
      <c r="BR978" t="s">
        <v>106</v>
      </c>
      <c r="BS978" t="s">
        <v>18009</v>
      </c>
      <c r="BT978" t="str">
        <f>HYPERLINK("https%3A%2F%2Fwww.webofscience.com%2Fwos%2Fwoscc%2Ffull-record%2FWOS:000399497100175","View Full Record in Web of Science")</f>
        <v>View Full Record in Web of Science</v>
      </c>
    </row>
    <row r="979" spans="1:72" x14ac:dyDescent="0.15">
      <c r="A979" t="s">
        <v>3136</v>
      </c>
      <c r="B979" t="s">
        <v>18010</v>
      </c>
      <c r="C979" t="s">
        <v>74</v>
      </c>
      <c r="D979" t="s">
        <v>17628</v>
      </c>
      <c r="E979" t="s">
        <v>74</v>
      </c>
      <c r="F979" t="s">
        <v>18011</v>
      </c>
      <c r="G979" t="s">
        <v>74</v>
      </c>
      <c r="H979" t="s">
        <v>74</v>
      </c>
      <c r="I979" t="s">
        <v>18012</v>
      </c>
      <c r="J979" t="s">
        <v>17631</v>
      </c>
      <c r="K979" t="s">
        <v>17632</v>
      </c>
      <c r="L979" t="s">
        <v>74</v>
      </c>
      <c r="M979" t="s">
        <v>78</v>
      </c>
      <c r="N979" t="s">
        <v>17520</v>
      </c>
      <c r="O979" t="s">
        <v>74</v>
      </c>
      <c r="P979" t="s">
        <v>74</v>
      </c>
      <c r="Q979" t="s">
        <v>74</v>
      </c>
      <c r="R979" t="s">
        <v>74</v>
      </c>
      <c r="S979" t="s">
        <v>74</v>
      </c>
      <c r="T979" t="s">
        <v>74</v>
      </c>
      <c r="U979" t="s">
        <v>18013</v>
      </c>
      <c r="V979" t="s">
        <v>74</v>
      </c>
      <c r="W979" t="s">
        <v>18014</v>
      </c>
      <c r="X979" t="s">
        <v>18015</v>
      </c>
      <c r="Y979" t="s">
        <v>17903</v>
      </c>
      <c r="Z979" t="s">
        <v>17904</v>
      </c>
      <c r="AA979" t="s">
        <v>18016</v>
      </c>
      <c r="AB979" t="s">
        <v>18017</v>
      </c>
      <c r="AC979" t="s">
        <v>17640</v>
      </c>
      <c r="AD979" t="s">
        <v>17641</v>
      </c>
      <c r="AE979" t="s">
        <v>74</v>
      </c>
      <c r="AF979" t="s">
        <v>74</v>
      </c>
      <c r="AG979">
        <v>33</v>
      </c>
      <c r="AH979">
        <v>7</v>
      </c>
      <c r="AI979">
        <v>7</v>
      </c>
      <c r="AJ979">
        <v>0</v>
      </c>
      <c r="AK979">
        <v>0</v>
      </c>
      <c r="AL979" t="s">
        <v>17642</v>
      </c>
      <c r="AM979" t="s">
        <v>11433</v>
      </c>
      <c r="AN979" t="s">
        <v>17643</v>
      </c>
      <c r="AO979" t="s">
        <v>17644</v>
      </c>
      <c r="AP979" t="s">
        <v>74</v>
      </c>
      <c r="AQ979" t="s">
        <v>17645</v>
      </c>
      <c r="AR979" t="s">
        <v>17646</v>
      </c>
      <c r="AS979" t="s">
        <v>74</v>
      </c>
      <c r="AT979" t="s">
        <v>74</v>
      </c>
      <c r="AU979">
        <v>2016</v>
      </c>
      <c r="AV979">
        <v>46</v>
      </c>
      <c r="AW979" t="s">
        <v>74</v>
      </c>
      <c r="AX979" t="s">
        <v>74</v>
      </c>
      <c r="AY979" t="s">
        <v>74</v>
      </c>
      <c r="AZ979" t="s">
        <v>74</v>
      </c>
      <c r="BA979" t="s">
        <v>74</v>
      </c>
      <c r="BB979">
        <v>461</v>
      </c>
      <c r="BC979">
        <v>468</v>
      </c>
      <c r="BD979" t="s">
        <v>74</v>
      </c>
      <c r="BE979" t="s">
        <v>18018</v>
      </c>
      <c r="BF979" t="str">
        <f>HYPERLINK("http://dx.doi.org/10.1144/M46.148","http://dx.doi.org/10.1144/M46.148")</f>
        <v>http://dx.doi.org/10.1144/M46.148</v>
      </c>
      <c r="BG979" t="s">
        <v>74</v>
      </c>
      <c r="BH979" t="s">
        <v>74</v>
      </c>
      <c r="BI979">
        <v>8</v>
      </c>
      <c r="BJ979" t="s">
        <v>270</v>
      </c>
      <c r="BK979" t="s">
        <v>17648</v>
      </c>
      <c r="BL979" t="s">
        <v>270</v>
      </c>
      <c r="BM979" t="s">
        <v>17649</v>
      </c>
      <c r="BN979" t="s">
        <v>74</v>
      </c>
      <c r="BO979" t="s">
        <v>74</v>
      </c>
      <c r="BP979" t="s">
        <v>74</v>
      </c>
      <c r="BQ979" t="s">
        <v>74</v>
      </c>
      <c r="BR979" t="s">
        <v>106</v>
      </c>
      <c r="BS979" t="s">
        <v>18019</v>
      </c>
      <c r="BT979" t="str">
        <f>HYPERLINK("https%3A%2F%2Fwww.webofscience.com%2Fwos%2Fwoscc%2Ffull-record%2FWOS:000399497100176","View Full Record in Web of Science")</f>
        <v>View Full Record in Web of Science</v>
      </c>
    </row>
    <row r="980" spans="1:72" x14ac:dyDescent="0.15">
      <c r="A980" t="s">
        <v>3136</v>
      </c>
      <c r="B980" t="s">
        <v>18020</v>
      </c>
      <c r="C980" t="s">
        <v>74</v>
      </c>
      <c r="D980" t="s">
        <v>17628</v>
      </c>
      <c r="E980" t="s">
        <v>74</v>
      </c>
      <c r="F980" t="s">
        <v>18021</v>
      </c>
      <c r="G980" t="s">
        <v>74</v>
      </c>
      <c r="H980" t="s">
        <v>74</v>
      </c>
      <c r="I980" t="s">
        <v>18022</v>
      </c>
      <c r="J980" t="s">
        <v>17631</v>
      </c>
      <c r="K980" t="s">
        <v>17632</v>
      </c>
      <c r="L980" t="s">
        <v>74</v>
      </c>
      <c r="M980" t="s">
        <v>78</v>
      </c>
      <c r="N980" t="s">
        <v>17520</v>
      </c>
      <c r="O980" t="s">
        <v>74</v>
      </c>
      <c r="P980" t="s">
        <v>74</v>
      </c>
      <c r="Q980" t="s">
        <v>74</v>
      </c>
      <c r="R980" t="s">
        <v>74</v>
      </c>
      <c r="S980" t="s">
        <v>74</v>
      </c>
      <c r="T980" t="s">
        <v>74</v>
      </c>
      <c r="U980" t="s">
        <v>18023</v>
      </c>
      <c r="V980" t="s">
        <v>74</v>
      </c>
      <c r="W980" t="s">
        <v>18024</v>
      </c>
      <c r="X980" t="s">
        <v>18025</v>
      </c>
      <c r="Y980" t="s">
        <v>17733</v>
      </c>
      <c r="Z980" t="s">
        <v>17734</v>
      </c>
      <c r="AA980" t="s">
        <v>18026</v>
      </c>
      <c r="AB980" t="s">
        <v>17999</v>
      </c>
      <c r="AC980" t="s">
        <v>74</v>
      </c>
      <c r="AD980" t="s">
        <v>74</v>
      </c>
      <c r="AE980" t="s">
        <v>74</v>
      </c>
      <c r="AF980" t="s">
        <v>74</v>
      </c>
      <c r="AG980">
        <v>24</v>
      </c>
      <c r="AH980">
        <v>6</v>
      </c>
      <c r="AI980">
        <v>6</v>
      </c>
      <c r="AJ980">
        <v>0</v>
      </c>
      <c r="AK980">
        <v>1</v>
      </c>
      <c r="AL980" t="s">
        <v>17642</v>
      </c>
      <c r="AM980" t="s">
        <v>11433</v>
      </c>
      <c r="AN980" t="s">
        <v>17643</v>
      </c>
      <c r="AO980" t="s">
        <v>17644</v>
      </c>
      <c r="AP980" t="s">
        <v>74</v>
      </c>
      <c r="AQ980" t="s">
        <v>17645</v>
      </c>
      <c r="AR980" t="s">
        <v>17646</v>
      </c>
      <c r="AS980" t="s">
        <v>74</v>
      </c>
      <c r="AT980" t="s">
        <v>74</v>
      </c>
      <c r="AU980">
        <v>2016</v>
      </c>
      <c r="AV980">
        <v>46</v>
      </c>
      <c r="AW980" t="s">
        <v>74</v>
      </c>
      <c r="AX980" t="s">
        <v>74</v>
      </c>
      <c r="AY980" t="s">
        <v>74</v>
      </c>
      <c r="AZ980" t="s">
        <v>74</v>
      </c>
      <c r="BA980" t="s">
        <v>74</v>
      </c>
      <c r="BB980">
        <v>477</v>
      </c>
      <c r="BC980">
        <v>484</v>
      </c>
      <c r="BD980" t="s">
        <v>74</v>
      </c>
      <c r="BE980" t="s">
        <v>18027</v>
      </c>
      <c r="BF980" t="str">
        <f>HYPERLINK("http://dx.doi.org/10.1144/M46.174","http://dx.doi.org/10.1144/M46.174")</f>
        <v>http://dx.doi.org/10.1144/M46.174</v>
      </c>
      <c r="BG980" t="s">
        <v>74</v>
      </c>
      <c r="BH980" t="s">
        <v>74</v>
      </c>
      <c r="BI980">
        <v>8</v>
      </c>
      <c r="BJ980" t="s">
        <v>270</v>
      </c>
      <c r="BK980" t="s">
        <v>17648</v>
      </c>
      <c r="BL980" t="s">
        <v>270</v>
      </c>
      <c r="BM980" t="s">
        <v>17649</v>
      </c>
      <c r="BN980" t="s">
        <v>74</v>
      </c>
      <c r="BO980" t="s">
        <v>74</v>
      </c>
      <c r="BP980" t="s">
        <v>74</v>
      </c>
      <c r="BQ980" t="s">
        <v>74</v>
      </c>
      <c r="BR980" t="s">
        <v>106</v>
      </c>
      <c r="BS980" t="s">
        <v>18028</v>
      </c>
      <c r="BT980" t="str">
        <f>HYPERLINK("https%3A%2F%2Fwww.webofscience.com%2Fwos%2Fwoscc%2Ffull-record%2FWOS:000399497100178","View Full Record in Web of Science")</f>
        <v>View Full Record in Web of Science</v>
      </c>
    </row>
    <row r="981" spans="1:72" x14ac:dyDescent="0.15">
      <c r="A981" t="s">
        <v>3136</v>
      </c>
      <c r="B981" t="s">
        <v>18029</v>
      </c>
      <c r="C981" t="s">
        <v>74</v>
      </c>
      <c r="D981" t="s">
        <v>17628</v>
      </c>
      <c r="E981" t="s">
        <v>74</v>
      </c>
      <c r="F981" t="s">
        <v>18030</v>
      </c>
      <c r="G981" t="s">
        <v>74</v>
      </c>
      <c r="H981" t="s">
        <v>74</v>
      </c>
      <c r="I981" t="s">
        <v>18031</v>
      </c>
      <c r="J981" t="s">
        <v>17631</v>
      </c>
      <c r="K981" t="s">
        <v>17632</v>
      </c>
      <c r="L981" t="s">
        <v>74</v>
      </c>
      <c r="M981" t="s">
        <v>78</v>
      </c>
      <c r="N981" t="s">
        <v>17520</v>
      </c>
      <c r="O981" t="s">
        <v>74</v>
      </c>
      <c r="P981" t="s">
        <v>74</v>
      </c>
      <c r="Q981" t="s">
        <v>74</v>
      </c>
      <c r="R981" t="s">
        <v>74</v>
      </c>
      <c r="S981" t="s">
        <v>74</v>
      </c>
      <c r="T981" t="s">
        <v>74</v>
      </c>
      <c r="U981" t="s">
        <v>18032</v>
      </c>
      <c r="V981" t="s">
        <v>74</v>
      </c>
      <c r="W981" t="s">
        <v>18033</v>
      </c>
      <c r="X981" t="s">
        <v>18034</v>
      </c>
      <c r="Y981" t="s">
        <v>18035</v>
      </c>
      <c r="Z981" t="s">
        <v>18036</v>
      </c>
      <c r="AA981" t="s">
        <v>74</v>
      </c>
      <c r="AB981" t="s">
        <v>17746</v>
      </c>
      <c r="AC981" t="s">
        <v>17640</v>
      </c>
      <c r="AD981" t="s">
        <v>17641</v>
      </c>
      <c r="AE981" t="s">
        <v>74</v>
      </c>
      <c r="AF981" t="s">
        <v>74</v>
      </c>
      <c r="AG981">
        <v>43</v>
      </c>
      <c r="AH981">
        <v>9</v>
      </c>
      <c r="AI981">
        <v>9</v>
      </c>
      <c r="AJ981">
        <v>0</v>
      </c>
      <c r="AK981">
        <v>1</v>
      </c>
      <c r="AL981" t="s">
        <v>17642</v>
      </c>
      <c r="AM981" t="s">
        <v>11433</v>
      </c>
      <c r="AN981" t="s">
        <v>17643</v>
      </c>
      <c r="AO981" t="s">
        <v>17644</v>
      </c>
      <c r="AP981" t="s">
        <v>74</v>
      </c>
      <c r="AQ981" t="s">
        <v>17645</v>
      </c>
      <c r="AR981" t="s">
        <v>17646</v>
      </c>
      <c r="AS981" t="s">
        <v>74</v>
      </c>
      <c r="AT981" t="s">
        <v>74</v>
      </c>
      <c r="AU981">
        <v>2016</v>
      </c>
      <c r="AV981">
        <v>46</v>
      </c>
      <c r="AW981" t="s">
        <v>74</v>
      </c>
      <c r="AX981" t="s">
        <v>74</v>
      </c>
      <c r="AY981" t="s">
        <v>74</v>
      </c>
      <c r="AZ981" t="s">
        <v>74</v>
      </c>
      <c r="BA981" t="s">
        <v>74</v>
      </c>
      <c r="BB981">
        <v>485</v>
      </c>
      <c r="BC981">
        <v>492</v>
      </c>
      <c r="BD981" t="s">
        <v>74</v>
      </c>
      <c r="BE981" t="s">
        <v>18037</v>
      </c>
      <c r="BF981" t="str">
        <f>HYPERLINK("http://dx.doi.org/10.1144/M46.180","http://dx.doi.org/10.1144/M46.180")</f>
        <v>http://dx.doi.org/10.1144/M46.180</v>
      </c>
      <c r="BG981" t="s">
        <v>74</v>
      </c>
      <c r="BH981" t="s">
        <v>74</v>
      </c>
      <c r="BI981">
        <v>8</v>
      </c>
      <c r="BJ981" t="s">
        <v>270</v>
      </c>
      <c r="BK981" t="s">
        <v>17648</v>
      </c>
      <c r="BL981" t="s">
        <v>270</v>
      </c>
      <c r="BM981" t="s">
        <v>17649</v>
      </c>
      <c r="BN981" t="s">
        <v>74</v>
      </c>
      <c r="BO981" t="s">
        <v>380</v>
      </c>
      <c r="BP981" t="s">
        <v>74</v>
      </c>
      <c r="BQ981" t="s">
        <v>74</v>
      </c>
      <c r="BR981" t="s">
        <v>106</v>
      </c>
      <c r="BS981" t="s">
        <v>18038</v>
      </c>
      <c r="BT981" t="str">
        <f>HYPERLINK("https%3A%2F%2Fwww.webofscience.com%2Fwos%2Fwoscc%2Ffull-record%2FWOS:000399497100179","View Full Record in Web of Science")</f>
        <v>View Full Record in Web of Science</v>
      </c>
    </row>
    <row r="982" spans="1:72" x14ac:dyDescent="0.15">
      <c r="A982" t="s">
        <v>3136</v>
      </c>
      <c r="B982" t="s">
        <v>18039</v>
      </c>
      <c r="C982" t="s">
        <v>74</v>
      </c>
      <c r="D982" t="s">
        <v>17628</v>
      </c>
      <c r="E982" t="s">
        <v>74</v>
      </c>
      <c r="F982" t="s">
        <v>18040</v>
      </c>
      <c r="G982" t="s">
        <v>74</v>
      </c>
      <c r="H982" t="s">
        <v>74</v>
      </c>
      <c r="I982" t="s">
        <v>18041</v>
      </c>
      <c r="J982" t="s">
        <v>17631</v>
      </c>
      <c r="K982" t="s">
        <v>17632</v>
      </c>
      <c r="L982" t="s">
        <v>74</v>
      </c>
      <c r="M982" t="s">
        <v>78</v>
      </c>
      <c r="N982" t="s">
        <v>17520</v>
      </c>
      <c r="O982" t="s">
        <v>74</v>
      </c>
      <c r="P982" t="s">
        <v>74</v>
      </c>
      <c r="Q982" t="s">
        <v>74</v>
      </c>
      <c r="R982" t="s">
        <v>74</v>
      </c>
      <c r="S982" t="s">
        <v>74</v>
      </c>
      <c r="T982" t="s">
        <v>74</v>
      </c>
      <c r="U982" t="s">
        <v>18042</v>
      </c>
      <c r="V982" t="s">
        <v>74</v>
      </c>
      <c r="W982" t="s">
        <v>18043</v>
      </c>
      <c r="X982" t="s">
        <v>18044</v>
      </c>
      <c r="Y982" t="s">
        <v>17684</v>
      </c>
      <c r="Z982" t="s">
        <v>17685</v>
      </c>
      <c r="AA982" t="s">
        <v>18045</v>
      </c>
      <c r="AB982" t="s">
        <v>18046</v>
      </c>
      <c r="AC982" t="s">
        <v>17640</v>
      </c>
      <c r="AD982" t="s">
        <v>17641</v>
      </c>
      <c r="AE982" t="s">
        <v>74</v>
      </c>
      <c r="AF982" t="s">
        <v>74</v>
      </c>
      <c r="AG982">
        <v>21</v>
      </c>
      <c r="AH982">
        <v>9</v>
      </c>
      <c r="AI982">
        <v>9</v>
      </c>
      <c r="AJ982">
        <v>0</v>
      </c>
      <c r="AK982">
        <v>1</v>
      </c>
      <c r="AL982" t="s">
        <v>17642</v>
      </c>
      <c r="AM982" t="s">
        <v>11433</v>
      </c>
      <c r="AN982" t="s">
        <v>17643</v>
      </c>
      <c r="AO982" t="s">
        <v>17644</v>
      </c>
      <c r="AP982" t="s">
        <v>74</v>
      </c>
      <c r="AQ982" t="s">
        <v>17645</v>
      </c>
      <c r="AR982" t="s">
        <v>17646</v>
      </c>
      <c r="AS982" t="s">
        <v>74</v>
      </c>
      <c r="AT982" t="s">
        <v>74</v>
      </c>
      <c r="AU982">
        <v>2016</v>
      </c>
      <c r="AV982">
        <v>46</v>
      </c>
      <c r="AW982" t="s">
        <v>74</v>
      </c>
      <c r="AX982" t="s">
        <v>74</v>
      </c>
      <c r="AY982" t="s">
        <v>74</v>
      </c>
      <c r="AZ982" t="s">
        <v>74</v>
      </c>
      <c r="BA982" t="s">
        <v>74</v>
      </c>
      <c r="BB982">
        <v>493</v>
      </c>
      <c r="BC982">
        <v>500</v>
      </c>
      <c r="BD982" t="s">
        <v>74</v>
      </c>
      <c r="BE982" t="s">
        <v>18047</v>
      </c>
      <c r="BF982" t="str">
        <f>HYPERLINK("http://dx.doi.org/10.1144/M46.173","http://dx.doi.org/10.1144/M46.173")</f>
        <v>http://dx.doi.org/10.1144/M46.173</v>
      </c>
      <c r="BG982" t="s">
        <v>74</v>
      </c>
      <c r="BH982" t="s">
        <v>74</v>
      </c>
      <c r="BI982">
        <v>8</v>
      </c>
      <c r="BJ982" t="s">
        <v>270</v>
      </c>
      <c r="BK982" t="s">
        <v>17648</v>
      </c>
      <c r="BL982" t="s">
        <v>270</v>
      </c>
      <c r="BM982" t="s">
        <v>17649</v>
      </c>
      <c r="BN982" t="s">
        <v>74</v>
      </c>
      <c r="BO982" t="s">
        <v>74</v>
      </c>
      <c r="BP982" t="s">
        <v>74</v>
      </c>
      <c r="BQ982" t="s">
        <v>74</v>
      </c>
      <c r="BR982" t="s">
        <v>106</v>
      </c>
      <c r="BS982" t="s">
        <v>18048</v>
      </c>
      <c r="BT982" t="str">
        <f>HYPERLINK("https%3A%2F%2Fwww.webofscience.com%2Fwos%2Fwoscc%2Ffull-record%2FWOS:000399497100180","View Full Record in Web of Science")</f>
        <v>View Full Record in Web of Science</v>
      </c>
    </row>
    <row r="983" spans="1:72" x14ac:dyDescent="0.15">
      <c r="A983" t="s">
        <v>3136</v>
      </c>
      <c r="B983" t="s">
        <v>18049</v>
      </c>
      <c r="C983" t="s">
        <v>74</v>
      </c>
      <c r="D983" t="s">
        <v>17628</v>
      </c>
      <c r="E983" t="s">
        <v>74</v>
      </c>
      <c r="F983" t="s">
        <v>18050</v>
      </c>
      <c r="G983" t="s">
        <v>74</v>
      </c>
      <c r="H983" t="s">
        <v>74</v>
      </c>
      <c r="I983" t="s">
        <v>18051</v>
      </c>
      <c r="J983" t="s">
        <v>17631</v>
      </c>
      <c r="K983" t="s">
        <v>17632</v>
      </c>
      <c r="L983" t="s">
        <v>74</v>
      </c>
      <c r="M983" t="s">
        <v>78</v>
      </c>
      <c r="N983" t="s">
        <v>17520</v>
      </c>
      <c r="O983" t="s">
        <v>74</v>
      </c>
      <c r="P983" t="s">
        <v>74</v>
      </c>
      <c r="Q983" t="s">
        <v>74</v>
      </c>
      <c r="R983" t="s">
        <v>74</v>
      </c>
      <c r="S983" t="s">
        <v>74</v>
      </c>
      <c r="T983" t="s">
        <v>74</v>
      </c>
      <c r="U983" t="s">
        <v>18052</v>
      </c>
      <c r="V983" t="s">
        <v>74</v>
      </c>
      <c r="W983" t="s">
        <v>18053</v>
      </c>
      <c r="X983" t="s">
        <v>18054</v>
      </c>
      <c r="Y983" t="s">
        <v>17712</v>
      </c>
      <c r="Z983" t="s">
        <v>17713</v>
      </c>
      <c r="AA983" t="s">
        <v>18055</v>
      </c>
      <c r="AB983" t="s">
        <v>18056</v>
      </c>
      <c r="AC983" t="s">
        <v>74</v>
      </c>
      <c r="AD983" t="s">
        <v>74</v>
      </c>
      <c r="AE983" t="s">
        <v>74</v>
      </c>
      <c r="AF983" t="s">
        <v>74</v>
      </c>
      <c r="AG983">
        <v>39</v>
      </c>
      <c r="AH983">
        <v>8</v>
      </c>
      <c r="AI983">
        <v>10</v>
      </c>
      <c r="AJ983">
        <v>0</v>
      </c>
      <c r="AK983">
        <v>1</v>
      </c>
      <c r="AL983" t="s">
        <v>17642</v>
      </c>
      <c r="AM983" t="s">
        <v>11433</v>
      </c>
      <c r="AN983" t="s">
        <v>17643</v>
      </c>
      <c r="AO983" t="s">
        <v>17644</v>
      </c>
      <c r="AP983" t="s">
        <v>74</v>
      </c>
      <c r="AQ983" t="s">
        <v>17645</v>
      </c>
      <c r="AR983" t="s">
        <v>17646</v>
      </c>
      <c r="AS983" t="s">
        <v>74</v>
      </c>
      <c r="AT983" t="s">
        <v>74</v>
      </c>
      <c r="AU983">
        <v>2016</v>
      </c>
      <c r="AV983">
        <v>46</v>
      </c>
      <c r="AW983" t="s">
        <v>74</v>
      </c>
      <c r="AX983" t="s">
        <v>74</v>
      </c>
      <c r="AY983" t="s">
        <v>74</v>
      </c>
      <c r="AZ983" t="s">
        <v>74</v>
      </c>
      <c r="BA983" t="s">
        <v>74</v>
      </c>
      <c r="BB983">
        <v>501</v>
      </c>
      <c r="BC983">
        <v>508</v>
      </c>
      <c r="BD983" t="s">
        <v>74</v>
      </c>
      <c r="BE983" t="s">
        <v>18057</v>
      </c>
      <c r="BF983" t="str">
        <f>HYPERLINK("http://dx.doi.org/10.1144/M46.172","http://dx.doi.org/10.1144/M46.172")</f>
        <v>http://dx.doi.org/10.1144/M46.172</v>
      </c>
      <c r="BG983" t="s">
        <v>74</v>
      </c>
      <c r="BH983" t="s">
        <v>74</v>
      </c>
      <c r="BI983">
        <v>8</v>
      </c>
      <c r="BJ983" t="s">
        <v>270</v>
      </c>
      <c r="BK983" t="s">
        <v>17648</v>
      </c>
      <c r="BL983" t="s">
        <v>270</v>
      </c>
      <c r="BM983" t="s">
        <v>17649</v>
      </c>
      <c r="BN983" t="s">
        <v>74</v>
      </c>
      <c r="BO983" t="s">
        <v>74</v>
      </c>
      <c r="BP983" t="s">
        <v>74</v>
      </c>
      <c r="BQ983" t="s">
        <v>74</v>
      </c>
      <c r="BR983" t="s">
        <v>106</v>
      </c>
      <c r="BS983" t="s">
        <v>18058</v>
      </c>
      <c r="BT983" t="str">
        <f>HYPERLINK("https%3A%2F%2Fwww.webofscience.com%2Fwos%2Fwoscc%2Ffull-record%2FWOS:000399497100181","View Full Record in Web of Science")</f>
        <v>View Full Record in Web of Science</v>
      </c>
    </row>
    <row r="984" spans="1:72" x14ac:dyDescent="0.15">
      <c r="A984" t="s">
        <v>3136</v>
      </c>
      <c r="B984" t="s">
        <v>18059</v>
      </c>
      <c r="C984" t="s">
        <v>74</v>
      </c>
      <c r="D984" t="s">
        <v>17628</v>
      </c>
      <c r="E984" t="s">
        <v>74</v>
      </c>
      <c r="F984" t="s">
        <v>18060</v>
      </c>
      <c r="G984" t="s">
        <v>74</v>
      </c>
      <c r="H984" t="s">
        <v>74</v>
      </c>
      <c r="I984" t="s">
        <v>18061</v>
      </c>
      <c r="J984" t="s">
        <v>17631</v>
      </c>
      <c r="K984" t="s">
        <v>17632</v>
      </c>
      <c r="L984" t="s">
        <v>74</v>
      </c>
      <c r="M984" t="s">
        <v>78</v>
      </c>
      <c r="N984" t="s">
        <v>17520</v>
      </c>
      <c r="O984" t="s">
        <v>74</v>
      </c>
      <c r="P984" t="s">
        <v>74</v>
      </c>
      <c r="Q984" t="s">
        <v>74</v>
      </c>
      <c r="R984" t="s">
        <v>74</v>
      </c>
      <c r="S984" t="s">
        <v>74</v>
      </c>
      <c r="T984" t="s">
        <v>74</v>
      </c>
      <c r="U984" t="s">
        <v>74</v>
      </c>
      <c r="V984" t="s">
        <v>74</v>
      </c>
      <c r="W984" t="s">
        <v>18062</v>
      </c>
      <c r="X984" t="s">
        <v>18063</v>
      </c>
      <c r="Y984" t="s">
        <v>18064</v>
      </c>
      <c r="Z984" t="s">
        <v>18065</v>
      </c>
      <c r="AA984" t="s">
        <v>18066</v>
      </c>
      <c r="AB984" t="s">
        <v>18067</v>
      </c>
      <c r="AC984" t="s">
        <v>17640</v>
      </c>
      <c r="AD984" t="s">
        <v>17641</v>
      </c>
      <c r="AE984" t="s">
        <v>74</v>
      </c>
      <c r="AF984" t="s">
        <v>74</v>
      </c>
      <c r="AG984">
        <v>21</v>
      </c>
      <c r="AH984">
        <v>5</v>
      </c>
      <c r="AI984">
        <v>5</v>
      </c>
      <c r="AJ984">
        <v>0</v>
      </c>
      <c r="AK984">
        <v>0</v>
      </c>
      <c r="AL984" t="s">
        <v>17642</v>
      </c>
      <c r="AM984" t="s">
        <v>11433</v>
      </c>
      <c r="AN984" t="s">
        <v>17643</v>
      </c>
      <c r="AO984" t="s">
        <v>17644</v>
      </c>
      <c r="AP984" t="s">
        <v>74</v>
      </c>
      <c r="AQ984" t="s">
        <v>17645</v>
      </c>
      <c r="AR984" t="s">
        <v>17646</v>
      </c>
      <c r="AS984" t="s">
        <v>74</v>
      </c>
      <c r="AT984" t="s">
        <v>74</v>
      </c>
      <c r="AU984">
        <v>2016</v>
      </c>
      <c r="AV984">
        <v>46</v>
      </c>
      <c r="AW984" t="s">
        <v>74</v>
      </c>
      <c r="AX984" t="s">
        <v>74</v>
      </c>
      <c r="AY984" t="s">
        <v>74</v>
      </c>
      <c r="AZ984" t="s">
        <v>74</v>
      </c>
      <c r="BA984" t="s">
        <v>74</v>
      </c>
      <c r="BB984">
        <v>555</v>
      </c>
      <c r="BC984">
        <v>574</v>
      </c>
      <c r="BD984" t="s">
        <v>74</v>
      </c>
      <c r="BE984" t="s">
        <v>18068</v>
      </c>
      <c r="BF984" t="str">
        <f>HYPERLINK("http://dx.doi.org/10.1144/M46.177","http://dx.doi.org/10.1144/M46.177")</f>
        <v>http://dx.doi.org/10.1144/M46.177</v>
      </c>
      <c r="BG984" t="s">
        <v>74</v>
      </c>
      <c r="BH984" t="s">
        <v>74</v>
      </c>
      <c r="BI984">
        <v>20</v>
      </c>
      <c r="BJ984" t="s">
        <v>270</v>
      </c>
      <c r="BK984" t="s">
        <v>17648</v>
      </c>
      <c r="BL984" t="s">
        <v>270</v>
      </c>
      <c r="BM984" t="s">
        <v>17649</v>
      </c>
      <c r="BN984" t="s">
        <v>74</v>
      </c>
      <c r="BO984" t="s">
        <v>74</v>
      </c>
      <c r="BP984" t="s">
        <v>74</v>
      </c>
      <c r="BQ984" t="s">
        <v>74</v>
      </c>
      <c r="BR984" t="s">
        <v>106</v>
      </c>
      <c r="BS984" t="s">
        <v>18069</v>
      </c>
      <c r="BT984" t="str">
        <f>HYPERLINK("https%3A%2F%2Fwww.webofscience.com%2Fwos%2Fwoscc%2Ffull-record%2FWOS:000399497100184","View Full Record in Web of Science")</f>
        <v>View Full Record in Web of Science</v>
      </c>
    </row>
    <row r="985" spans="1:72" x14ac:dyDescent="0.15">
      <c r="A985" t="s">
        <v>3136</v>
      </c>
      <c r="B985" t="s">
        <v>18070</v>
      </c>
      <c r="C985" t="s">
        <v>18070</v>
      </c>
      <c r="D985" t="s">
        <v>74</v>
      </c>
      <c r="E985" t="s">
        <v>74</v>
      </c>
      <c r="F985" t="s">
        <v>18071</v>
      </c>
      <c r="G985" t="s">
        <v>18070</v>
      </c>
      <c r="H985" t="s">
        <v>74</v>
      </c>
      <c r="I985" t="s">
        <v>18072</v>
      </c>
      <c r="J985" t="s">
        <v>18073</v>
      </c>
      <c r="K985" t="s">
        <v>18074</v>
      </c>
      <c r="L985" t="s">
        <v>74</v>
      </c>
      <c r="M985" t="s">
        <v>78</v>
      </c>
      <c r="N985" t="s">
        <v>17520</v>
      </c>
      <c r="O985" t="s">
        <v>74</v>
      </c>
      <c r="P985" t="s">
        <v>74</v>
      </c>
      <c r="Q985" t="s">
        <v>74</v>
      </c>
      <c r="R985" t="s">
        <v>74</v>
      </c>
      <c r="S985" t="s">
        <v>74</v>
      </c>
      <c r="T985" t="s">
        <v>74</v>
      </c>
      <c r="U985" t="s">
        <v>18075</v>
      </c>
      <c r="V985" t="s">
        <v>74</v>
      </c>
      <c r="W985" t="s">
        <v>18076</v>
      </c>
      <c r="X985" t="s">
        <v>18077</v>
      </c>
      <c r="Y985" t="s">
        <v>18078</v>
      </c>
      <c r="Z985" t="s">
        <v>74</v>
      </c>
      <c r="AA985" t="s">
        <v>74</v>
      </c>
      <c r="AB985" t="s">
        <v>74</v>
      </c>
      <c r="AC985" t="s">
        <v>74</v>
      </c>
      <c r="AD985" t="s">
        <v>74</v>
      </c>
      <c r="AE985" t="s">
        <v>74</v>
      </c>
      <c r="AF985" t="s">
        <v>74</v>
      </c>
      <c r="AG985">
        <v>51</v>
      </c>
      <c r="AH985">
        <v>0</v>
      </c>
      <c r="AI985">
        <v>0</v>
      </c>
      <c r="AJ985">
        <v>0</v>
      </c>
      <c r="AK985">
        <v>2</v>
      </c>
      <c r="AL985" t="s">
        <v>194</v>
      </c>
      <c r="AM985" t="s">
        <v>195</v>
      </c>
      <c r="AN985" t="s">
        <v>18079</v>
      </c>
      <c r="AO985" t="s">
        <v>18080</v>
      </c>
      <c r="AP985" t="s">
        <v>74</v>
      </c>
      <c r="AQ985" t="s">
        <v>18081</v>
      </c>
      <c r="AR985" t="s">
        <v>18082</v>
      </c>
      <c r="AS985" t="s">
        <v>74</v>
      </c>
      <c r="AT985" t="s">
        <v>74</v>
      </c>
      <c r="AU985">
        <v>2016</v>
      </c>
      <c r="AV985" t="s">
        <v>74</v>
      </c>
      <c r="AW985" t="s">
        <v>74</v>
      </c>
      <c r="AX985" t="s">
        <v>74</v>
      </c>
      <c r="AY985" t="s">
        <v>74</v>
      </c>
      <c r="AZ985" t="s">
        <v>74</v>
      </c>
      <c r="BA985" t="s">
        <v>74</v>
      </c>
      <c r="BB985">
        <v>387</v>
      </c>
      <c r="BC985">
        <v>420</v>
      </c>
      <c r="BD985" t="s">
        <v>74</v>
      </c>
      <c r="BE985" t="s">
        <v>18083</v>
      </c>
      <c r="BF985" t="str">
        <f>HYPERLINK("http://dx.doi.org/10.1007/978-4-431-55870-5_8","http://dx.doi.org/10.1007/978-4-431-55870-5_8")</f>
        <v>http://dx.doi.org/10.1007/978-4-431-55870-5_8</v>
      </c>
      <c r="BG985" t="s">
        <v>18084</v>
      </c>
      <c r="BH985" t="s">
        <v>74</v>
      </c>
      <c r="BI985">
        <v>34</v>
      </c>
      <c r="BJ985" t="s">
        <v>1726</v>
      </c>
      <c r="BK985" t="s">
        <v>17648</v>
      </c>
      <c r="BL985" t="s">
        <v>1726</v>
      </c>
      <c r="BM985" t="s">
        <v>18085</v>
      </c>
      <c r="BN985" t="s">
        <v>74</v>
      </c>
      <c r="BO985" t="s">
        <v>74</v>
      </c>
      <c r="BP985" t="s">
        <v>74</v>
      </c>
      <c r="BQ985" t="s">
        <v>74</v>
      </c>
      <c r="BR985" t="s">
        <v>106</v>
      </c>
      <c r="BS985" t="s">
        <v>18086</v>
      </c>
      <c r="BT985" t="str">
        <f>HYPERLINK("https%3A%2F%2Fwww.webofscience.com%2Fwos%2Fwoscc%2Ffull-record%2FWOS:000398079300010","View Full Record in Web of Science")</f>
        <v>View Full Record in Web of Science</v>
      </c>
    </row>
    <row r="986" spans="1:72" x14ac:dyDescent="0.15">
      <c r="A986" t="s">
        <v>8593</v>
      </c>
      <c r="B986" t="s">
        <v>18087</v>
      </c>
      <c r="C986" t="s">
        <v>74</v>
      </c>
      <c r="D986" t="s">
        <v>18088</v>
      </c>
      <c r="E986" t="s">
        <v>74</v>
      </c>
      <c r="F986" t="s">
        <v>18089</v>
      </c>
      <c r="G986" t="s">
        <v>74</v>
      </c>
      <c r="H986" t="s">
        <v>74</v>
      </c>
      <c r="I986" t="s">
        <v>18090</v>
      </c>
      <c r="J986" t="s">
        <v>18091</v>
      </c>
      <c r="K986" t="s">
        <v>74</v>
      </c>
      <c r="L986" t="s">
        <v>74</v>
      </c>
      <c r="M986" t="s">
        <v>78</v>
      </c>
      <c r="N986" t="s">
        <v>17520</v>
      </c>
      <c r="O986" t="s">
        <v>74</v>
      </c>
      <c r="P986" t="s">
        <v>74</v>
      </c>
      <c r="Q986" t="s">
        <v>74</v>
      </c>
      <c r="R986" t="s">
        <v>74</v>
      </c>
      <c r="S986" t="s">
        <v>74</v>
      </c>
      <c r="T986" t="s">
        <v>74</v>
      </c>
      <c r="U986" t="s">
        <v>74</v>
      </c>
      <c r="V986" t="s">
        <v>74</v>
      </c>
      <c r="W986" t="s">
        <v>18092</v>
      </c>
      <c r="X986" t="s">
        <v>74</v>
      </c>
      <c r="Y986" t="s">
        <v>18093</v>
      </c>
      <c r="Z986" t="s">
        <v>18094</v>
      </c>
      <c r="AA986" t="s">
        <v>74</v>
      </c>
      <c r="AB986" t="s">
        <v>74</v>
      </c>
      <c r="AC986" t="s">
        <v>74</v>
      </c>
      <c r="AD986" t="s">
        <v>74</v>
      </c>
      <c r="AE986" t="s">
        <v>74</v>
      </c>
      <c r="AF986" t="s">
        <v>74</v>
      </c>
      <c r="AG986">
        <v>0</v>
      </c>
      <c r="AH986">
        <v>1</v>
      </c>
      <c r="AI986">
        <v>1</v>
      </c>
      <c r="AJ986">
        <v>0</v>
      </c>
      <c r="AK986">
        <v>1</v>
      </c>
      <c r="AL986" t="s">
        <v>18095</v>
      </c>
      <c r="AM986" t="s">
        <v>18096</v>
      </c>
      <c r="AN986" t="s">
        <v>18097</v>
      </c>
      <c r="AO986" t="s">
        <v>74</v>
      </c>
      <c r="AP986" t="s">
        <v>74</v>
      </c>
      <c r="AQ986" t="s">
        <v>18098</v>
      </c>
      <c r="AR986" t="s">
        <v>74</v>
      </c>
      <c r="AS986" t="s">
        <v>74</v>
      </c>
      <c r="AT986" t="s">
        <v>74</v>
      </c>
      <c r="AU986">
        <v>2016</v>
      </c>
      <c r="AV986" t="s">
        <v>74</v>
      </c>
      <c r="AW986" t="s">
        <v>74</v>
      </c>
      <c r="AX986" t="s">
        <v>74</v>
      </c>
      <c r="AY986" t="s">
        <v>74</v>
      </c>
      <c r="AZ986" t="s">
        <v>74</v>
      </c>
      <c r="BA986" t="s">
        <v>74</v>
      </c>
      <c r="BB986">
        <v>335</v>
      </c>
      <c r="BC986">
        <v>349</v>
      </c>
      <c r="BD986" t="s">
        <v>74</v>
      </c>
      <c r="BE986" t="s">
        <v>74</v>
      </c>
      <c r="BF986" t="s">
        <v>74</v>
      </c>
      <c r="BG986" t="s">
        <v>74</v>
      </c>
      <c r="BH986" t="s">
        <v>74</v>
      </c>
      <c r="BI986">
        <v>15</v>
      </c>
      <c r="BJ986" t="s">
        <v>18099</v>
      </c>
      <c r="BK986" t="s">
        <v>17590</v>
      </c>
      <c r="BL986" t="s">
        <v>18099</v>
      </c>
      <c r="BM986" t="s">
        <v>18100</v>
      </c>
      <c r="BN986" t="s">
        <v>74</v>
      </c>
      <c r="BO986" t="s">
        <v>74</v>
      </c>
      <c r="BP986" t="s">
        <v>74</v>
      </c>
      <c r="BQ986" t="s">
        <v>74</v>
      </c>
      <c r="BR986" t="s">
        <v>106</v>
      </c>
      <c r="BS986" t="s">
        <v>18101</v>
      </c>
      <c r="BT986" t="str">
        <f>HYPERLINK("https%3A%2F%2Fwww.webofscience.com%2Fwos%2Fwoscc%2Ffull-record%2FWOS:000409478200028","View Full Record in Web of Science")</f>
        <v>View Full Record in Web of Science</v>
      </c>
    </row>
    <row r="987" spans="1:72" x14ac:dyDescent="0.15">
      <c r="A987" t="s">
        <v>3136</v>
      </c>
      <c r="B987" t="s">
        <v>18102</v>
      </c>
      <c r="C987" t="s">
        <v>18102</v>
      </c>
      <c r="D987" t="s">
        <v>74</v>
      </c>
      <c r="E987" t="s">
        <v>74</v>
      </c>
      <c r="F987" t="s">
        <v>18103</v>
      </c>
      <c r="G987" t="s">
        <v>18102</v>
      </c>
      <c r="H987" t="s">
        <v>74</v>
      </c>
      <c r="I987" t="s">
        <v>18104</v>
      </c>
      <c r="J987" t="s">
        <v>18105</v>
      </c>
      <c r="K987" t="s">
        <v>18106</v>
      </c>
      <c r="L987" t="s">
        <v>74</v>
      </c>
      <c r="M987" t="s">
        <v>78</v>
      </c>
      <c r="N987" t="s">
        <v>17520</v>
      </c>
      <c r="O987" t="s">
        <v>74</v>
      </c>
      <c r="P987" t="s">
        <v>74</v>
      </c>
      <c r="Q987" t="s">
        <v>74</v>
      </c>
      <c r="R987" t="s">
        <v>74</v>
      </c>
      <c r="S987" t="s">
        <v>74</v>
      </c>
      <c r="T987" t="s">
        <v>74</v>
      </c>
      <c r="U987" t="s">
        <v>74</v>
      </c>
      <c r="V987" t="s">
        <v>74</v>
      </c>
      <c r="W987" t="s">
        <v>74</v>
      </c>
      <c r="X987" t="s">
        <v>74</v>
      </c>
      <c r="Y987" t="s">
        <v>74</v>
      </c>
      <c r="Z987" t="s">
        <v>74</v>
      </c>
      <c r="AA987" t="s">
        <v>74</v>
      </c>
      <c r="AB987" t="s">
        <v>74</v>
      </c>
      <c r="AC987" t="s">
        <v>74</v>
      </c>
      <c r="AD987" t="s">
        <v>74</v>
      </c>
      <c r="AE987" t="s">
        <v>74</v>
      </c>
      <c r="AF987" t="s">
        <v>74</v>
      </c>
      <c r="AG987">
        <v>0</v>
      </c>
      <c r="AH987">
        <v>0</v>
      </c>
      <c r="AI987">
        <v>0</v>
      </c>
      <c r="AJ987">
        <v>0</v>
      </c>
      <c r="AK987">
        <v>0</v>
      </c>
      <c r="AL987" t="s">
        <v>18107</v>
      </c>
      <c r="AM987" t="s">
        <v>18108</v>
      </c>
      <c r="AN987" t="s">
        <v>18109</v>
      </c>
      <c r="AO987" t="s">
        <v>18110</v>
      </c>
      <c r="AP987" t="s">
        <v>74</v>
      </c>
      <c r="AQ987" t="s">
        <v>18111</v>
      </c>
      <c r="AR987" t="s">
        <v>18112</v>
      </c>
      <c r="AS987" t="s">
        <v>74</v>
      </c>
      <c r="AT987" t="s">
        <v>74</v>
      </c>
      <c r="AU987">
        <v>2016</v>
      </c>
      <c r="AV987">
        <v>81</v>
      </c>
      <c r="AW987" t="s">
        <v>74</v>
      </c>
      <c r="AX987" t="s">
        <v>74</v>
      </c>
      <c r="AY987" t="s">
        <v>74</v>
      </c>
      <c r="AZ987" t="s">
        <v>74</v>
      </c>
      <c r="BA987" t="s">
        <v>74</v>
      </c>
      <c r="BB987">
        <v>227</v>
      </c>
      <c r="BC987">
        <v>245</v>
      </c>
      <c r="BD987" t="s">
        <v>74</v>
      </c>
      <c r="BE987" t="s">
        <v>18113</v>
      </c>
      <c r="BF987" t="str">
        <f>HYPERLINK("http://dx.doi.org/10.1163/9789004326248_010","http://dx.doi.org/10.1163/9789004326248_010")</f>
        <v>http://dx.doi.org/10.1163/9789004326248_010</v>
      </c>
      <c r="BG987" t="s">
        <v>74</v>
      </c>
      <c r="BH987" t="s">
        <v>74</v>
      </c>
      <c r="BI987">
        <v>19</v>
      </c>
      <c r="BJ987" t="s">
        <v>18114</v>
      </c>
      <c r="BK987" t="s">
        <v>17534</v>
      </c>
      <c r="BL987" t="s">
        <v>18115</v>
      </c>
      <c r="BM987" t="s">
        <v>18116</v>
      </c>
      <c r="BN987" t="s">
        <v>74</v>
      </c>
      <c r="BO987" t="s">
        <v>74</v>
      </c>
      <c r="BP987" t="s">
        <v>74</v>
      </c>
      <c r="BQ987" t="s">
        <v>74</v>
      </c>
      <c r="BR987" t="s">
        <v>106</v>
      </c>
      <c r="BS987" t="s">
        <v>18117</v>
      </c>
      <c r="BT987" t="str">
        <f>HYPERLINK("https%3A%2F%2Fwww.webofscience.com%2Fwos%2Fwoscc%2Ffull-record%2FWOS:000409375400009","View Full Record in Web of Science")</f>
        <v>View Full Record in Web of Science</v>
      </c>
    </row>
    <row r="988" spans="1:72" x14ac:dyDescent="0.15">
      <c r="A988" t="s">
        <v>72</v>
      </c>
      <c r="B988" t="s">
        <v>18118</v>
      </c>
      <c r="C988" t="s">
        <v>74</v>
      </c>
      <c r="D988" t="s">
        <v>74</v>
      </c>
      <c r="E988" t="s">
        <v>74</v>
      </c>
      <c r="F988" t="s">
        <v>18119</v>
      </c>
      <c r="G988" t="s">
        <v>74</v>
      </c>
      <c r="H988" t="s">
        <v>74</v>
      </c>
      <c r="I988" t="s">
        <v>18120</v>
      </c>
      <c r="J988" t="s">
        <v>18121</v>
      </c>
      <c r="K988" t="s">
        <v>74</v>
      </c>
      <c r="L988" t="s">
        <v>74</v>
      </c>
      <c r="M988" t="s">
        <v>18122</v>
      </c>
      <c r="N988" t="s">
        <v>79</v>
      </c>
      <c r="O988" t="s">
        <v>74</v>
      </c>
      <c r="P988" t="s">
        <v>74</v>
      </c>
      <c r="Q988" t="s">
        <v>74</v>
      </c>
      <c r="R988" t="s">
        <v>74</v>
      </c>
      <c r="S988" t="s">
        <v>74</v>
      </c>
      <c r="T988" t="s">
        <v>18123</v>
      </c>
      <c r="U988" t="s">
        <v>74</v>
      </c>
      <c r="V988" t="s">
        <v>18124</v>
      </c>
      <c r="W988" t="s">
        <v>18125</v>
      </c>
      <c r="X988" t="s">
        <v>18126</v>
      </c>
      <c r="Y988" t="s">
        <v>18127</v>
      </c>
      <c r="Z988" t="s">
        <v>74</v>
      </c>
      <c r="AA988" t="s">
        <v>74</v>
      </c>
      <c r="AB988" t="s">
        <v>74</v>
      </c>
      <c r="AC988" t="s">
        <v>74</v>
      </c>
      <c r="AD988" t="s">
        <v>74</v>
      </c>
      <c r="AE988" t="s">
        <v>74</v>
      </c>
      <c r="AF988" t="s">
        <v>74</v>
      </c>
      <c r="AG988">
        <v>17</v>
      </c>
      <c r="AH988">
        <v>0</v>
      </c>
      <c r="AI988">
        <v>0</v>
      </c>
      <c r="AJ988">
        <v>0</v>
      </c>
      <c r="AK988">
        <v>0</v>
      </c>
      <c r="AL988" t="s">
        <v>18128</v>
      </c>
      <c r="AM988" t="s">
        <v>18129</v>
      </c>
      <c r="AN988" t="s">
        <v>18130</v>
      </c>
      <c r="AO988" t="s">
        <v>18131</v>
      </c>
      <c r="AP988" t="s">
        <v>18132</v>
      </c>
      <c r="AQ988" t="s">
        <v>74</v>
      </c>
      <c r="AR988" t="s">
        <v>18133</v>
      </c>
      <c r="AS988" t="s">
        <v>18134</v>
      </c>
      <c r="AT988" t="s">
        <v>74</v>
      </c>
      <c r="AU988">
        <v>2016</v>
      </c>
      <c r="AV988">
        <v>38</v>
      </c>
      <c r="AW988">
        <v>2</v>
      </c>
      <c r="AX988" t="s">
        <v>74</v>
      </c>
      <c r="AY988" t="s">
        <v>74</v>
      </c>
      <c r="AZ988" t="s">
        <v>74</v>
      </c>
      <c r="BA988" t="s">
        <v>74</v>
      </c>
      <c r="BB988">
        <v>120</v>
      </c>
      <c r="BC988">
        <v>128</v>
      </c>
      <c r="BD988" t="s">
        <v>74</v>
      </c>
      <c r="BE988" t="s">
        <v>74</v>
      </c>
      <c r="BF988" t="s">
        <v>74</v>
      </c>
      <c r="BG988" t="s">
        <v>74</v>
      </c>
      <c r="BH988" t="s">
        <v>74</v>
      </c>
      <c r="BI988">
        <v>9</v>
      </c>
      <c r="BJ988" t="s">
        <v>727</v>
      </c>
      <c r="BK988" t="s">
        <v>967</v>
      </c>
      <c r="BL988" t="s">
        <v>727</v>
      </c>
      <c r="BM988" t="s">
        <v>18135</v>
      </c>
      <c r="BN988" t="s">
        <v>74</v>
      </c>
      <c r="BO988" t="s">
        <v>74</v>
      </c>
      <c r="BP988" t="s">
        <v>74</v>
      </c>
      <c r="BQ988" t="s">
        <v>74</v>
      </c>
      <c r="BR988" t="s">
        <v>106</v>
      </c>
      <c r="BS988" t="s">
        <v>18136</v>
      </c>
      <c r="BT988" t="str">
        <f>HYPERLINK("https%3A%2F%2Fwww.webofscience.com%2Fwos%2Fwoscc%2Ffull-record%2FWOS:000413287900009","View Full Record in Web of Science")</f>
        <v>View Full Record in Web of Science</v>
      </c>
    </row>
    <row r="989" spans="1:72" x14ac:dyDescent="0.15">
      <c r="A989" t="s">
        <v>72</v>
      </c>
      <c r="B989" t="s">
        <v>18137</v>
      </c>
      <c r="C989" t="s">
        <v>74</v>
      </c>
      <c r="D989" t="s">
        <v>74</v>
      </c>
      <c r="E989" t="s">
        <v>74</v>
      </c>
      <c r="F989" t="s">
        <v>18138</v>
      </c>
      <c r="G989" t="s">
        <v>74</v>
      </c>
      <c r="H989" t="s">
        <v>74</v>
      </c>
      <c r="I989" t="s">
        <v>18139</v>
      </c>
      <c r="J989" t="s">
        <v>18140</v>
      </c>
      <c r="K989" t="s">
        <v>74</v>
      </c>
      <c r="L989" t="s">
        <v>74</v>
      </c>
      <c r="M989" t="s">
        <v>78</v>
      </c>
      <c r="N989" t="s">
        <v>79</v>
      </c>
      <c r="O989" t="s">
        <v>74</v>
      </c>
      <c r="P989" t="s">
        <v>74</v>
      </c>
      <c r="Q989" t="s">
        <v>74</v>
      </c>
      <c r="R989" t="s">
        <v>74</v>
      </c>
      <c r="S989" t="s">
        <v>74</v>
      </c>
      <c r="T989" t="s">
        <v>18141</v>
      </c>
      <c r="U989" t="s">
        <v>18142</v>
      </c>
      <c r="V989" t="s">
        <v>18143</v>
      </c>
      <c r="W989" t="s">
        <v>18144</v>
      </c>
      <c r="X989" t="s">
        <v>18145</v>
      </c>
      <c r="Y989" t="s">
        <v>18146</v>
      </c>
      <c r="Z989" t="s">
        <v>18147</v>
      </c>
      <c r="AA989" t="s">
        <v>74</v>
      </c>
      <c r="AB989" t="s">
        <v>74</v>
      </c>
      <c r="AC989" t="s">
        <v>18148</v>
      </c>
      <c r="AD989" t="s">
        <v>18149</v>
      </c>
      <c r="AE989" t="s">
        <v>18150</v>
      </c>
      <c r="AF989" t="s">
        <v>74</v>
      </c>
      <c r="AG989">
        <v>99</v>
      </c>
      <c r="AH989">
        <v>7</v>
      </c>
      <c r="AI989">
        <v>7</v>
      </c>
      <c r="AJ989">
        <v>0</v>
      </c>
      <c r="AK989">
        <v>4</v>
      </c>
      <c r="AL989" t="s">
        <v>18151</v>
      </c>
      <c r="AM989" t="s">
        <v>583</v>
      </c>
      <c r="AN989" t="s">
        <v>18152</v>
      </c>
      <c r="AO989" t="s">
        <v>18153</v>
      </c>
      <c r="AP989" t="s">
        <v>18154</v>
      </c>
      <c r="AQ989" t="s">
        <v>74</v>
      </c>
      <c r="AR989" t="s">
        <v>18155</v>
      </c>
      <c r="AS989" t="s">
        <v>18156</v>
      </c>
      <c r="AT989" t="s">
        <v>74</v>
      </c>
      <c r="AU989">
        <v>2016</v>
      </c>
      <c r="AV989">
        <v>2</v>
      </c>
      <c r="AW989">
        <v>2</v>
      </c>
      <c r="AX989" t="s">
        <v>74</v>
      </c>
      <c r="AY989" t="s">
        <v>74</v>
      </c>
      <c r="AZ989" t="s">
        <v>74</v>
      </c>
      <c r="BA989" t="s">
        <v>74</v>
      </c>
      <c r="BB989">
        <v>57</v>
      </c>
      <c r="BC989">
        <v>70</v>
      </c>
      <c r="BD989" t="s">
        <v>74</v>
      </c>
      <c r="BE989" t="s">
        <v>18157</v>
      </c>
      <c r="BF989" t="str">
        <f>HYPERLINK("http://dx.doi.org/10.3233/JCC-160017","http://dx.doi.org/10.3233/JCC-160017")</f>
        <v>http://dx.doi.org/10.3233/JCC-160017</v>
      </c>
      <c r="BG989" t="s">
        <v>74</v>
      </c>
      <c r="BH989" t="s">
        <v>74</v>
      </c>
      <c r="BI989">
        <v>14</v>
      </c>
      <c r="BJ989" t="s">
        <v>1726</v>
      </c>
      <c r="BK989" t="s">
        <v>967</v>
      </c>
      <c r="BL989" t="s">
        <v>1726</v>
      </c>
      <c r="BM989" t="s">
        <v>18158</v>
      </c>
      <c r="BN989" t="s">
        <v>74</v>
      </c>
      <c r="BO989" t="s">
        <v>74</v>
      </c>
      <c r="BP989" t="s">
        <v>74</v>
      </c>
      <c r="BQ989" t="s">
        <v>74</v>
      </c>
      <c r="BR989" t="s">
        <v>106</v>
      </c>
      <c r="BS989" t="s">
        <v>18159</v>
      </c>
      <c r="BT989" t="str">
        <f>HYPERLINK("https%3A%2F%2Fwww.webofscience.com%2Fwos%2Fwoscc%2Ffull-record%2FWOS:000414071500006","View Full Record in Web of Science")</f>
        <v>View Full Record in Web of Science</v>
      </c>
    </row>
    <row r="990" spans="1:72" x14ac:dyDescent="0.15">
      <c r="A990" t="s">
        <v>8593</v>
      </c>
      <c r="B990" t="s">
        <v>18160</v>
      </c>
      <c r="C990" t="s">
        <v>74</v>
      </c>
      <c r="D990" t="s">
        <v>18161</v>
      </c>
      <c r="E990" t="s">
        <v>74</v>
      </c>
      <c r="F990" t="s">
        <v>18162</v>
      </c>
      <c r="G990" t="s">
        <v>74</v>
      </c>
      <c r="H990" t="s">
        <v>74</v>
      </c>
      <c r="I990" t="s">
        <v>18163</v>
      </c>
      <c r="J990" t="s">
        <v>18164</v>
      </c>
      <c r="K990" t="s">
        <v>74</v>
      </c>
      <c r="L990" t="s">
        <v>74</v>
      </c>
      <c r="M990" t="s">
        <v>78</v>
      </c>
      <c r="N990" t="s">
        <v>17520</v>
      </c>
      <c r="O990" t="s">
        <v>74</v>
      </c>
      <c r="P990" t="s">
        <v>74</v>
      </c>
      <c r="Q990" t="s">
        <v>74</v>
      </c>
      <c r="R990" t="s">
        <v>74</v>
      </c>
      <c r="S990" t="s">
        <v>74</v>
      </c>
      <c r="T990" t="s">
        <v>74</v>
      </c>
      <c r="U990" t="s">
        <v>18165</v>
      </c>
      <c r="V990" t="s">
        <v>74</v>
      </c>
      <c r="W990" t="s">
        <v>18166</v>
      </c>
      <c r="X990" t="s">
        <v>18167</v>
      </c>
      <c r="Y990" t="s">
        <v>18168</v>
      </c>
      <c r="Z990" t="s">
        <v>74</v>
      </c>
      <c r="AA990" t="s">
        <v>74</v>
      </c>
      <c r="AB990" t="s">
        <v>74</v>
      </c>
      <c r="AC990" t="s">
        <v>74</v>
      </c>
      <c r="AD990" t="s">
        <v>74</v>
      </c>
      <c r="AE990" t="s">
        <v>74</v>
      </c>
      <c r="AF990" t="s">
        <v>74</v>
      </c>
      <c r="AG990">
        <v>19</v>
      </c>
      <c r="AH990">
        <v>2</v>
      </c>
      <c r="AI990">
        <v>2</v>
      </c>
      <c r="AJ990">
        <v>0</v>
      </c>
      <c r="AK990">
        <v>0</v>
      </c>
      <c r="AL990" t="s">
        <v>18169</v>
      </c>
      <c r="AM990" t="s">
        <v>773</v>
      </c>
      <c r="AN990" t="s">
        <v>18170</v>
      </c>
      <c r="AO990" t="s">
        <v>74</v>
      </c>
      <c r="AP990" t="s">
        <v>74</v>
      </c>
      <c r="AQ990" t="s">
        <v>18171</v>
      </c>
      <c r="AR990" t="s">
        <v>74</v>
      </c>
      <c r="AS990" t="s">
        <v>74</v>
      </c>
      <c r="AT990" t="s">
        <v>74</v>
      </c>
      <c r="AU990">
        <v>2016</v>
      </c>
      <c r="AV990" t="s">
        <v>74</v>
      </c>
      <c r="AW990" t="s">
        <v>74</v>
      </c>
      <c r="AX990" t="s">
        <v>74</v>
      </c>
      <c r="AY990" t="s">
        <v>74</v>
      </c>
      <c r="AZ990" t="s">
        <v>74</v>
      </c>
      <c r="BA990" t="s">
        <v>74</v>
      </c>
      <c r="BB990">
        <v>231</v>
      </c>
      <c r="BC990">
        <v>254</v>
      </c>
      <c r="BD990" t="s">
        <v>74</v>
      </c>
      <c r="BE990" t="s">
        <v>74</v>
      </c>
      <c r="BF990" t="s">
        <v>74</v>
      </c>
      <c r="BG990" t="s">
        <v>74</v>
      </c>
      <c r="BH990" t="s">
        <v>74</v>
      </c>
      <c r="BI990">
        <v>24</v>
      </c>
      <c r="BJ990" t="s">
        <v>18172</v>
      </c>
      <c r="BK990" t="s">
        <v>17648</v>
      </c>
      <c r="BL990" t="s">
        <v>18172</v>
      </c>
      <c r="BM990" t="s">
        <v>18173</v>
      </c>
      <c r="BN990" t="s">
        <v>74</v>
      </c>
      <c r="BO990" t="s">
        <v>74</v>
      </c>
      <c r="BP990" t="s">
        <v>74</v>
      </c>
      <c r="BQ990" t="s">
        <v>74</v>
      </c>
      <c r="BR990" t="s">
        <v>106</v>
      </c>
      <c r="BS990" t="s">
        <v>18174</v>
      </c>
      <c r="BT990" t="str">
        <f>HYPERLINK("https%3A%2F%2Fwww.webofscience.com%2Fwos%2Fwoscc%2Ffull-record%2FWOS:000412911500009","View Full Record in Web of Science")</f>
        <v>View Full Record in Web of Science</v>
      </c>
    </row>
    <row r="991" spans="1:72" x14ac:dyDescent="0.15">
      <c r="A991" t="s">
        <v>3136</v>
      </c>
      <c r="B991" t="s">
        <v>18175</v>
      </c>
      <c r="C991" t="s">
        <v>74</v>
      </c>
      <c r="D991" t="s">
        <v>18176</v>
      </c>
      <c r="E991" t="s">
        <v>74</v>
      </c>
      <c r="F991" t="s">
        <v>18177</v>
      </c>
      <c r="G991" t="s">
        <v>74</v>
      </c>
      <c r="H991" t="s">
        <v>74</v>
      </c>
      <c r="I991" t="s">
        <v>18178</v>
      </c>
      <c r="J991" t="s">
        <v>18179</v>
      </c>
      <c r="K991" t="s">
        <v>18180</v>
      </c>
      <c r="L991" t="s">
        <v>74</v>
      </c>
      <c r="M991" t="s">
        <v>78</v>
      </c>
      <c r="N991" t="s">
        <v>17520</v>
      </c>
      <c r="O991" t="s">
        <v>74</v>
      </c>
      <c r="P991" t="s">
        <v>74</v>
      </c>
      <c r="Q991" t="s">
        <v>74</v>
      </c>
      <c r="R991" t="s">
        <v>74</v>
      </c>
      <c r="S991" t="s">
        <v>74</v>
      </c>
      <c r="T991" t="s">
        <v>18181</v>
      </c>
      <c r="U991" t="s">
        <v>18182</v>
      </c>
      <c r="V991" t="s">
        <v>18183</v>
      </c>
      <c r="W991" t="s">
        <v>18184</v>
      </c>
      <c r="X991" t="s">
        <v>13194</v>
      </c>
      <c r="Y991" t="s">
        <v>18185</v>
      </c>
      <c r="Z991" t="s">
        <v>18186</v>
      </c>
      <c r="AA991" t="s">
        <v>74</v>
      </c>
      <c r="AB991" t="s">
        <v>18187</v>
      </c>
      <c r="AC991" t="s">
        <v>74</v>
      </c>
      <c r="AD991" t="s">
        <v>74</v>
      </c>
      <c r="AE991" t="s">
        <v>74</v>
      </c>
      <c r="AF991" t="s">
        <v>74</v>
      </c>
      <c r="AG991">
        <v>48</v>
      </c>
      <c r="AH991">
        <v>29</v>
      </c>
      <c r="AI991">
        <v>30</v>
      </c>
      <c r="AJ991">
        <v>0</v>
      </c>
      <c r="AK991">
        <v>0</v>
      </c>
      <c r="AL991" t="s">
        <v>1179</v>
      </c>
      <c r="AM991" t="s">
        <v>1180</v>
      </c>
      <c r="AN991" t="s">
        <v>1181</v>
      </c>
      <c r="AO991" t="s">
        <v>18188</v>
      </c>
      <c r="AP991" t="s">
        <v>18189</v>
      </c>
      <c r="AQ991" t="s">
        <v>18190</v>
      </c>
      <c r="AR991" t="s">
        <v>18191</v>
      </c>
      <c r="AS991" t="s">
        <v>74</v>
      </c>
      <c r="AT991" t="s">
        <v>74</v>
      </c>
      <c r="AU991">
        <v>2016</v>
      </c>
      <c r="AV991" t="s">
        <v>74</v>
      </c>
      <c r="AW991" t="s">
        <v>74</v>
      </c>
      <c r="AX991" t="s">
        <v>74</v>
      </c>
      <c r="AY991" t="s">
        <v>74</v>
      </c>
      <c r="AZ991" t="s">
        <v>74</v>
      </c>
      <c r="BA991" t="s">
        <v>74</v>
      </c>
      <c r="BB991">
        <v>45</v>
      </c>
      <c r="BC991">
        <v>55</v>
      </c>
      <c r="BD991" t="s">
        <v>74</v>
      </c>
      <c r="BE991" t="s">
        <v>18192</v>
      </c>
      <c r="BF991" t="str">
        <f>HYPERLINK("http://dx.doi.org/10.1007/978-3-319-40859-0_5","http://dx.doi.org/10.1007/978-3-319-40859-0_5")</f>
        <v>http://dx.doi.org/10.1007/978-3-319-40859-0_5</v>
      </c>
      <c r="BG991" t="s">
        <v>18193</v>
      </c>
      <c r="BH991" t="s">
        <v>74</v>
      </c>
      <c r="BI991">
        <v>11</v>
      </c>
      <c r="BJ991" t="s">
        <v>270</v>
      </c>
      <c r="BK991" t="s">
        <v>17648</v>
      </c>
      <c r="BL991" t="s">
        <v>270</v>
      </c>
      <c r="BM991" t="s">
        <v>18194</v>
      </c>
      <c r="BN991" t="s">
        <v>74</v>
      </c>
      <c r="BO991" t="s">
        <v>74</v>
      </c>
      <c r="BP991" t="s">
        <v>74</v>
      </c>
      <c r="BQ991" t="s">
        <v>74</v>
      </c>
      <c r="BR991" t="s">
        <v>106</v>
      </c>
      <c r="BS991" t="s">
        <v>18195</v>
      </c>
      <c r="BT991" t="str">
        <f>HYPERLINK("https%3A%2F%2Fwww.webofscience.com%2Fwos%2Fwoscc%2Ffull-record%2FWOS:000412853600006","View Full Record in Web of Science")</f>
        <v>View Full Record in Web of Science</v>
      </c>
    </row>
    <row r="992" spans="1:72" x14ac:dyDescent="0.15">
      <c r="A992" t="s">
        <v>72</v>
      </c>
      <c r="B992" t="s">
        <v>18196</v>
      </c>
      <c r="C992" t="s">
        <v>74</v>
      </c>
      <c r="D992" t="s">
        <v>74</v>
      </c>
      <c r="E992" t="s">
        <v>74</v>
      </c>
      <c r="F992" t="s">
        <v>18197</v>
      </c>
      <c r="G992" t="s">
        <v>74</v>
      </c>
      <c r="H992" t="s">
        <v>74</v>
      </c>
      <c r="I992" t="s">
        <v>18198</v>
      </c>
      <c r="J992" t="s">
        <v>18199</v>
      </c>
      <c r="K992" t="s">
        <v>74</v>
      </c>
      <c r="L992" t="s">
        <v>74</v>
      </c>
      <c r="M992" t="s">
        <v>18122</v>
      </c>
      <c r="N992" t="s">
        <v>79</v>
      </c>
      <c r="O992" t="s">
        <v>74</v>
      </c>
      <c r="P992" t="s">
        <v>74</v>
      </c>
      <c r="Q992" t="s">
        <v>74</v>
      </c>
      <c r="R992" t="s">
        <v>74</v>
      </c>
      <c r="S992" t="s">
        <v>74</v>
      </c>
      <c r="T992" t="s">
        <v>18200</v>
      </c>
      <c r="U992" t="s">
        <v>74</v>
      </c>
      <c r="V992" t="s">
        <v>18201</v>
      </c>
      <c r="W992" t="s">
        <v>18202</v>
      </c>
      <c r="X992" t="s">
        <v>18203</v>
      </c>
      <c r="Y992" t="s">
        <v>18204</v>
      </c>
      <c r="Z992" t="s">
        <v>18205</v>
      </c>
      <c r="AA992" t="s">
        <v>18206</v>
      </c>
      <c r="AB992" t="s">
        <v>18207</v>
      </c>
      <c r="AC992" t="s">
        <v>74</v>
      </c>
      <c r="AD992" t="s">
        <v>74</v>
      </c>
      <c r="AE992" t="s">
        <v>74</v>
      </c>
      <c r="AF992" t="s">
        <v>74</v>
      </c>
      <c r="AG992">
        <v>16</v>
      </c>
      <c r="AH992">
        <v>0</v>
      </c>
      <c r="AI992">
        <v>0</v>
      </c>
      <c r="AJ992">
        <v>0</v>
      </c>
      <c r="AK992">
        <v>1</v>
      </c>
      <c r="AL992" t="s">
        <v>18208</v>
      </c>
      <c r="AM992" t="s">
        <v>18209</v>
      </c>
      <c r="AN992" t="s">
        <v>18210</v>
      </c>
      <c r="AO992" t="s">
        <v>74</v>
      </c>
      <c r="AP992" t="s">
        <v>18211</v>
      </c>
      <c r="AQ992" t="s">
        <v>74</v>
      </c>
      <c r="AR992" t="s">
        <v>18212</v>
      </c>
      <c r="AS992" t="s">
        <v>18213</v>
      </c>
      <c r="AT992" t="s">
        <v>74</v>
      </c>
      <c r="AU992">
        <v>2016</v>
      </c>
      <c r="AV992" t="s">
        <v>74</v>
      </c>
      <c r="AW992">
        <v>97</v>
      </c>
      <c r="AX992" t="s">
        <v>74</v>
      </c>
      <c r="AY992" t="s">
        <v>74</v>
      </c>
      <c r="AZ992" t="s">
        <v>74</v>
      </c>
      <c r="BA992" t="s">
        <v>74</v>
      </c>
      <c r="BB992">
        <v>155</v>
      </c>
      <c r="BC992">
        <v>174</v>
      </c>
      <c r="BD992" t="s">
        <v>74</v>
      </c>
      <c r="BE992" t="s">
        <v>74</v>
      </c>
      <c r="BF992" t="s">
        <v>74</v>
      </c>
      <c r="BG992" t="s">
        <v>74</v>
      </c>
      <c r="BH992" t="s">
        <v>74</v>
      </c>
      <c r="BI992">
        <v>20</v>
      </c>
      <c r="BJ992" t="s">
        <v>2388</v>
      </c>
      <c r="BK992" t="s">
        <v>967</v>
      </c>
      <c r="BL992" t="s">
        <v>2389</v>
      </c>
      <c r="BM992" t="s">
        <v>18214</v>
      </c>
      <c r="BN992" t="s">
        <v>74</v>
      </c>
      <c r="BO992" t="s">
        <v>74</v>
      </c>
      <c r="BP992" t="s">
        <v>74</v>
      </c>
      <c r="BQ992" t="s">
        <v>74</v>
      </c>
      <c r="BR992" t="s">
        <v>106</v>
      </c>
      <c r="BS992" t="s">
        <v>18215</v>
      </c>
      <c r="BT992" t="str">
        <f>HYPERLINK("https%3A%2F%2Fwww.webofscience.com%2Fwos%2Fwoscc%2Ffull-record%2FWOS:000410857600013","View Full Record in Web of Science")</f>
        <v>View Full Record in Web of Science</v>
      </c>
    </row>
    <row r="993" spans="1:72" x14ac:dyDescent="0.15">
      <c r="A993" t="s">
        <v>72</v>
      </c>
      <c r="B993" t="s">
        <v>18216</v>
      </c>
      <c r="C993" t="s">
        <v>74</v>
      </c>
      <c r="D993" t="s">
        <v>74</v>
      </c>
      <c r="E993" t="s">
        <v>74</v>
      </c>
      <c r="F993" t="s">
        <v>18217</v>
      </c>
      <c r="G993" t="s">
        <v>74</v>
      </c>
      <c r="H993" t="s">
        <v>74</v>
      </c>
      <c r="I993" t="s">
        <v>18218</v>
      </c>
      <c r="J993" t="s">
        <v>18219</v>
      </c>
      <c r="K993" t="s">
        <v>74</v>
      </c>
      <c r="L993" t="s">
        <v>74</v>
      </c>
      <c r="M993" t="s">
        <v>78</v>
      </c>
      <c r="N993" t="s">
        <v>79</v>
      </c>
      <c r="O993" t="s">
        <v>74</v>
      </c>
      <c r="P993" t="s">
        <v>74</v>
      </c>
      <c r="Q993" t="s">
        <v>74</v>
      </c>
      <c r="R993" t="s">
        <v>74</v>
      </c>
      <c r="S993" t="s">
        <v>74</v>
      </c>
      <c r="T993" t="s">
        <v>18220</v>
      </c>
      <c r="U993" t="s">
        <v>74</v>
      </c>
      <c r="V993" t="s">
        <v>18221</v>
      </c>
      <c r="W993" t="s">
        <v>18222</v>
      </c>
      <c r="X993" t="s">
        <v>18223</v>
      </c>
      <c r="Y993" t="s">
        <v>18224</v>
      </c>
      <c r="Z993" t="s">
        <v>18225</v>
      </c>
      <c r="AA993" t="s">
        <v>18226</v>
      </c>
      <c r="AB993" t="s">
        <v>18227</v>
      </c>
      <c r="AC993" t="s">
        <v>74</v>
      </c>
      <c r="AD993" t="s">
        <v>74</v>
      </c>
      <c r="AE993" t="s">
        <v>74</v>
      </c>
      <c r="AF993" t="s">
        <v>74</v>
      </c>
      <c r="AG993">
        <v>17</v>
      </c>
      <c r="AH993">
        <v>4</v>
      </c>
      <c r="AI993">
        <v>4</v>
      </c>
      <c r="AJ993">
        <v>0</v>
      </c>
      <c r="AK993">
        <v>1</v>
      </c>
      <c r="AL993" t="s">
        <v>18228</v>
      </c>
      <c r="AM993" t="s">
        <v>18229</v>
      </c>
      <c r="AN993" t="s">
        <v>18230</v>
      </c>
      <c r="AO993" t="s">
        <v>18231</v>
      </c>
      <c r="AP993" t="s">
        <v>74</v>
      </c>
      <c r="AQ993" t="s">
        <v>74</v>
      </c>
      <c r="AR993" t="s">
        <v>18232</v>
      </c>
      <c r="AS993" t="s">
        <v>18233</v>
      </c>
      <c r="AT993" t="s">
        <v>74</v>
      </c>
      <c r="AU993">
        <v>2016</v>
      </c>
      <c r="AV993">
        <v>21</v>
      </c>
      <c r="AW993" t="s">
        <v>74</v>
      </c>
      <c r="AX993" t="s">
        <v>74</v>
      </c>
      <c r="AY993" t="s">
        <v>74</v>
      </c>
      <c r="AZ993" t="s">
        <v>74</v>
      </c>
      <c r="BA993" t="s">
        <v>74</v>
      </c>
      <c r="BB993">
        <v>109</v>
      </c>
      <c r="BC993">
        <v>113</v>
      </c>
      <c r="BD993" t="s">
        <v>74</v>
      </c>
      <c r="BE993" t="s">
        <v>18234</v>
      </c>
      <c r="BF993" t="str">
        <f>HYPERLINK("http://dx.doi.org/10.15259/PCACD.21.11","http://dx.doi.org/10.15259/PCACD.21.11")</f>
        <v>http://dx.doi.org/10.15259/PCACD.21.11</v>
      </c>
      <c r="BG993" t="s">
        <v>74</v>
      </c>
      <c r="BH993" t="s">
        <v>74</v>
      </c>
      <c r="BI993">
        <v>5</v>
      </c>
      <c r="BJ993" t="s">
        <v>18235</v>
      </c>
      <c r="BK993" t="s">
        <v>967</v>
      </c>
      <c r="BL993" t="s">
        <v>2389</v>
      </c>
      <c r="BM993" t="s">
        <v>18236</v>
      </c>
      <c r="BN993" t="s">
        <v>74</v>
      </c>
      <c r="BO993" t="s">
        <v>420</v>
      </c>
      <c r="BP993" t="s">
        <v>74</v>
      </c>
      <c r="BQ993" t="s">
        <v>74</v>
      </c>
      <c r="BR993" t="s">
        <v>106</v>
      </c>
      <c r="BS993" t="s">
        <v>18237</v>
      </c>
      <c r="BT993" t="str">
        <f>HYPERLINK("https%3A%2F%2Fwww.webofscience.com%2Fwos%2Fwoscc%2Ffull-record%2FWOS:000410197600011","View Full Record in Web of Science")</f>
        <v>View Full Record in Web of Science</v>
      </c>
    </row>
    <row r="994" spans="1:72" x14ac:dyDescent="0.15">
      <c r="A994" t="s">
        <v>3136</v>
      </c>
      <c r="B994" t="s">
        <v>18238</v>
      </c>
      <c r="C994" t="s">
        <v>74</v>
      </c>
      <c r="D994" t="s">
        <v>18239</v>
      </c>
      <c r="E994" t="s">
        <v>74</v>
      </c>
      <c r="F994" t="s">
        <v>18240</v>
      </c>
      <c r="G994" t="s">
        <v>74</v>
      </c>
      <c r="H994" t="s">
        <v>74</v>
      </c>
      <c r="I994" t="s">
        <v>18241</v>
      </c>
      <c r="J994" t="s">
        <v>18242</v>
      </c>
      <c r="K994" t="s">
        <v>18243</v>
      </c>
      <c r="L994" t="s">
        <v>74</v>
      </c>
      <c r="M994" t="s">
        <v>78</v>
      </c>
      <c r="N994" t="s">
        <v>17520</v>
      </c>
      <c r="O994" t="s">
        <v>74</v>
      </c>
      <c r="P994" t="s">
        <v>74</v>
      </c>
      <c r="Q994" t="s">
        <v>74</v>
      </c>
      <c r="R994" t="s">
        <v>74</v>
      </c>
      <c r="S994" t="s">
        <v>74</v>
      </c>
      <c r="T994" t="s">
        <v>74</v>
      </c>
      <c r="U994" t="s">
        <v>18244</v>
      </c>
      <c r="V994" t="s">
        <v>18245</v>
      </c>
      <c r="W994" t="s">
        <v>18246</v>
      </c>
      <c r="X994" t="s">
        <v>18247</v>
      </c>
      <c r="Y994" t="s">
        <v>18248</v>
      </c>
      <c r="Z994" t="s">
        <v>8374</v>
      </c>
      <c r="AA994" t="s">
        <v>8375</v>
      </c>
      <c r="AB994" t="s">
        <v>18249</v>
      </c>
      <c r="AC994" t="s">
        <v>18250</v>
      </c>
      <c r="AD994" t="s">
        <v>17641</v>
      </c>
      <c r="AE994" t="s">
        <v>74</v>
      </c>
      <c r="AF994" t="s">
        <v>74</v>
      </c>
      <c r="AG994">
        <v>45</v>
      </c>
      <c r="AH994">
        <v>5</v>
      </c>
      <c r="AI994">
        <v>5</v>
      </c>
      <c r="AJ994">
        <v>1</v>
      </c>
      <c r="AK994">
        <v>7</v>
      </c>
      <c r="AL994" t="s">
        <v>194</v>
      </c>
      <c r="AM994" t="s">
        <v>195</v>
      </c>
      <c r="AN994" t="s">
        <v>18079</v>
      </c>
      <c r="AO994" t="s">
        <v>18251</v>
      </c>
      <c r="AP994" t="s">
        <v>18252</v>
      </c>
      <c r="AQ994" t="s">
        <v>18253</v>
      </c>
      <c r="AR994" t="s">
        <v>18254</v>
      </c>
      <c r="AS994" t="s">
        <v>74</v>
      </c>
      <c r="AT994" t="s">
        <v>74</v>
      </c>
      <c r="AU994">
        <v>2016</v>
      </c>
      <c r="AV994" t="s">
        <v>74</v>
      </c>
      <c r="AW994" t="s">
        <v>74</v>
      </c>
      <c r="AX994" t="s">
        <v>74</v>
      </c>
      <c r="AY994" t="s">
        <v>74</v>
      </c>
      <c r="AZ994" t="s">
        <v>74</v>
      </c>
      <c r="BA994" t="s">
        <v>74</v>
      </c>
      <c r="BB994">
        <v>43</v>
      </c>
      <c r="BC994">
        <v>56</v>
      </c>
      <c r="BD994" t="s">
        <v>74</v>
      </c>
      <c r="BE994" t="s">
        <v>18255</v>
      </c>
      <c r="BF994" t="str">
        <f>HYPERLINK("http://dx.doi.org/10.1007/978-3-319-32318-3_4","http://dx.doi.org/10.1007/978-3-319-32318-3_4")</f>
        <v>http://dx.doi.org/10.1007/978-3-319-32318-3_4</v>
      </c>
      <c r="BG994" t="s">
        <v>18256</v>
      </c>
      <c r="BH994" t="s">
        <v>74</v>
      </c>
      <c r="BI994">
        <v>14</v>
      </c>
      <c r="BJ994" t="s">
        <v>18257</v>
      </c>
      <c r="BK994" t="s">
        <v>17534</v>
      </c>
      <c r="BL994" t="s">
        <v>18257</v>
      </c>
      <c r="BM994" t="s">
        <v>18258</v>
      </c>
      <c r="BN994" t="s">
        <v>74</v>
      </c>
      <c r="BO994" t="s">
        <v>74</v>
      </c>
      <c r="BP994" t="s">
        <v>74</v>
      </c>
      <c r="BQ994" t="s">
        <v>74</v>
      </c>
      <c r="BR994" t="s">
        <v>106</v>
      </c>
      <c r="BS994" t="s">
        <v>18259</v>
      </c>
      <c r="BT994" t="str">
        <f>HYPERLINK("https%3A%2F%2Fwww.webofscience.com%2Fwos%2Fwoscc%2Ffull-record%2FWOS:000409551700005","View Full Record in Web of Science")</f>
        <v>View Full Record in Web of Science</v>
      </c>
    </row>
    <row r="995" spans="1:72" x14ac:dyDescent="0.15">
      <c r="A995" t="s">
        <v>3136</v>
      </c>
      <c r="B995" t="s">
        <v>18260</v>
      </c>
      <c r="C995" t="s">
        <v>74</v>
      </c>
      <c r="D995" t="s">
        <v>18261</v>
      </c>
      <c r="E995" t="s">
        <v>74</v>
      </c>
      <c r="F995" t="s">
        <v>18262</v>
      </c>
      <c r="G995" t="s">
        <v>74</v>
      </c>
      <c r="H995" t="s">
        <v>74</v>
      </c>
      <c r="I995" t="s">
        <v>18263</v>
      </c>
      <c r="J995" t="s">
        <v>18264</v>
      </c>
      <c r="K995" t="s">
        <v>18265</v>
      </c>
      <c r="L995" t="s">
        <v>74</v>
      </c>
      <c r="M995" t="s">
        <v>78</v>
      </c>
      <c r="N995" t="s">
        <v>17520</v>
      </c>
      <c r="O995" t="s">
        <v>74</v>
      </c>
      <c r="P995" t="s">
        <v>74</v>
      </c>
      <c r="Q995" t="s">
        <v>74</v>
      </c>
      <c r="R995" t="s">
        <v>74</v>
      </c>
      <c r="S995" t="s">
        <v>74</v>
      </c>
      <c r="T995" t="s">
        <v>74</v>
      </c>
      <c r="U995" t="s">
        <v>18266</v>
      </c>
      <c r="V995" t="s">
        <v>18267</v>
      </c>
      <c r="W995" t="s">
        <v>18268</v>
      </c>
      <c r="X995" t="s">
        <v>14105</v>
      </c>
      <c r="Y995" t="s">
        <v>18269</v>
      </c>
      <c r="Z995" t="s">
        <v>18270</v>
      </c>
      <c r="AA995" t="s">
        <v>18271</v>
      </c>
      <c r="AB995" t="s">
        <v>74</v>
      </c>
      <c r="AC995" t="s">
        <v>74</v>
      </c>
      <c r="AD995" t="s">
        <v>74</v>
      </c>
      <c r="AE995" t="s">
        <v>74</v>
      </c>
      <c r="AF995" t="s">
        <v>74</v>
      </c>
      <c r="AG995">
        <v>222</v>
      </c>
      <c r="AH995">
        <v>10</v>
      </c>
      <c r="AI995">
        <v>10</v>
      </c>
      <c r="AJ995">
        <v>0</v>
      </c>
      <c r="AK995">
        <v>6</v>
      </c>
      <c r="AL995" t="s">
        <v>194</v>
      </c>
      <c r="AM995" t="s">
        <v>195</v>
      </c>
      <c r="AN995" t="s">
        <v>18079</v>
      </c>
      <c r="AO995" t="s">
        <v>18272</v>
      </c>
      <c r="AP995" t="s">
        <v>74</v>
      </c>
      <c r="AQ995" t="s">
        <v>18273</v>
      </c>
      <c r="AR995" t="s">
        <v>18274</v>
      </c>
      <c r="AS995" t="s">
        <v>74</v>
      </c>
      <c r="AT995" t="s">
        <v>74</v>
      </c>
      <c r="AU995">
        <v>2016</v>
      </c>
      <c r="AV995">
        <v>1</v>
      </c>
      <c r="AW995" t="s">
        <v>74</v>
      </c>
      <c r="AX995" t="s">
        <v>74</v>
      </c>
      <c r="AY995" t="s">
        <v>74</v>
      </c>
      <c r="AZ995" t="s">
        <v>74</v>
      </c>
      <c r="BA995" t="s">
        <v>74</v>
      </c>
      <c r="BB995">
        <v>171</v>
      </c>
      <c r="BC995">
        <v>201</v>
      </c>
      <c r="BD995" t="s">
        <v>74</v>
      </c>
      <c r="BE995" t="s">
        <v>18275</v>
      </c>
      <c r="BF995" t="str">
        <f>HYPERLINK("http://dx.doi.org/10.1007/978-3-319-28071-4_4","http://dx.doi.org/10.1007/978-3-319-28071-4_4")</f>
        <v>http://dx.doi.org/10.1007/978-3-319-28071-4_4</v>
      </c>
      <c r="BG995" t="s">
        <v>18276</v>
      </c>
      <c r="BH995" t="s">
        <v>74</v>
      </c>
      <c r="BI995">
        <v>31</v>
      </c>
      <c r="BJ995" t="s">
        <v>2538</v>
      </c>
      <c r="BK995" t="s">
        <v>17648</v>
      </c>
      <c r="BL995" t="s">
        <v>2538</v>
      </c>
      <c r="BM995" t="s">
        <v>18277</v>
      </c>
      <c r="BN995" t="s">
        <v>74</v>
      </c>
      <c r="BO995" t="s">
        <v>74</v>
      </c>
      <c r="BP995" t="s">
        <v>74</v>
      </c>
      <c r="BQ995" t="s">
        <v>74</v>
      </c>
      <c r="BR995" t="s">
        <v>106</v>
      </c>
      <c r="BS995" t="s">
        <v>18278</v>
      </c>
      <c r="BT995" t="str">
        <f>HYPERLINK("https%3A%2F%2Fwww.webofscience.com%2Fwos%2Fwoscc%2Ffull-record%2FWOS:000409541800007","View Full Record in Web of Science")</f>
        <v>View Full Record in Web of Science</v>
      </c>
    </row>
    <row r="996" spans="1:72" x14ac:dyDescent="0.15">
      <c r="A996" t="s">
        <v>3136</v>
      </c>
      <c r="B996" t="s">
        <v>18279</v>
      </c>
      <c r="C996" t="s">
        <v>74</v>
      </c>
      <c r="D996" t="s">
        <v>18261</v>
      </c>
      <c r="E996" t="s">
        <v>74</v>
      </c>
      <c r="F996" t="s">
        <v>18280</v>
      </c>
      <c r="G996" t="s">
        <v>74</v>
      </c>
      <c r="H996" t="s">
        <v>74</v>
      </c>
      <c r="I996" t="s">
        <v>18281</v>
      </c>
      <c r="J996" t="s">
        <v>18264</v>
      </c>
      <c r="K996" t="s">
        <v>18265</v>
      </c>
      <c r="L996" t="s">
        <v>74</v>
      </c>
      <c r="M996" t="s">
        <v>78</v>
      </c>
      <c r="N996" t="s">
        <v>17520</v>
      </c>
      <c r="O996" t="s">
        <v>74</v>
      </c>
      <c r="P996" t="s">
        <v>74</v>
      </c>
      <c r="Q996" t="s">
        <v>74</v>
      </c>
      <c r="R996" t="s">
        <v>74</v>
      </c>
      <c r="S996" t="s">
        <v>74</v>
      </c>
      <c r="T996" t="s">
        <v>74</v>
      </c>
      <c r="U996" t="s">
        <v>18282</v>
      </c>
      <c r="V996" t="s">
        <v>18283</v>
      </c>
      <c r="W996" t="s">
        <v>18284</v>
      </c>
      <c r="X996" t="s">
        <v>18285</v>
      </c>
      <c r="Y996" t="s">
        <v>18286</v>
      </c>
      <c r="Z996" t="s">
        <v>18287</v>
      </c>
      <c r="AA996" t="s">
        <v>74</v>
      </c>
      <c r="AB996" t="s">
        <v>74</v>
      </c>
      <c r="AC996" t="s">
        <v>18250</v>
      </c>
      <c r="AD996" t="s">
        <v>17641</v>
      </c>
      <c r="AE996" t="s">
        <v>74</v>
      </c>
      <c r="AF996" t="s">
        <v>74</v>
      </c>
      <c r="AG996">
        <v>302</v>
      </c>
      <c r="AH996">
        <v>3</v>
      </c>
      <c r="AI996">
        <v>3</v>
      </c>
      <c r="AJ996">
        <v>1</v>
      </c>
      <c r="AK996">
        <v>7</v>
      </c>
      <c r="AL996" t="s">
        <v>194</v>
      </c>
      <c r="AM996" t="s">
        <v>195</v>
      </c>
      <c r="AN996" t="s">
        <v>18079</v>
      </c>
      <c r="AO996" t="s">
        <v>18272</v>
      </c>
      <c r="AP996" t="s">
        <v>74</v>
      </c>
      <c r="AQ996" t="s">
        <v>18273</v>
      </c>
      <c r="AR996" t="s">
        <v>18274</v>
      </c>
      <c r="AS996" t="s">
        <v>74</v>
      </c>
      <c r="AT996" t="s">
        <v>74</v>
      </c>
      <c r="AU996">
        <v>2016</v>
      </c>
      <c r="AV996">
        <v>1</v>
      </c>
      <c r="AW996" t="s">
        <v>74</v>
      </c>
      <c r="AX996" t="s">
        <v>74</v>
      </c>
      <c r="AY996" t="s">
        <v>74</v>
      </c>
      <c r="AZ996" t="s">
        <v>74</v>
      </c>
      <c r="BA996" t="s">
        <v>74</v>
      </c>
      <c r="BB996">
        <v>341</v>
      </c>
      <c r="BC996">
        <v>381</v>
      </c>
      <c r="BD996" t="s">
        <v>74</v>
      </c>
      <c r="BE996" t="s">
        <v>18288</v>
      </c>
      <c r="BF996" t="str">
        <f>HYPERLINK("http://dx.doi.org/10.1007/978-3-319-28071-4_9","http://dx.doi.org/10.1007/978-3-319-28071-4_9")</f>
        <v>http://dx.doi.org/10.1007/978-3-319-28071-4_9</v>
      </c>
      <c r="BG996" t="s">
        <v>18276</v>
      </c>
      <c r="BH996" t="s">
        <v>74</v>
      </c>
      <c r="BI996">
        <v>41</v>
      </c>
      <c r="BJ996" t="s">
        <v>2538</v>
      </c>
      <c r="BK996" t="s">
        <v>17648</v>
      </c>
      <c r="BL996" t="s">
        <v>2538</v>
      </c>
      <c r="BM996" t="s">
        <v>18277</v>
      </c>
      <c r="BN996" t="s">
        <v>74</v>
      </c>
      <c r="BO996" t="s">
        <v>74</v>
      </c>
      <c r="BP996" t="s">
        <v>74</v>
      </c>
      <c r="BQ996" t="s">
        <v>74</v>
      </c>
      <c r="BR996" t="s">
        <v>106</v>
      </c>
      <c r="BS996" t="s">
        <v>18289</v>
      </c>
      <c r="BT996" t="str">
        <f>HYPERLINK("https%3A%2F%2Fwww.webofscience.com%2Fwos%2Fwoscc%2Ffull-record%2FWOS:000409541800012","View Full Record in Web of Science")</f>
        <v>View Full Record in Web of Science</v>
      </c>
    </row>
    <row r="997" spans="1:72" x14ac:dyDescent="0.15">
      <c r="A997" t="s">
        <v>72</v>
      </c>
      <c r="B997" t="s">
        <v>18290</v>
      </c>
      <c r="C997" t="s">
        <v>74</v>
      </c>
      <c r="D997" t="s">
        <v>74</v>
      </c>
      <c r="E997" t="s">
        <v>74</v>
      </c>
      <c r="F997" t="s">
        <v>18291</v>
      </c>
      <c r="G997" t="s">
        <v>74</v>
      </c>
      <c r="H997" t="s">
        <v>74</v>
      </c>
      <c r="I997" t="s">
        <v>18292</v>
      </c>
      <c r="J997" t="s">
        <v>18293</v>
      </c>
      <c r="K997" t="s">
        <v>74</v>
      </c>
      <c r="L997" t="s">
        <v>74</v>
      </c>
      <c r="M997" t="s">
        <v>78</v>
      </c>
      <c r="N997" t="s">
        <v>79</v>
      </c>
      <c r="O997" t="s">
        <v>74</v>
      </c>
      <c r="P997" t="s">
        <v>74</v>
      </c>
      <c r="Q997" t="s">
        <v>74</v>
      </c>
      <c r="R997" t="s">
        <v>74</v>
      </c>
      <c r="S997" t="s">
        <v>74</v>
      </c>
      <c r="T997" t="s">
        <v>18294</v>
      </c>
      <c r="U997" t="s">
        <v>74</v>
      </c>
      <c r="V997" t="s">
        <v>18295</v>
      </c>
      <c r="W997" t="s">
        <v>18296</v>
      </c>
      <c r="X997" t="s">
        <v>18297</v>
      </c>
      <c r="Y997" t="s">
        <v>18298</v>
      </c>
      <c r="Z997" t="s">
        <v>18299</v>
      </c>
      <c r="AA997" t="s">
        <v>18300</v>
      </c>
      <c r="AB997" t="s">
        <v>18301</v>
      </c>
      <c r="AC997" t="s">
        <v>74</v>
      </c>
      <c r="AD997" t="s">
        <v>74</v>
      </c>
      <c r="AE997" t="s">
        <v>74</v>
      </c>
      <c r="AF997" t="s">
        <v>74</v>
      </c>
      <c r="AG997">
        <v>3</v>
      </c>
      <c r="AH997">
        <v>2</v>
      </c>
      <c r="AI997">
        <v>2</v>
      </c>
      <c r="AJ997">
        <v>0</v>
      </c>
      <c r="AK997">
        <v>2</v>
      </c>
      <c r="AL997" t="s">
        <v>18302</v>
      </c>
      <c r="AM997" t="s">
        <v>18303</v>
      </c>
      <c r="AN997" t="s">
        <v>18304</v>
      </c>
      <c r="AO997" t="s">
        <v>18305</v>
      </c>
      <c r="AP997" t="s">
        <v>18306</v>
      </c>
      <c r="AQ997" t="s">
        <v>74</v>
      </c>
      <c r="AR997" t="s">
        <v>18307</v>
      </c>
      <c r="AS997" t="s">
        <v>18308</v>
      </c>
      <c r="AT997" t="s">
        <v>74</v>
      </c>
      <c r="AU997">
        <v>2016</v>
      </c>
      <c r="AV997">
        <v>79</v>
      </c>
      <c r="AW997">
        <v>4</v>
      </c>
      <c r="AX997" t="s">
        <v>74</v>
      </c>
      <c r="AY997" t="s">
        <v>74</v>
      </c>
      <c r="AZ997" t="s">
        <v>74</v>
      </c>
      <c r="BA997" t="s">
        <v>74</v>
      </c>
      <c r="BB997">
        <v>153</v>
      </c>
      <c r="BC997">
        <v>156</v>
      </c>
      <c r="BD997" t="s">
        <v>74</v>
      </c>
      <c r="BE997" t="s">
        <v>74</v>
      </c>
      <c r="BF997" t="s">
        <v>74</v>
      </c>
      <c r="BG997" t="s">
        <v>74</v>
      </c>
      <c r="BH997" t="s">
        <v>74</v>
      </c>
      <c r="BI997">
        <v>4</v>
      </c>
      <c r="BJ997" t="s">
        <v>18309</v>
      </c>
      <c r="BK997" t="s">
        <v>967</v>
      </c>
      <c r="BL997" t="s">
        <v>18310</v>
      </c>
      <c r="BM997" t="s">
        <v>18311</v>
      </c>
      <c r="BN997" t="s">
        <v>74</v>
      </c>
      <c r="BO997" t="s">
        <v>74</v>
      </c>
      <c r="BP997" t="s">
        <v>74</v>
      </c>
      <c r="BQ997" t="s">
        <v>74</v>
      </c>
      <c r="BR997" t="s">
        <v>106</v>
      </c>
      <c r="BS997" t="s">
        <v>18312</v>
      </c>
      <c r="BT997" t="str">
        <f>HYPERLINK("https%3A%2F%2Fwww.webofscience.com%2Fwos%2Fwoscc%2Ffull-record%2FWOS:000408442000004","View Full Record in Web of Science")</f>
        <v>View Full Record in Web of Science</v>
      </c>
    </row>
    <row r="998" spans="1:72" x14ac:dyDescent="0.15">
      <c r="A998" t="s">
        <v>72</v>
      </c>
      <c r="B998" t="s">
        <v>18313</v>
      </c>
      <c r="C998" t="s">
        <v>74</v>
      </c>
      <c r="D998" t="s">
        <v>74</v>
      </c>
      <c r="E998" t="s">
        <v>74</v>
      </c>
      <c r="F998" t="s">
        <v>18314</v>
      </c>
      <c r="G998" t="s">
        <v>74</v>
      </c>
      <c r="H998" t="s">
        <v>74</v>
      </c>
      <c r="I998" t="s">
        <v>18315</v>
      </c>
      <c r="J998" t="s">
        <v>18316</v>
      </c>
      <c r="K998" t="s">
        <v>74</v>
      </c>
      <c r="L998" t="s">
        <v>74</v>
      </c>
      <c r="M998" t="s">
        <v>18122</v>
      </c>
      <c r="N998" t="s">
        <v>79</v>
      </c>
      <c r="O998" t="s">
        <v>74</v>
      </c>
      <c r="P998" t="s">
        <v>74</v>
      </c>
      <c r="Q998" t="s">
        <v>74</v>
      </c>
      <c r="R998" t="s">
        <v>74</v>
      </c>
      <c r="S998" t="s">
        <v>74</v>
      </c>
      <c r="T998" t="s">
        <v>18317</v>
      </c>
      <c r="U998" t="s">
        <v>18318</v>
      </c>
      <c r="V998" t="s">
        <v>18319</v>
      </c>
      <c r="W998" t="s">
        <v>18320</v>
      </c>
      <c r="X998" t="s">
        <v>18321</v>
      </c>
      <c r="Y998" t="s">
        <v>18322</v>
      </c>
      <c r="Z998" t="s">
        <v>18323</v>
      </c>
      <c r="AA998" t="s">
        <v>18324</v>
      </c>
      <c r="AB998" t="s">
        <v>74</v>
      </c>
      <c r="AC998" t="s">
        <v>74</v>
      </c>
      <c r="AD998" t="s">
        <v>74</v>
      </c>
      <c r="AE998" t="s">
        <v>74</v>
      </c>
      <c r="AF998" t="s">
        <v>74</v>
      </c>
      <c r="AG998">
        <v>19</v>
      </c>
      <c r="AH998">
        <v>0</v>
      </c>
      <c r="AI998">
        <v>0</v>
      </c>
      <c r="AJ998">
        <v>1</v>
      </c>
      <c r="AK998">
        <v>1</v>
      </c>
      <c r="AL998" t="s">
        <v>18325</v>
      </c>
      <c r="AM998" t="s">
        <v>6281</v>
      </c>
      <c r="AN998" t="s">
        <v>18326</v>
      </c>
      <c r="AO998" t="s">
        <v>18327</v>
      </c>
      <c r="AP998" t="s">
        <v>18328</v>
      </c>
      <c r="AQ998" t="s">
        <v>74</v>
      </c>
      <c r="AR998" t="s">
        <v>18329</v>
      </c>
      <c r="AS998" t="s">
        <v>18330</v>
      </c>
      <c r="AT998" t="s">
        <v>74</v>
      </c>
      <c r="AU998">
        <v>2016</v>
      </c>
      <c r="AV998">
        <v>56</v>
      </c>
      <c r="AW998">
        <v>1</v>
      </c>
      <c r="AX998" t="s">
        <v>74</v>
      </c>
      <c r="AY998" t="s">
        <v>74</v>
      </c>
      <c r="AZ998" t="s">
        <v>74</v>
      </c>
      <c r="BA998" t="s">
        <v>74</v>
      </c>
      <c r="BB998">
        <v>93</v>
      </c>
      <c r="BC998">
        <v>102</v>
      </c>
      <c r="BD998" t="s">
        <v>74</v>
      </c>
      <c r="BE998" t="s">
        <v>18331</v>
      </c>
      <c r="BF998" t="str">
        <f>HYPERLINK("http://dx.doi.org/10.15356/2076-6734-2016-1-93-102","http://dx.doi.org/10.15356/2076-6734-2016-1-93-102")</f>
        <v>http://dx.doi.org/10.15356/2076-6734-2016-1-93-102</v>
      </c>
      <c r="BG998" t="s">
        <v>74</v>
      </c>
      <c r="BH998" t="s">
        <v>74</v>
      </c>
      <c r="BI998">
        <v>10</v>
      </c>
      <c r="BJ998" t="s">
        <v>269</v>
      </c>
      <c r="BK998" t="s">
        <v>967</v>
      </c>
      <c r="BL998" t="s">
        <v>270</v>
      </c>
      <c r="BM998" t="s">
        <v>18332</v>
      </c>
      <c r="BN998" t="s">
        <v>74</v>
      </c>
      <c r="BO998" t="s">
        <v>495</v>
      </c>
      <c r="BP998" t="s">
        <v>74</v>
      </c>
      <c r="BQ998" t="s">
        <v>74</v>
      </c>
      <c r="BR998" t="s">
        <v>106</v>
      </c>
      <c r="BS998" t="s">
        <v>18333</v>
      </c>
      <c r="BT998" t="str">
        <f>HYPERLINK("https%3A%2F%2Fwww.webofscience.com%2Fwos%2Fwoscc%2Ffull-record%2FWOS:000408235500009","View Full Record in Web of Science")</f>
        <v>View Full Record in Web of Science</v>
      </c>
    </row>
    <row r="999" spans="1:72" x14ac:dyDescent="0.15">
      <c r="A999" t="s">
        <v>72</v>
      </c>
      <c r="B999" t="s">
        <v>18334</v>
      </c>
      <c r="C999" t="s">
        <v>74</v>
      </c>
      <c r="D999" t="s">
        <v>74</v>
      </c>
      <c r="E999" t="s">
        <v>74</v>
      </c>
      <c r="F999" t="s">
        <v>18335</v>
      </c>
      <c r="G999" t="s">
        <v>74</v>
      </c>
      <c r="H999" t="s">
        <v>74</v>
      </c>
      <c r="I999" t="s">
        <v>18336</v>
      </c>
      <c r="J999" t="s">
        <v>18316</v>
      </c>
      <c r="K999" t="s">
        <v>74</v>
      </c>
      <c r="L999" t="s">
        <v>74</v>
      </c>
      <c r="M999" t="s">
        <v>18122</v>
      </c>
      <c r="N999" t="s">
        <v>79</v>
      </c>
      <c r="O999" t="s">
        <v>74</v>
      </c>
      <c r="P999" t="s">
        <v>74</v>
      </c>
      <c r="Q999" t="s">
        <v>74</v>
      </c>
      <c r="R999" t="s">
        <v>74</v>
      </c>
      <c r="S999" t="s">
        <v>74</v>
      </c>
      <c r="T999" t="s">
        <v>18337</v>
      </c>
      <c r="U999" t="s">
        <v>18338</v>
      </c>
      <c r="V999" t="s">
        <v>18339</v>
      </c>
      <c r="W999" t="s">
        <v>18340</v>
      </c>
      <c r="X999" t="s">
        <v>18341</v>
      </c>
      <c r="Y999" t="s">
        <v>18342</v>
      </c>
      <c r="Z999" t="s">
        <v>18343</v>
      </c>
      <c r="AA999" t="s">
        <v>18344</v>
      </c>
      <c r="AB999" t="s">
        <v>18345</v>
      </c>
      <c r="AC999" t="s">
        <v>74</v>
      </c>
      <c r="AD999" t="s">
        <v>74</v>
      </c>
      <c r="AE999" t="s">
        <v>74</v>
      </c>
      <c r="AF999" t="s">
        <v>74</v>
      </c>
      <c r="AG999">
        <v>15</v>
      </c>
      <c r="AH999">
        <v>3</v>
      </c>
      <c r="AI999">
        <v>3</v>
      </c>
      <c r="AJ999">
        <v>0</v>
      </c>
      <c r="AK999">
        <v>1</v>
      </c>
      <c r="AL999" t="s">
        <v>18325</v>
      </c>
      <c r="AM999" t="s">
        <v>6281</v>
      </c>
      <c r="AN999" t="s">
        <v>18326</v>
      </c>
      <c r="AO999" t="s">
        <v>18327</v>
      </c>
      <c r="AP999" t="s">
        <v>18328</v>
      </c>
      <c r="AQ999" t="s">
        <v>74</v>
      </c>
      <c r="AR999" t="s">
        <v>18329</v>
      </c>
      <c r="AS999" t="s">
        <v>18330</v>
      </c>
      <c r="AT999" t="s">
        <v>74</v>
      </c>
      <c r="AU999">
        <v>2016</v>
      </c>
      <c r="AV999">
        <v>56</v>
      </c>
      <c r="AW999">
        <v>2</v>
      </c>
      <c r="AX999" t="s">
        <v>74</v>
      </c>
      <c r="AY999" t="s">
        <v>74</v>
      </c>
      <c r="AZ999" t="s">
        <v>74</v>
      </c>
      <c r="BA999" t="s">
        <v>74</v>
      </c>
      <c r="BB999">
        <v>169</v>
      </c>
      <c r="BC999">
        <v>176</v>
      </c>
      <c r="BD999" t="s">
        <v>74</v>
      </c>
      <c r="BE999" t="s">
        <v>18346</v>
      </c>
      <c r="BF999" t="str">
        <f>HYPERLINK("http://dx.doi.org/10.15356/2076-6734-2016-2-169-176","http://dx.doi.org/10.15356/2076-6734-2016-2-169-176")</f>
        <v>http://dx.doi.org/10.15356/2076-6734-2016-2-169-176</v>
      </c>
      <c r="BG999" t="s">
        <v>74</v>
      </c>
      <c r="BH999" t="s">
        <v>74</v>
      </c>
      <c r="BI999">
        <v>8</v>
      </c>
      <c r="BJ999" t="s">
        <v>269</v>
      </c>
      <c r="BK999" t="s">
        <v>967</v>
      </c>
      <c r="BL999" t="s">
        <v>270</v>
      </c>
      <c r="BM999" t="s">
        <v>18347</v>
      </c>
      <c r="BN999" t="s">
        <v>74</v>
      </c>
      <c r="BO999" t="s">
        <v>495</v>
      </c>
      <c r="BP999" t="s">
        <v>74</v>
      </c>
      <c r="BQ999" t="s">
        <v>74</v>
      </c>
      <c r="BR999" t="s">
        <v>106</v>
      </c>
      <c r="BS999" t="s">
        <v>18348</v>
      </c>
      <c r="BT999" t="str">
        <f>HYPERLINK("https%3A%2F%2Fwww.webofscience.com%2Fwos%2Fwoscc%2Ffull-record%2FWOS:000408235900003","View Full Record in Web of Science")</f>
        <v>View Full Record in Web of Science</v>
      </c>
    </row>
    <row r="1000" spans="1:72" x14ac:dyDescent="0.15">
      <c r="A1000" t="s">
        <v>72</v>
      </c>
      <c r="B1000" t="s">
        <v>18349</v>
      </c>
      <c r="C1000" t="s">
        <v>74</v>
      </c>
      <c r="D1000" t="s">
        <v>74</v>
      </c>
      <c r="E1000" t="s">
        <v>74</v>
      </c>
      <c r="F1000" t="s">
        <v>18350</v>
      </c>
      <c r="G1000" t="s">
        <v>74</v>
      </c>
      <c r="H1000" t="s">
        <v>74</v>
      </c>
      <c r="I1000" t="s">
        <v>18351</v>
      </c>
      <c r="J1000" t="s">
        <v>18316</v>
      </c>
      <c r="K1000" t="s">
        <v>74</v>
      </c>
      <c r="L1000" t="s">
        <v>74</v>
      </c>
      <c r="M1000" t="s">
        <v>18122</v>
      </c>
      <c r="N1000" t="s">
        <v>79</v>
      </c>
      <c r="O1000" t="s">
        <v>74</v>
      </c>
      <c r="P1000" t="s">
        <v>74</v>
      </c>
      <c r="Q1000" t="s">
        <v>74</v>
      </c>
      <c r="R1000" t="s">
        <v>74</v>
      </c>
      <c r="S1000" t="s">
        <v>74</v>
      </c>
      <c r="T1000" t="s">
        <v>18352</v>
      </c>
      <c r="U1000" t="s">
        <v>18353</v>
      </c>
      <c r="V1000" t="s">
        <v>18354</v>
      </c>
      <c r="W1000" t="s">
        <v>18355</v>
      </c>
      <c r="X1000" t="s">
        <v>18356</v>
      </c>
      <c r="Y1000" t="s">
        <v>18357</v>
      </c>
      <c r="Z1000" t="s">
        <v>18358</v>
      </c>
      <c r="AA1000" t="s">
        <v>18359</v>
      </c>
      <c r="AB1000" t="s">
        <v>74</v>
      </c>
      <c r="AC1000" t="s">
        <v>74</v>
      </c>
      <c r="AD1000" t="s">
        <v>74</v>
      </c>
      <c r="AE1000" t="s">
        <v>74</v>
      </c>
      <c r="AF1000" t="s">
        <v>74</v>
      </c>
      <c r="AG1000">
        <v>32</v>
      </c>
      <c r="AH1000">
        <v>6</v>
      </c>
      <c r="AI1000">
        <v>8</v>
      </c>
      <c r="AJ1000">
        <v>0</v>
      </c>
      <c r="AK1000">
        <v>6</v>
      </c>
      <c r="AL1000" t="s">
        <v>18325</v>
      </c>
      <c r="AM1000" t="s">
        <v>6281</v>
      </c>
      <c r="AN1000" t="s">
        <v>18326</v>
      </c>
      <c r="AO1000" t="s">
        <v>18327</v>
      </c>
      <c r="AP1000" t="s">
        <v>18328</v>
      </c>
      <c r="AQ1000" t="s">
        <v>74</v>
      </c>
      <c r="AR1000" t="s">
        <v>18329</v>
      </c>
      <c r="AS1000" t="s">
        <v>18330</v>
      </c>
      <c r="AT1000" t="s">
        <v>74</v>
      </c>
      <c r="AU1000">
        <v>2016</v>
      </c>
      <c r="AV1000">
        <v>56</v>
      </c>
      <c r="AW1000">
        <v>2</v>
      </c>
      <c r="AX1000" t="s">
        <v>74</v>
      </c>
      <c r="AY1000" t="s">
        <v>74</v>
      </c>
      <c r="AZ1000" t="s">
        <v>74</v>
      </c>
      <c r="BA1000" t="s">
        <v>74</v>
      </c>
      <c r="BB1000">
        <v>177</v>
      </c>
      <c r="BC1000">
        <v>188</v>
      </c>
      <c r="BD1000" t="s">
        <v>74</v>
      </c>
      <c r="BE1000" t="s">
        <v>18360</v>
      </c>
      <c r="BF1000" t="str">
        <f>HYPERLINK("http://dx.doi.org/10.15356/2076-6734-2016-2-177-188","http://dx.doi.org/10.15356/2076-6734-2016-2-177-188")</f>
        <v>http://dx.doi.org/10.15356/2076-6734-2016-2-177-188</v>
      </c>
      <c r="BG1000" t="s">
        <v>74</v>
      </c>
      <c r="BH1000" t="s">
        <v>74</v>
      </c>
      <c r="BI1000">
        <v>12</v>
      </c>
      <c r="BJ1000" t="s">
        <v>269</v>
      </c>
      <c r="BK1000" t="s">
        <v>967</v>
      </c>
      <c r="BL1000" t="s">
        <v>270</v>
      </c>
      <c r="BM1000" t="s">
        <v>18347</v>
      </c>
      <c r="BN1000" t="s">
        <v>74</v>
      </c>
      <c r="BO1000" t="s">
        <v>495</v>
      </c>
      <c r="BP1000" t="s">
        <v>74</v>
      </c>
      <c r="BQ1000" t="s">
        <v>74</v>
      </c>
      <c r="BR1000" t="s">
        <v>106</v>
      </c>
      <c r="BS1000" t="s">
        <v>18361</v>
      </c>
      <c r="BT1000" t="str">
        <f>HYPERLINK("https%3A%2F%2Fwww.webofscience.com%2Fwos%2Fwoscc%2Ffull-record%2FWOS:000408235900004","View Full Record in Web of Science")</f>
        <v>View Full Record in Web of Science</v>
      </c>
    </row>
    <row r="1001" spans="1:72" x14ac:dyDescent="0.15">
      <c r="A1001" t="s">
        <v>72</v>
      </c>
      <c r="B1001" t="s">
        <v>18362</v>
      </c>
      <c r="C1001" t="s">
        <v>74</v>
      </c>
      <c r="D1001" t="s">
        <v>74</v>
      </c>
      <c r="E1001" t="s">
        <v>74</v>
      </c>
      <c r="F1001" t="s">
        <v>18363</v>
      </c>
      <c r="G1001" t="s">
        <v>74</v>
      </c>
      <c r="H1001" t="s">
        <v>74</v>
      </c>
      <c r="I1001" t="s">
        <v>18364</v>
      </c>
      <c r="J1001" t="s">
        <v>18316</v>
      </c>
      <c r="K1001" t="s">
        <v>74</v>
      </c>
      <c r="L1001" t="s">
        <v>74</v>
      </c>
      <c r="M1001" t="s">
        <v>18122</v>
      </c>
      <c r="N1001" t="s">
        <v>79</v>
      </c>
      <c r="O1001" t="s">
        <v>74</v>
      </c>
      <c r="P1001" t="s">
        <v>74</v>
      </c>
      <c r="Q1001" t="s">
        <v>74</v>
      </c>
      <c r="R1001" t="s">
        <v>74</v>
      </c>
      <c r="S1001" t="s">
        <v>74</v>
      </c>
      <c r="T1001" t="s">
        <v>18365</v>
      </c>
      <c r="U1001" t="s">
        <v>18366</v>
      </c>
      <c r="V1001" t="s">
        <v>18367</v>
      </c>
      <c r="W1001" t="s">
        <v>18368</v>
      </c>
      <c r="X1001" t="s">
        <v>18369</v>
      </c>
      <c r="Y1001" t="s">
        <v>18370</v>
      </c>
      <c r="Z1001" t="s">
        <v>18371</v>
      </c>
      <c r="AA1001" t="s">
        <v>18372</v>
      </c>
      <c r="AB1001" t="s">
        <v>18373</v>
      </c>
      <c r="AC1001" t="s">
        <v>74</v>
      </c>
      <c r="AD1001" t="s">
        <v>74</v>
      </c>
      <c r="AE1001" t="s">
        <v>74</v>
      </c>
      <c r="AF1001" t="s">
        <v>74</v>
      </c>
      <c r="AG1001">
        <v>67</v>
      </c>
      <c r="AH1001">
        <v>3</v>
      </c>
      <c r="AI1001">
        <v>3</v>
      </c>
      <c r="AJ1001">
        <v>0</v>
      </c>
      <c r="AK1001">
        <v>7</v>
      </c>
      <c r="AL1001" t="s">
        <v>18325</v>
      </c>
      <c r="AM1001" t="s">
        <v>6281</v>
      </c>
      <c r="AN1001" t="s">
        <v>18326</v>
      </c>
      <c r="AO1001" t="s">
        <v>18327</v>
      </c>
      <c r="AP1001" t="s">
        <v>18328</v>
      </c>
      <c r="AQ1001" t="s">
        <v>74</v>
      </c>
      <c r="AR1001" t="s">
        <v>18329</v>
      </c>
      <c r="AS1001" t="s">
        <v>18330</v>
      </c>
      <c r="AT1001" t="s">
        <v>74</v>
      </c>
      <c r="AU1001">
        <v>2016</v>
      </c>
      <c r="AV1001">
        <v>56</v>
      </c>
      <c r="AW1001">
        <v>3</v>
      </c>
      <c r="AX1001" t="s">
        <v>74</v>
      </c>
      <c r="AY1001" t="s">
        <v>74</v>
      </c>
      <c r="AZ1001" t="s">
        <v>74</v>
      </c>
      <c r="BA1001" t="s">
        <v>74</v>
      </c>
      <c r="BB1001">
        <v>309</v>
      </c>
      <c r="BC1001">
        <v>332</v>
      </c>
      <c r="BD1001" t="s">
        <v>74</v>
      </c>
      <c r="BE1001" t="s">
        <v>18374</v>
      </c>
      <c r="BF1001" t="str">
        <f>HYPERLINK("http://dx.doi.org/10.15356/2076-6734-2016-3-309-332","http://dx.doi.org/10.15356/2076-6734-2016-3-309-332")</f>
        <v>http://dx.doi.org/10.15356/2076-6734-2016-3-309-332</v>
      </c>
      <c r="BG1001" t="s">
        <v>74</v>
      </c>
      <c r="BH1001" t="s">
        <v>74</v>
      </c>
      <c r="BI1001">
        <v>24</v>
      </c>
      <c r="BJ1001" t="s">
        <v>269</v>
      </c>
      <c r="BK1001" t="s">
        <v>967</v>
      </c>
      <c r="BL1001" t="s">
        <v>270</v>
      </c>
      <c r="BM1001" t="s">
        <v>18375</v>
      </c>
      <c r="BN1001" t="s">
        <v>74</v>
      </c>
      <c r="BO1001" t="s">
        <v>495</v>
      </c>
      <c r="BP1001" t="s">
        <v>74</v>
      </c>
      <c r="BQ1001" t="s">
        <v>74</v>
      </c>
      <c r="BR1001" t="s">
        <v>106</v>
      </c>
      <c r="BS1001" t="s">
        <v>18376</v>
      </c>
      <c r="BT1001" t="str">
        <f>HYPERLINK("https%3A%2F%2Fwww.webofscience.com%2Fwos%2Fwoscc%2Ffull-record%2FWOS:000408236100002","View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2024-07-28T15:23:59Z</dcterms:created>
  <dcterms:modified xsi:type="dcterms:W3CDTF">2024-07-28T15:23:59Z</dcterms:modified>
</cp:coreProperties>
</file>